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lha 1" sheetId="1" r:id="rId4"/>
    <sheet state="visible" name="Planilha 2" sheetId="2" r:id="rId5"/>
  </sheets>
  <definedNames>
    <definedName hidden="1" localSheetId="0" name="_xlnm._FilterDatabase">'Planilha 1'!$A$1:$AT$776</definedName>
    <definedName hidden="1" localSheetId="1" name="_xlnm._FilterDatabase">'Planilha 2'!$A$1:$AT$683</definedName>
  </definedNames>
  <calcPr/>
</workbook>
</file>

<file path=xl/sharedStrings.xml><?xml version="1.0" encoding="utf-8"?>
<sst xmlns="http://schemas.openxmlformats.org/spreadsheetml/2006/main" count="36410" uniqueCount="7760">
  <si>
    <t>SEQ_AUTO_INFRACAO</t>
  </si>
  <si>
    <t>REGISTRADO_SICAFI</t>
  </si>
  <si>
    <t>DES_STATUS_FORMULARIO</t>
  </si>
  <si>
    <t>SIT_CANCELADO</t>
  </si>
  <si>
    <t>NUM_AUTO_INFRACAO</t>
  </si>
  <si>
    <t>SER_AUTO_INFRACAO</t>
  </si>
  <si>
    <t>TIPO_AUTO</t>
  </si>
  <si>
    <t>TIPO_MULTA</t>
  </si>
  <si>
    <t>VAL_AUTO_INFRACAO</t>
  </si>
  <si>
    <t>PATRIMONIO_APURACAO</t>
  </si>
  <si>
    <t>GRAVIDADE_INFRACAO</t>
  </si>
  <si>
    <t>UNID_ARRECADACAO</t>
  </si>
  <si>
    <t>DES_AUTO_INFRACAO</t>
  </si>
  <si>
    <t>DES_RECEITA</t>
  </si>
  <si>
    <t>NO_TIPO_INFRACAO</t>
  </si>
  <si>
    <t>DAT_HORA_AUTO_INFRACAO</t>
  </si>
  <si>
    <t>FORMA_ENTREGA</t>
  </si>
  <si>
    <t>DAT_CIENCIA_AUTUACAO</t>
  </si>
  <si>
    <t>DS_CONCILIACAO_UNIDADE</t>
  </si>
  <si>
    <t>COD_MUNICIPIO</t>
  </si>
  <si>
    <t>NOM_MUNICIPIO</t>
  </si>
  <si>
    <t>SIG_UF</t>
  </si>
  <si>
    <t>BIOMA</t>
  </si>
  <si>
    <t>UNIDADE_CONSERVACAO</t>
  </si>
  <si>
    <t>NUM_PROCESSO</t>
  </si>
  <si>
    <t>DES_INFRACAO</t>
  </si>
  <si>
    <t>NOME_INFRATOR</t>
  </si>
  <si>
    <t>CPF_CNPJ_INFRATOR</t>
  </si>
  <si>
    <t>QTD_AREA</t>
  </si>
  <si>
    <t>INFRACAO_AREA</t>
  </si>
  <si>
    <t>DES_OUTROS_TIPO_AREA</t>
  </si>
  <si>
    <t>NUM_LONGITUDE_AUTO</t>
  </si>
  <si>
    <t>NUM_LATITUDE_AUTO</t>
  </si>
  <si>
    <t>DES_LOCAL_INFRACAO</t>
  </si>
  <si>
    <t>SEQ_NOTIFICACAO</t>
  </si>
  <si>
    <t>UNID_CONTROLE</t>
  </si>
  <si>
    <t>NOM_OPERACAO</t>
  </si>
  <si>
    <t>DES_TIPO_OPERACAO</t>
  </si>
  <si>
    <t>DS_ORGAO</t>
  </si>
  <si>
    <t>OPERACAO_SOL_RECURSO</t>
  </si>
  <si>
    <t>DAT_LANCAMENTO</t>
  </si>
  <si>
    <t>DAT_ALTERACAO</t>
  </si>
  <si>
    <t>DES_TIPO_HISTORICO_FORMULARIO</t>
  </si>
  <si>
    <t>ENQUADRAMENTO</t>
  </si>
  <si>
    <t>ENQUADRAMENTO_COMPLEMENTAR</t>
  </si>
  <si>
    <t>DAT_ULTIMA_ATUALIZACAO</t>
  </si>
  <si>
    <t>N</t>
  </si>
  <si>
    <t>Impresso</t>
  </si>
  <si>
    <t>VQ6WBDGJ</t>
  </si>
  <si>
    <t>Multa Simples</t>
  </si>
  <si>
    <t>Aberta</t>
  </si>
  <si>
    <t>Baixa</t>
  </si>
  <si>
    <t>Efetuar a plataforma MOP-1 a descarga de água oleosa em condição não aprovada pelo órgão ambiental competente no licenciamento ambiental.</t>
  </si>
  <si>
    <t>Penalidade pecuniária - Controle ambiental</t>
  </si>
  <si>
    <t>Emergência Ambiental</t>
  </si>
  <si>
    <t>2021-02-28 16:55:34</t>
  </si>
  <si>
    <t>Correios</t>
  </si>
  <si>
    <t>Núcleo de Conciliação Ambiental/ES</t>
  </si>
  <si>
    <t>Anchieta</t>
  </si>
  <si>
    <t>ES</t>
  </si>
  <si>
    <t>Costeiro e Marinho</t>
  </si>
  <si>
    <t>PETROLEO BRASILEIRO S/A - PETROBRAS</t>
  </si>
  <si>
    <t>Atividade</t>
  </si>
  <si>
    <t>Plataforma MOP-1, Mar territorial.</t>
  </si>
  <si>
    <t>ES/SUPES</t>
  </si>
  <si>
    <t>IBAMA</t>
  </si>
  <si>
    <t>ROTINA LAM</t>
  </si>
  <si>
    <t>2021-02-28 16:59:11</t>
  </si>
  <si>
    <t>17 Lei 9966; 70 1º Lei 9605; 72 Lei 9605; 3º II Decreto 6514.</t>
  </si>
  <si>
    <t>36, III Decreto 4136/2002.</t>
  </si>
  <si>
    <t>2021-03-01 23:03:36</t>
  </si>
  <si>
    <t>PNSUNS9N</t>
  </si>
  <si>
    <t>Fechada</t>
  </si>
  <si>
    <t>Apanhar espécimes da fauna silvestre sem devida licença lícita da autoridade competente.
Observo que foram encontrados com o infrator 10 (dez) espécimes de goiamum ( Cardisoma guanhumi) e que o autuado estava capturando os animais juntamente com seu filho, Jhon Willians de Oliveira Victor.
Os animais foram liberados no local. Não houve lavratura de termo de apreensão.</t>
  </si>
  <si>
    <t>Penalidade pecuniária - Pesca</t>
  </si>
  <si>
    <t>Pesca</t>
  </si>
  <si>
    <t>2021-02-27 18:45:03</t>
  </si>
  <si>
    <t>Pessoalmente</t>
  </si>
  <si>
    <t>Mata Atlantica</t>
  </si>
  <si>
    <t>Infração de pesca(Não Classificada-Móvel)</t>
  </si>
  <si>
    <t>Valmir Victor</t>
  </si>
  <si>
    <t>Não se aplica</t>
  </si>
  <si>
    <t>Mangue RDS Papagaio.</t>
  </si>
  <si>
    <t>ROTINA OEX</t>
  </si>
  <si>
    <t>2021-02-27 19:03:04</t>
  </si>
  <si>
    <t>24 II Decreto 6514; 70 1º Lei 9605; 72 Lei 9605; 3º II Decreto 6514.</t>
  </si>
  <si>
    <t>IMBUII7P</t>
  </si>
  <si>
    <t>Efetuar a plataforma MOP-1 a descarga de óleo diesel em condição não aprovada pelo órgão ambiental competente no licenciamento ambiental.</t>
  </si>
  <si>
    <t>2021-02-27 18:35:24</t>
  </si>
  <si>
    <t>Plataforma MOP-1, mar territorial.</t>
  </si>
  <si>
    <t>2021-02-27 18:43:23</t>
  </si>
  <si>
    <t>RSDZFEZY</t>
  </si>
  <si>
    <t>Média</t>
  </si>
  <si>
    <t>Apresentar informação enganosa em sistema oficial de controle ao emitir o DOF 24382887, ideologicamente falso, conforme BO/PRF xxx.</t>
  </si>
  <si>
    <t>Penalidade pecuniária - Administração Ambiental</t>
  </si>
  <si>
    <t>Administração Ambiental</t>
  </si>
  <si>
    <t>2021-02-27 16:01:21</t>
  </si>
  <si>
    <t>Núcleo de Conciliação Ambiental/AM</t>
  </si>
  <si>
    <t>Humaitá</t>
  </si>
  <si>
    <t>AM</t>
  </si>
  <si>
    <t>Amazonia</t>
  </si>
  <si>
    <t>Infração de Administração Ambiental(Não Classificada-Móvel)</t>
  </si>
  <si>
    <t>EQUADOR - INDUSTRIA, COMERCIO E EXPORTAÇÃO DE MADEIRAS LTDA</t>
  </si>
  <si>
    <t>Rodovia BR 319, km 679</t>
  </si>
  <si>
    <t>AM/SUPES</t>
  </si>
  <si>
    <t>2021-03-01 10:11:04</t>
  </si>
  <si>
    <t>82 Decreto 6514; 70 1º Lei 9605; 72 Lei 9605; 3º II Decreto 6514.</t>
  </si>
  <si>
    <t>HGFUDZNN</t>
  </si>
  <si>
    <t>Transportar 36,1904 metros cúbicos de madeira serrada sem licença válida para  todo o tempo de viagem, outorgada pela autoridade competente (DOF 24382887 ideologicamente falso), conforme BO/PRF xxx.</t>
  </si>
  <si>
    <t>Penalidade pecuniária - Flora</t>
  </si>
  <si>
    <t>Flora</t>
  </si>
  <si>
    <t>2021-02-27 15:05:51</t>
  </si>
  <si>
    <t>Infração da Flora(Não Classificada-Móvel)</t>
  </si>
  <si>
    <t>JOAO BATISTA SEVERINO BOTELHO</t>
  </si>
  <si>
    <t>2021-03-01 09:19:05</t>
  </si>
  <si>
    <t>47 1º Decreto 6514; 70 1º Lei 9605; 72 Lei 9605; 3º II Decreto 6514.</t>
  </si>
  <si>
    <t>S</t>
  </si>
  <si>
    <t>Lavrado</t>
  </si>
  <si>
    <t>PFWHIJ1F</t>
  </si>
  <si>
    <t>Multa simples</t>
  </si>
  <si>
    <t>COFIS_FISc</t>
  </si>
  <si>
    <t>Vender 16,38 metros cúbicos de madeiras serradas, sem autorização do órgão ambiental competente. Observo que foi flagrado um caminhão carregado com madeiras serradas de diversas espécies, questionado sobre o local do carregamento o motorista informou que foi na empresa Fábrica de Móveis  e Beneficiamento Vila Samuel Ltda.</t>
  </si>
  <si>
    <t>2021-02-27 15:00:00</t>
  </si>
  <si>
    <t>Núcleo de Conciliação Ambiental/RO 2</t>
  </si>
  <si>
    <t>Candeias do Jamari</t>
  </si>
  <si>
    <t>RO</t>
  </si>
  <si>
    <t>FABRICA DE MOVEIS E BENEFICIAMENTO VILA SAMUEL LTDA - ME</t>
  </si>
  <si>
    <t>Linha 45, Vila Samuel</t>
  </si>
  <si>
    <t>Operação</t>
  </si>
  <si>
    <t>AMAZÔNIA VERDE - BASE RO1 - II</t>
  </si>
  <si>
    <t>2021-02-28 00:00:00</t>
  </si>
  <si>
    <t>2021-02-28 16:40:44</t>
  </si>
  <si>
    <t>Preenchido</t>
  </si>
  <si>
    <t>47 § 1 Decreto 6514/2008.</t>
  </si>
  <si>
    <t>MTYTKCTD</t>
  </si>
  <si>
    <t>EXPORTAR 01 EXEMPLAR DE SIMPHYSODON DISCUS EM DESACORDO COM A LPCO E2100070137. EXEMPLAR EXCEDENTE IDENTIFICADO NA CAIXA 03, TOTALIZANDO 15 EXEMPLARES. ABERTAS TODAS AS CAIXAS FICOU RATIFICADO 85 EXEMPLARES NA REMESSA.</t>
  </si>
  <si>
    <t>2021-02-27 14:55:10</t>
  </si>
  <si>
    <t>Representante</t>
  </si>
  <si>
    <t>Guarulhos</t>
  </si>
  <si>
    <t>SP</t>
  </si>
  <si>
    <t>PRESTIGE AQUARIUM LTDA</t>
  </si>
  <si>
    <t>Aeroporto Internacional de Guarulhos</t>
  </si>
  <si>
    <t>SP/SUPES</t>
  </si>
  <si>
    <t>2021-02-27 15:26:09</t>
  </si>
  <si>
    <t>38 1º Decreto 6514; 70 1º Lei 9605; 72 Lei 9605; 3º II Decreto 6514; 3º IV Decreto 6514.</t>
  </si>
  <si>
    <t>B4V76Y6Q</t>
  </si>
  <si>
    <t>Transportar 16,38 metros cúbicos de madeiras serradas de diversas espécies sem autorização do órgão ambiental competente.</t>
  </si>
  <si>
    <t>2021-02-26 23:00:00</t>
  </si>
  <si>
    <t>Núcleo de Conciliação Ambiental/RO 1</t>
  </si>
  <si>
    <t>EDMAR DE MELLO GOMES</t>
  </si>
  <si>
    <t>Patio da Madeireira Forts</t>
  </si>
  <si>
    <t>2021-02-28 16:39:51</t>
  </si>
  <si>
    <t>POLQHACC</t>
  </si>
  <si>
    <t>Apresentar informação falsa em sistema oficial de controle - Sistema DOF, sendo o DOF n°: 19925910, inválido para o transporte, pois não ineformou o modal de transbordo. 
OBS.: Processo investigatório n°: 02029.001322/2018-11.</t>
  </si>
  <si>
    <t>2021-02-26 17:00:57</t>
  </si>
  <si>
    <t>Novo Horizonte do Oeste</t>
  </si>
  <si>
    <t>JB COMÉRCIO DE MADEIRA EIRELI</t>
  </si>
  <si>
    <t>JB COMÉRCIO DE MADEIRA EIRELI
RUA: MARECHAL RONDON, 2930 EM MIGRANTINOPOLIS.</t>
  </si>
  <si>
    <t>JI-PARANÁ/UNID_TEC</t>
  </si>
  <si>
    <t>ROTINA LIV</t>
  </si>
  <si>
    <t>2021-03-01 16:44:31</t>
  </si>
  <si>
    <t>VXAJ6ZFI</t>
  </si>
  <si>
    <t>Apresentar informação falsa em sistema oficial de controle - Sistema DOF, sendo o DOF n°: 19925897 inválido para o transporte, pois não informou o modal de transbordo.
OBS. Processo investigatório n°: 02007003883/2020-27.</t>
  </si>
  <si>
    <t>2021-02-26 16:30:40</t>
  </si>
  <si>
    <t>JB COMÉRCIO DE MADEIRA EIRELI
Rua: Marechal Rondon, 2930; Distrito de Migrantinopolis.</t>
  </si>
  <si>
    <t>2021-03-01 16:47:25</t>
  </si>
  <si>
    <t>Y1JCYDY2</t>
  </si>
  <si>
    <t>Transportar 84,9480 metros cúbicos de madeira sem licença válida para todo tempo da viagem.</t>
  </si>
  <si>
    <t>2021-02-26 16:19:04</t>
  </si>
  <si>
    <t>Núcleo de Conciliação Ambiental/GO</t>
  </si>
  <si>
    <t>Jataí</t>
  </si>
  <si>
    <t>GO</t>
  </si>
  <si>
    <t>Cerrado</t>
  </si>
  <si>
    <t>FEROSWALZA INDUSTRIA E COMERCIO LTDA - EPP</t>
  </si>
  <si>
    <t>Rodovia BR 364 KM 192</t>
  </si>
  <si>
    <t>GO/SUPES</t>
  </si>
  <si>
    <t>2021-03-01 14:02:16</t>
  </si>
  <si>
    <t>47 1º Decreto 6514; 70 1º Lei 9605; 72 Lei 9605; 3º II Decreto 6514; 3º IV Decreto 6514.</t>
  </si>
  <si>
    <t>1KBJUL6P</t>
  </si>
  <si>
    <t>Apresentar informação falsa em sistema oficial de controle - Sistema DOF, sendo o DOF n°: 19933489 inválido para o transporte, pois não informaram o modal de transbordo.
OBS.: Processo investigatório n°: 02007.003560/2020-33.</t>
  </si>
  <si>
    <t>2021-02-26 15:48:04</t>
  </si>
  <si>
    <t>JB COMÉRCIO DE MADEIRA EIRELI
RUA: MARECHAL RONDON, 2930, DISTRITO DE MIGRANTINOPOLIS.</t>
  </si>
  <si>
    <t>2021-03-01 16:37:19</t>
  </si>
  <si>
    <t>44/48, 
 IN. 21/2014.</t>
  </si>
  <si>
    <t>KGQPNKQU</t>
  </si>
  <si>
    <t>Prestar informação falsa no Sistema Oficial de Controle - Sistema DOF, conforme Relatório de Constatação, processo 02024.000526/2021-80.</t>
  </si>
  <si>
    <t>Penalidade pecuniária - Outras</t>
  </si>
  <si>
    <t>Outras</t>
  </si>
  <si>
    <t>2021-02-26 15:39:52</t>
  </si>
  <si>
    <t>Jaru</t>
  </si>
  <si>
    <t>J.M. ALVES SILVA - ME</t>
  </si>
  <si>
    <t>Estrada da Linha 630, Km 59, Distrito de Tarilândia, Mun. de Jaru - RO.</t>
  </si>
  <si>
    <t>2021-02-27 11:11:31</t>
  </si>
  <si>
    <t>ZWW4S1G7</t>
  </si>
  <si>
    <t>Prestar informação falsa no Sistema Oficial de Controle- Sistema DOF, conforme Relatório de Constatação, processo 02024.000526/2021-80.</t>
  </si>
  <si>
    <t>2021-02-26 15:28:34</t>
  </si>
  <si>
    <t>Alto Alegre dos Parecis</t>
  </si>
  <si>
    <t>GOLFETTO &amp; CIA LTDA</t>
  </si>
  <si>
    <t>Av. Tancredo de Almeida Neves, 2353, Bairro Vista Alegre - Alto Alegre dos Parecis- RO.</t>
  </si>
  <si>
    <t>2021-02-28 10:00:00</t>
  </si>
  <si>
    <t>OIP716N1</t>
  </si>
  <si>
    <t>2021-02-26 15:17:02</t>
  </si>
  <si>
    <t>Cacoal</t>
  </si>
  <si>
    <t>DEPOSITO DE MADEIRA SETE DE SETEMBRO LTDA - ME</t>
  </si>
  <si>
    <t>Av. Sete de Setembro, 3580, Bairro Jd. Clodoaldo - Cacoal- RO.</t>
  </si>
  <si>
    <t>2021-03-01 15:44:18</t>
  </si>
  <si>
    <t>6YT55PTI</t>
  </si>
  <si>
    <t>2021-02-26 15:03:16</t>
  </si>
  <si>
    <t>J G IND.E COM. DE CARROCERIAS LTDA. - EPP</t>
  </si>
  <si>
    <t>Rod.  BR 364, Lote 03-A, Gleba 05, Setor Gy-Paraná, Zona Rural  - Cacoal- RO.</t>
  </si>
  <si>
    <t>2021-03-01 15:45:04</t>
  </si>
  <si>
    <t>M4RG2IMU</t>
  </si>
  <si>
    <t>2021-02-26 14:49:43</t>
  </si>
  <si>
    <t>PEROBA MOVEIS LTDA - ME</t>
  </si>
  <si>
    <t>Rua Edinei Emídio de Almeida, 1648, Bairro Parque Industrial - Cacoal - RO.</t>
  </si>
  <si>
    <t>2021-03-01 15:45:50</t>
  </si>
  <si>
    <t>YK9J33I6</t>
  </si>
  <si>
    <t>Advertência</t>
  </si>
  <si>
    <t>Deixar de atender às exigências regulamentares estabelecidas no Ofício xxx, visando à regularização da atividade.
Fica o autuado advertido de que tem um prazo de 20 dias para informar no Processo 02026.004096/2020-74 as datas corretas de óbito de cada ave e as razões dos óbitos dessas aves.</t>
  </si>
  <si>
    <t>2021-02-26 14:49:16</t>
  </si>
  <si>
    <t>A DEFINIR</t>
  </si>
  <si>
    <t>Garopaba</t>
  </si>
  <si>
    <t>SC</t>
  </si>
  <si>
    <t>Infração referente ao Controle ambiental não classificada - Advertência</t>
  </si>
  <si>
    <t>Rodrigo Luís Gomes</t>
  </si>
  <si>
    <t>Campo D'una</t>
  </si>
  <si>
    <t>SC/SUPES</t>
  </si>
  <si>
    <t>ROTINA LIV I</t>
  </si>
  <si>
    <t>2021-02-26 15:07:16</t>
  </si>
  <si>
    <t>80 Decreto 6514; 70 1º Lei 9605; 72 Lei 9605; 3º I Decreto 6514.</t>
  </si>
  <si>
    <t>5°, 1° e 2° Decreto 6.514/2008.</t>
  </si>
  <si>
    <t>A1S7ORS1</t>
  </si>
  <si>
    <t>Prestar informação falsa no Sistema Oficial de Controle - Sistema DOF, conforme Relatório de Constatação,  processo 02024.000526/2021-80.</t>
  </si>
  <si>
    <t>2021-02-26 14:23:34</t>
  </si>
  <si>
    <t>MADERALTO COMERCIO E DEPÓSITO DE MADEIRAS LTDA -ME</t>
  </si>
  <si>
    <t>Rua Venceslau Braz, 3239, Bairro Centro - Alto Alegre dos Parecis - RO.</t>
  </si>
  <si>
    <t>2021-03-01 15:46:48</t>
  </si>
  <si>
    <t>R5H5XXFF</t>
  </si>
  <si>
    <t>Apresentar informação falsa no sistema oficial de controle DOF.</t>
  </si>
  <si>
    <t>2021-02-26 13:00:00</t>
  </si>
  <si>
    <t>2021-02-26</t>
  </si>
  <si>
    <t>Núcleo de Conciliação Ambiental Nacional 1</t>
  </si>
  <si>
    <t>Porto Velho</t>
  </si>
  <si>
    <t>J MARTINS DE SOUSA MARCENARIA</t>
  </si>
  <si>
    <t>Supes RO</t>
  </si>
  <si>
    <t>2021-02-27 00:00:00</t>
  </si>
  <si>
    <t>2021-02-27 15:02:03</t>
  </si>
  <si>
    <t>82 Decreto 6514/2008.</t>
  </si>
  <si>
    <t>JOU3NAIF</t>
  </si>
  <si>
    <t>Transportar 25,5m3 de madeira serrada da essência florestal Dinizia excelsa (faveira) sem a devida licença valida.</t>
  </si>
  <si>
    <t>2021-02-26 12:00:00</t>
  </si>
  <si>
    <t>Ariquemes</t>
  </si>
  <si>
    <t>INDUSTRIA E COMERCIO DE MADEIRAS E TRANSP ITAGIBA LTDA - EPP</t>
  </si>
  <si>
    <t>rodovia 163. Posto da polícia rodoviária federal em ariquemes</t>
  </si>
  <si>
    <t>2021-02-27 15:00:57</t>
  </si>
  <si>
    <t>2HOMS0V9</t>
  </si>
  <si>
    <t>Praticar maus tratos em 294 animais silvestres nativos</t>
  </si>
  <si>
    <t>Penalidade pecuniária - Fauna</t>
  </si>
  <si>
    <t>Fauna</t>
  </si>
  <si>
    <t>2021-02-26 11:29:47</t>
  </si>
  <si>
    <t>Infração da Fauna(Não Classificada-Móvel)</t>
  </si>
  <si>
    <t>Kravchenko Kirill Sergeevich</t>
  </si>
  <si>
    <t>aeroporto Internacional de Guarulhos</t>
  </si>
  <si>
    <t>2021-02-26 11:34:47</t>
  </si>
  <si>
    <t>29 Decreto 6514; 70 1º Lei 9605; 72 Lei 9605; 3º II Decreto 6514.</t>
  </si>
  <si>
    <t>AD8PGAHB</t>
  </si>
  <si>
    <t>Fazer funcionar atividade utilizadora de recursos ambientais - importação de duas estrelas do mar (objeto RF218810548ES), enquadrada na atividade 21-57 (importação/exportação de fauna exótica) sem autorização de importação emitida pelo IBAMA</t>
  </si>
  <si>
    <t>2021-02-26 11:23:56</t>
  </si>
  <si>
    <t>Núcleo de Conciliação Ambiental/PR</t>
  </si>
  <si>
    <t>Pinhais</t>
  </si>
  <si>
    <t>PR</t>
  </si>
  <si>
    <t>Estefani Bethania Lima</t>
  </si>
  <si>
    <t>CEINT Rua Salgado Filho 476 Pinhais PR</t>
  </si>
  <si>
    <t>PR/SUPES</t>
  </si>
  <si>
    <t>ROTINA SAN</t>
  </si>
  <si>
    <t>2021-02-26 15:55:28</t>
  </si>
  <si>
    <t>66 Decreto 6514; 70 1º Lei 9605; 72 Lei 9605; 3º II Decreto 6514; 3º IV Decreto 6514.</t>
  </si>
  <si>
    <t>U0HBKXTF</t>
  </si>
  <si>
    <t>Transportar 294 animais silvestres nativos sem licença do IBAMA</t>
  </si>
  <si>
    <t>2021-02-26 11:12:10</t>
  </si>
  <si>
    <t>Núcleo de Conciliação Ambiental/SP 2</t>
  </si>
  <si>
    <t>2021-02-26 11:24:52</t>
  </si>
  <si>
    <t>24 3º Decreto 6514; 70 1º Lei 9605; 72 Lei 9605; 3º II Decreto 6514.</t>
  </si>
  <si>
    <t>HX1SUS96</t>
  </si>
  <si>
    <t>Deixar de apresentar relatórios anuas no prazo exigido pela legislação determinado pela autoridade ambiental, referente aos anos de 2015/2014, 2026/2015,2017/2016,2018/2017 e 2019/2018.</t>
  </si>
  <si>
    <t>Penalidade pecuniária - Cadastro Técnico Federal</t>
  </si>
  <si>
    <t>Cadastro Técnico Federal</t>
  </si>
  <si>
    <t>2021-02-26 11:08:10</t>
  </si>
  <si>
    <t>Núcleo de Conciliação Ambiental/PI</t>
  </si>
  <si>
    <t>Simplício Mendes</t>
  </si>
  <si>
    <t>PI</t>
  </si>
  <si>
    <t>Caatinga</t>
  </si>
  <si>
    <t>Infração do CTF(Não Classificada-Móvel)</t>
  </si>
  <si>
    <t>COSME E LAVOR LTDA</t>
  </si>
  <si>
    <t>Rua Francisco Moreira Pinto, s/n -</t>
  </si>
  <si>
    <t>PI/SUPES</t>
  </si>
  <si>
    <t>ROTINA CTF</t>
  </si>
  <si>
    <t>2021-02-26 11:19:14</t>
  </si>
  <si>
    <t>81 Decreto 6514; 70 1º Lei 9605; 72 Lei 9605; 3º II Decreto 6514.</t>
  </si>
  <si>
    <t>QGN2ANGB</t>
  </si>
  <si>
    <t>fazer funcionar atividades contrariando as condicionantes 2.4 e 2.8 da licença de pesquisas sísmica - LPS nº 123/2018, conforme parecer técnico nº xxx.</t>
  </si>
  <si>
    <t>Penalidade pecuniária - Licenciamento</t>
  </si>
  <si>
    <t>Licenciamento</t>
  </si>
  <si>
    <t>2021-02-26 10:49:03</t>
  </si>
  <si>
    <t>Brasília</t>
  </si>
  <si>
    <t>DF</t>
  </si>
  <si>
    <t>Infração de Licenciamento(Não Classificada-Móvel)</t>
  </si>
  <si>
    <t>SPECTRUM GEO DO BRASIL SERVIÇOS GEOFÍSICOS LTDA.</t>
  </si>
  <si>
    <t>Bacia Sedimentar de Pernambuco-Paraiba- Projeto Spectrum PE/PB. coord.geográfica defendia-LPS-123/18</t>
  </si>
  <si>
    <t>2021-02-26 15:03:19</t>
  </si>
  <si>
    <t>66 Decreto 6514; 70 1º Lei 9605; 72 Lei 9605; 3º II Decreto 6514.</t>
  </si>
  <si>
    <t>SS1HYDIU</t>
  </si>
  <si>
    <t>Deixar de atender asexigências legais quando devidamente notificado pela autoridade ambiental competente, conforme parecer técnico nº xxx.</t>
  </si>
  <si>
    <t>2021-02-26 10:26:05</t>
  </si>
  <si>
    <t>Pampa</t>
  </si>
  <si>
    <t>DNIT-DEPARTAMENTO NACIONAL DE INFRAEST DE TRANSPORTES</t>
  </si>
  <si>
    <t>San quadra 3 lote A edifício núcleo dos transportes primeiro andar sala 1318 Brasília DF</t>
  </si>
  <si>
    <t>2021-02-26 15:04:42</t>
  </si>
  <si>
    <t>80 Decreto 6514; 70 1º Lei 9605; 72 Lei 9605; 3º II Decreto 6514.</t>
  </si>
  <si>
    <t>WA2OJH07</t>
  </si>
  <si>
    <t>Destruir 137,95 hectares de floresta de vegetação nativa, objetivo de especial preservação (Floresta Amazônica, interior da Resex Guariba Roosevelt), sem licença da autoridade ambiental competente.</t>
  </si>
  <si>
    <t>2021-02-26 10:15:10</t>
  </si>
  <si>
    <t>Colniza</t>
  </si>
  <si>
    <t>MT</t>
  </si>
  <si>
    <t>Ednaltre Pedro de Oliveira</t>
  </si>
  <si>
    <t>Desmatamento</t>
  </si>
  <si>
    <t>Alvo -10
Ednaltre Pedro de Oliveira.</t>
  </si>
  <si>
    <t>MT/SUPES</t>
  </si>
  <si>
    <t>AMAZÔNIA VERDE-MT I</t>
  </si>
  <si>
    <t>2021-02-26 10:27:51</t>
  </si>
  <si>
    <t>50 2º Decreto 6514; 70 1º Lei 9605; 72 Lei 9605; 3º II Decreto 6514; 3º IV Decreto 6514; 3º VII Decreto 6514.</t>
  </si>
  <si>
    <t>YRK8UKWJ</t>
  </si>
  <si>
    <t>Apresentar informação falsa no sistema oficial de controle (DOF). Conforme descrito em Ofício xxx(SEI-xxx); Relatório de Constatação (SEI-xxx).</t>
  </si>
  <si>
    <t>Controle Ambiental</t>
  </si>
  <si>
    <t>2021-02-26 09:33:23</t>
  </si>
  <si>
    <t>Espigão d'Oeste</t>
  </si>
  <si>
    <t>CORAL MADEIRAS EIRELI EPP</t>
  </si>
  <si>
    <t>Rua Ervino Prochnow, S/N.
Bairro Liberdade
Espigão D'Oeste -RO</t>
  </si>
  <si>
    <t>2021-02-26 09:44:16</t>
  </si>
  <si>
    <t>70 1º Lei 9605; 72 Lei 9605; 3º II Decreto 6514.</t>
  </si>
  <si>
    <t>72, XI 9.605/98; 82, I Dec.6.514/08.</t>
  </si>
  <si>
    <t>AKO3RAHX</t>
  </si>
  <si>
    <t>Construir obra, barragem de terra com formação de lago de 6,6 ha atingindo vegetação nativa, sem licença ambiental emitida pela autoridade competente.</t>
  </si>
  <si>
    <t>2021-02-26 09:22:47</t>
  </si>
  <si>
    <t>Turvo</t>
  </si>
  <si>
    <t>PEDRO NEUDAIR ANTUNES</t>
  </si>
  <si>
    <t>Faxinal dos Rodrigues</t>
  </si>
  <si>
    <t>MATA VIVA-PR</t>
  </si>
  <si>
    <t>2021-02-26 09:35:53</t>
  </si>
  <si>
    <t>UHLWLSQX</t>
  </si>
  <si>
    <t>Deixar de apresentar os relatórios anuais de atividades poluidoras nos prazos exigidos pela legislação no sistema oficial de controle do IBAMA CTF relativos aos anos de 2016/2015, 2017/2016, 2018/2017 e 2019/2018.</t>
  </si>
  <si>
    <t>2021-02-26 08:44:56</t>
  </si>
  <si>
    <t>Anísio de Abreu</t>
  </si>
  <si>
    <t>VANCELIO DA SILVA LOPES</t>
  </si>
  <si>
    <t>Sede da empresa (trabalho remoto inseridas as coordenadas da SUPES-PI).</t>
  </si>
  <si>
    <t>2021-02-26 08:51:06</t>
  </si>
  <si>
    <t>H5CV17BZ</t>
  </si>
  <si>
    <t>Deixar de inscrever-se no Cadastro Técnico Federal de que trata o Art 17 da alei 6938/1981, empresa de médio porte.</t>
  </si>
  <si>
    <t>2021-02-26 08:31:15</t>
  </si>
  <si>
    <t>Núcleo de Conciliação Ambiental/SP 1</t>
  </si>
  <si>
    <t>Santos</t>
  </si>
  <si>
    <t>Sucaparte Comércio Exp e Imp de Resíduos e Sucatas Ltda</t>
  </si>
  <si>
    <t>BTP BRASIL TERMINAL PORTUÁRIO</t>
  </si>
  <si>
    <t>2021-02-26 08:41:52</t>
  </si>
  <si>
    <t>76 Decreto 6514; 70 1º Lei 9605; 72 Lei 9605; 3º II Decreto 6514; 3º VII Decreto 6514.</t>
  </si>
  <si>
    <t>GX9L0VNK</t>
  </si>
  <si>
    <t>Deixar de atender a exigências legais ou regulamentares quando devidamente notificado pela autoridade ambiental competente no prazo concedido (Ofício xxx).</t>
  </si>
  <si>
    <t>2021-02-26 08:26:39</t>
  </si>
  <si>
    <t>São José do Rio Preto</t>
  </si>
  <si>
    <t>Rafael  Pereira da Silva</t>
  </si>
  <si>
    <t>UT São José do Rio Preto</t>
  </si>
  <si>
    <t>Sao Jose do Rio Preto/Unid_Tec</t>
  </si>
  <si>
    <t>2021-03-01 16:39:55</t>
  </si>
  <si>
    <t>BBP3WIC4</t>
  </si>
  <si>
    <t>Deixar de manter registro de acervo faunistico e movimentação de plantel em sistemas informatizados de controle de fauna ( não declarou nascimento da ave referente a anilha SISPASS 3.5 SP/A 132010).</t>
  </si>
  <si>
    <t>2021-02-26 08:17:17</t>
  </si>
  <si>
    <t>RAFAEL PEREIRA DA SILVA</t>
  </si>
  <si>
    <t>2021-03-01 16:40:25</t>
  </si>
  <si>
    <t>31 Decreto 6514; 70 1º Lei 9605; 72 Lei 9605; 3º II Decreto 6514; 3º VII Decreto 6514.</t>
  </si>
  <si>
    <t>RZOQ6VMV</t>
  </si>
  <si>
    <t>Exportar 2.000 Kg de produto perigoso ao meio ambiente (A2030 Resíduos de catalisadores), em desacordo com as exigências estabelecidas em leis ou em seus regulamentos (Decreto 875/1993 - Convenção de Basiléia), constatado pela DU-E 21BR000228403-9</t>
  </si>
  <si>
    <t>Penalidade pecuniária - Qualidade Ambiental</t>
  </si>
  <si>
    <t>Qualidade Ambiental</t>
  </si>
  <si>
    <t>2021-02-26 07:37:12</t>
  </si>
  <si>
    <t>Infração referente a Qualidade Ambiental(Não Classificada-Móvel)</t>
  </si>
  <si>
    <t>BTP - Brasil Terminal Portuário</t>
  </si>
  <si>
    <t>2021-02-26 08:28:37</t>
  </si>
  <si>
    <t>64 Decreto 6514; 70 1º Lei 9605; 72 Lei 9605; 3º II Decreto 6514.</t>
  </si>
  <si>
    <t>Anexo VIII, A2030 Decreto n.o 4581/2003; 1°, . Decreto 874/1993.</t>
  </si>
  <si>
    <t>ZOQ9QJ7E</t>
  </si>
  <si>
    <t>Apresentar informação falsa no sistema oficial de controle (DOF). Conforme descrito em Ofício xxx (SEI-xxx); Relatório de Constatação (SEI-xxx).</t>
  </si>
  <si>
    <t>2021-02-26 05:42:19</t>
  </si>
  <si>
    <t>2020-02-26</t>
  </si>
  <si>
    <t>COMÉRCIO DE MADEIRAS FOX LTDA ME</t>
  </si>
  <si>
    <t>Rua Dilson Rodrigues Belo, 3812.
Vista Alegre.
Espigão D'Oeste RO</t>
  </si>
  <si>
    <t>2021-02-26 06:03:31</t>
  </si>
  <si>
    <t>82, I Dec.6.514/08.</t>
  </si>
  <si>
    <t>E04MAQ0G</t>
  </si>
  <si>
    <t>Realizar operação de comercialização de 1.155 kg de pescado fresco, conservado em gelo, no dia 11/12/2020, no municipio de Mostardas/RS, por meio da Nota de Produtor-NP P 204 009331, inválida como documemento de origem do pescado.</t>
  </si>
  <si>
    <t>2021-02-25 20:33:47</t>
  </si>
  <si>
    <t>Núcleo de Conciliação Ambiental/RS</t>
  </si>
  <si>
    <t>Mostardas</t>
  </si>
  <si>
    <t>RS</t>
  </si>
  <si>
    <t>LDS Pescados EIRELI</t>
  </si>
  <si>
    <t>Zona Urbana</t>
  </si>
  <si>
    <t>RS/SUPES</t>
  </si>
  <si>
    <t>2021-03-01 15:10:08</t>
  </si>
  <si>
    <t>35 IV Decreto 6514; 70 1º Lei 9605; 72 Lei 9605; 3º II Decreto 6514.</t>
  </si>
  <si>
    <t>1o, Paragrafo Unico INI MPA/MAPA n.o 04/2014.</t>
  </si>
  <si>
    <t>G0QB0RBI</t>
  </si>
  <si>
    <t>Ter em cativeiro 41 espécimes da fauna silvestre nativa sem autorização da autoridade ambiental competente.</t>
  </si>
  <si>
    <t>2021-02-25 17:41:46</t>
  </si>
  <si>
    <t>Núcleo de Conciliação Ambiental/AL</t>
  </si>
  <si>
    <t>Piranhas</t>
  </si>
  <si>
    <t>AL</t>
  </si>
  <si>
    <t>Raimundo Antonio da Silva</t>
  </si>
  <si>
    <t>Sítio  Aconchego.</t>
  </si>
  <si>
    <t>AL/SUPES</t>
  </si>
  <si>
    <t>2021-02-25 18:34:39</t>
  </si>
  <si>
    <t>24 I Decreto 6514; 24 III Decreto 6514; 70 1º Lei 9605; 72 Lei 9605; 3º II Decreto 6514; 3º IV Decreto 6514.</t>
  </si>
  <si>
    <t>JNLI39N6</t>
  </si>
  <si>
    <t>Apresentar informação falsa em sistema oficial de controle, sistema DOF, sendo os DOF's N°s: 19944331, 19444601, 19864113, 19829831, 19834301, 19854848, 19849853 e 19908417 inválidos para o transporte, DOF's emitidos com rota economicamente inviável.
OBS.: Processo investigativo n°: 02554.000224/2018-18.</t>
  </si>
  <si>
    <t>2021-02-25 16:55:16</t>
  </si>
  <si>
    <t>Rolim de Moura</t>
  </si>
  <si>
    <t>A. F. DOS SANTOS EIRELI - ME</t>
  </si>
  <si>
    <t>A. F. DOS SANTOS EIRELI-ME
AV. RECIFE, 4930, CENTRO DE ROLIM DE MOURA-RO. CEP: 76.940-000.</t>
  </si>
  <si>
    <t>2021-03-01 16:34:53</t>
  </si>
  <si>
    <t>IBU2NOKH</t>
  </si>
  <si>
    <t>Fazer funcionar atividade utilizadora de recursos ambientais -encomenda LG376441200GB (faca com cabo de chifre de Axis sp), enquadrada na atividade 21-57 (importação/exportação de fauna exótica sem autorização de importação emitida pelo IBAMA</t>
  </si>
  <si>
    <t>2021-02-25 16:22:58</t>
  </si>
  <si>
    <t>Jayme Jose Barreira Costa</t>
  </si>
  <si>
    <t>CEINT 
Rua Salgado Filho 476 Pinhais PR</t>
  </si>
  <si>
    <t>PUMBA-PR</t>
  </si>
  <si>
    <t>2021-02-25 16:31:40</t>
  </si>
  <si>
    <t>3UZN5XSD</t>
  </si>
  <si>
    <t>DEIXAR DE ENTREGAR RAPP,NOS PRAZOS EXIGIDOS,REFERENTE AO PERIODO 2016/2017, 2017/2018,  2018/2019 2019/2020.</t>
  </si>
  <si>
    <t>2021-02-25 16:08:31</t>
  </si>
  <si>
    <t>Núcleo de Conciliação Ambiental/CE</t>
  </si>
  <si>
    <t>Caucaia</t>
  </si>
  <si>
    <t>CE</t>
  </si>
  <si>
    <t>CERAMICA CAMPO MAIOR LTDA</t>
  </si>
  <si>
    <t>Rodovia BR 222,  KM 12</t>
  </si>
  <si>
    <t>CE/SUPES</t>
  </si>
  <si>
    <t>2021-02-25 16:26:22</t>
  </si>
  <si>
    <t>WZ2CICV3</t>
  </si>
  <si>
    <t>Transportar 23,1336m³ de madeira serrada de essências diversas  (ripas, caibros, viga e pranchão), sem licença válida para todo o tempo do transporte.</t>
  </si>
  <si>
    <t>2021-02-25 16:01:30</t>
  </si>
  <si>
    <t>Núcleo de Conciliação Ambiental/MA</t>
  </si>
  <si>
    <t>Santa Inês</t>
  </si>
  <si>
    <t>MA</t>
  </si>
  <si>
    <t>Cleiton Andre Araujo Cardoso</t>
  </si>
  <si>
    <t>Unidade avançada do IBAMA em Santa Inês</t>
  </si>
  <si>
    <t>MA/SUPES</t>
  </si>
  <si>
    <t>DES ROTINA II</t>
  </si>
  <si>
    <t>2021-02-25 16:30:51</t>
  </si>
  <si>
    <t>47 1º Decreto 6514; 47 2º Decreto 6514; 70 1º Lei 9605; 72 Lei 9605; 3º II Decreto 6514; 3º IV Decreto 6514.</t>
  </si>
  <si>
    <t>N8JKDR2O</t>
  </si>
  <si>
    <t>Fazer funcionar atividade utilizadora de recursos ambientais, considerados efetiva ou potencialmente poluidores, sem licença dos órgãos ambientais competentes. 
A L.O. n° 140313 está vencida desde 16/09/2020.</t>
  </si>
  <si>
    <t>2021-02-25 15:24:52</t>
  </si>
  <si>
    <t>Cujubim</t>
  </si>
  <si>
    <t>MADEIREIRA RONDONIA LTDA-ME</t>
  </si>
  <si>
    <t>Madeireira Rondônia Ltda ME</t>
  </si>
  <si>
    <t>2021-02-25 15:44:06</t>
  </si>
  <si>
    <t>66 Decreto 6514; 70 1º Lei 9605; 72 Lei 9605; 3º II Decreto 6514; 3º VII Decreto 6514.</t>
  </si>
  <si>
    <t>JE4HND8C</t>
  </si>
  <si>
    <t>Transportar 23,3856m³ de madeira serrada (ripas e caibros) de essências diversas, sem licença válida para todo o tempo da viagem outorgada pela autoridade ambiental competente.</t>
  </si>
  <si>
    <t>2021-02-25 15:00:00</t>
  </si>
  <si>
    <t>2021-02-25</t>
  </si>
  <si>
    <t>2021-02-26 00:00:00</t>
  </si>
  <si>
    <t>2021-02-26 13:14:25</t>
  </si>
  <si>
    <t>47 § 1,2 Decreto 6514/2008.</t>
  </si>
  <si>
    <t>5LGBI475</t>
  </si>
  <si>
    <t>Utilizar quatro (04) espécimes da fauna silvestre nativa em desacordo com a licença obtida (CTF xxx).
No endereço do criador amadorista de passeriformes havia um (01) espécime de Cyanoloxia brissonii (azulão verdadeiro), anilha SISPASS 2.8 MG/A 053855, não constante da relação de passeriformes do criador amadorista, além desta anilha estar com seu diâmetro interno superior ao estabelecido em norma. Ademais, um (01) espécime de Sporophila caerulescens (coleiro-papa-capim), constante no plantel do criador, anilha: IBAMA OA 2.2 293525, portava anilha com diâmetro superior ao estabelecido em norma. Outro pássaro do plantel, anilha SISPASS 3.5 MG/A 126675, não foi apresentado no ato ação fiscalizatória.</t>
  </si>
  <si>
    <t>2021-02-25 13:41:55</t>
  </si>
  <si>
    <t>2021-02-24</t>
  </si>
  <si>
    <t>Núcleo de Conciliação Ambiental/MG</t>
  </si>
  <si>
    <t>Juiz de Fora</t>
  </si>
  <si>
    <t>MG</t>
  </si>
  <si>
    <t>MARCOS DANIEL MAGALHÃES BALBI RUELA</t>
  </si>
  <si>
    <t>UT-JF</t>
  </si>
  <si>
    <t>Juiz de Fora/Unid_Tec</t>
  </si>
  <si>
    <t>GENESIS-MG</t>
  </si>
  <si>
    <t>2021-02-25 14:27:11</t>
  </si>
  <si>
    <t>24 6º I Decreto 6514; 70 1º Lei 9605; 72 Lei 9605; 3º II Decreto 6514; 3º IV Decreto 6514; 3º IX Decreto 6514.</t>
  </si>
  <si>
    <t>SP8F5NER</t>
  </si>
  <si>
    <t>TO/SUPES</t>
  </si>
  <si>
    <t>Descumprir sanções impostas pelo Termo de Embargo n 604820-C, na Fazenda Barreiro/Brejão, localizada no município de Nova Rosalândia-To.</t>
  </si>
  <si>
    <t>2021-02-25 13:00:00</t>
  </si>
  <si>
    <t>Núcleo de Conciliação Ambiental/TO</t>
  </si>
  <si>
    <t>Nova Rosalândia</t>
  </si>
  <si>
    <t>TO</t>
  </si>
  <si>
    <t>CELSO RENATO CAIXETA</t>
  </si>
  <si>
    <t>Fazenda Barreiro/Brejão</t>
  </si>
  <si>
    <t>2021-02-26 10:17:13</t>
  </si>
  <si>
    <t>79 Decreto 6514/2008.</t>
  </si>
  <si>
    <t>Q5LHHDAW</t>
  </si>
  <si>
    <t>Transportar 200 dúzias de caranguejos vivos e 30 kg de caranguejo catado, que foram capturados por meio de redinha, método proibido de captura.
Este auto de infração substitui o Auto de Infração YWLI7P9A.</t>
  </si>
  <si>
    <t>2021-02-25 12:41:33</t>
  </si>
  <si>
    <t>São Mateus</t>
  </si>
  <si>
    <t>Rubens Chaves do Nascimento</t>
  </si>
  <si>
    <t>Praça de pedágio da ECO101 em São Mateus/ES</t>
  </si>
  <si>
    <t>2021-02-25 13:05:19</t>
  </si>
  <si>
    <t>35 IV Decreto 6514; 70 1º Lei 9605; 72 Lei 9605; 3º II Decreto 6514; 3º IV Decreto 6514.</t>
  </si>
  <si>
    <t>WLQSGEEL</t>
  </si>
  <si>
    <t>Deixar de apresentar os relatórios  anuais de atividades nos  exercícios de 2016 a 2020, referente ao cadastro técnico Federal.</t>
  </si>
  <si>
    <t>2021-02-25 12:19:44</t>
  </si>
  <si>
    <t>Pombos</t>
  </si>
  <si>
    <t>PE</t>
  </si>
  <si>
    <t>José Fernandes Deodato da Silva -ME</t>
  </si>
  <si>
    <t>Sítio, zona rural, municipio de Pombos</t>
  </si>
  <si>
    <t>PE/SUPES</t>
  </si>
  <si>
    <t>PIR PANULIRUS I (RN/CE/PE/PB/AL)</t>
  </si>
  <si>
    <t>2021-02-25 12:45:07</t>
  </si>
  <si>
    <t>R179WYRL</t>
  </si>
  <si>
    <t>Apresentar informação falsa em sistema oficial de controle - sistema DOF, sendo o DOF n°: 19872747, inválido para o transporte, pois não informou o modo de transbordo. 
OBS.: Processo investigatório n°: 02007.000197/2021-85.</t>
  </si>
  <si>
    <t>2021-02-25 11:39:30</t>
  </si>
  <si>
    <t>A.F. DOS SANTOS EIRELI - Av. Recife, 4930; Centro de Rolim de Moura-RO , CEP: 76.940-000.</t>
  </si>
  <si>
    <t>2021-02-25 17:34:58</t>
  </si>
  <si>
    <t>NZSUPADA</t>
  </si>
  <si>
    <t>Utilizar três (03) espécimes da fauna silvestre nativa em desacordo com a licença obtida (CTF xxx). No endereço do criador amadorista de passeriformes havia dois (02) pássaros sem anilhas, sendo um (01) da espécie Saltator similis (trinca-ferro) e um (01) Zonotrichia capensis (tico-tico). Ademais, o espécime constante na relação do criador, um (01) Saltator similis (trinca-ferro), anilha SISPASS 3,5 MG/A 114249, portava a anilha com diâmetro superior ao estabelecido em norma.</t>
  </si>
  <si>
    <t>2021-02-25 11:09:28</t>
  </si>
  <si>
    <t>2021-02-23</t>
  </si>
  <si>
    <t>GABRIEL DA SILVA PIRES</t>
  </si>
  <si>
    <t>2021-02-25 11:22:03</t>
  </si>
  <si>
    <t>2PWTWWOI</t>
  </si>
  <si>
    <t>Deixar de apresentar os relatórios anuais de atividades poluidoras nos prazos exigidos pela legislação no sistema oficial de controle do IBAMA CTF relativos aos anos de 2018/2017 e 2019/2018.</t>
  </si>
  <si>
    <t>2021-02-25 10:00:00</t>
  </si>
  <si>
    <t>Teresina</t>
  </si>
  <si>
    <t>O P BATISTA &amp; CIA LTDA - EPP</t>
  </si>
  <si>
    <t>2021-02-25 00:00:00</t>
  </si>
  <si>
    <t>2021-02-25 15:04:47</t>
  </si>
  <si>
    <t>81 Decreto 6514/2008.</t>
  </si>
  <si>
    <t>QSDC9V0S</t>
  </si>
  <si>
    <t>Funcionar atividade de criação e comercialização de recursos naturais (peixes e anfíbios) sem licença ou autorização do órgão competente.</t>
  </si>
  <si>
    <t>2021-02-25 08:58:11</t>
  </si>
  <si>
    <t>São Paulo</t>
  </si>
  <si>
    <t>Fagner Sarotto Silveira</t>
  </si>
  <si>
    <t>rua Raul Marques Marinho 177</t>
  </si>
  <si>
    <t>2021-03-01 14:13:46</t>
  </si>
  <si>
    <t>66 Decreto 6514; 70 1º Lei 9605; 72 Lei 9605; 3º II Decreto 6514; 3º IX Decreto 6514.</t>
  </si>
  <si>
    <t>JAD5R5HN</t>
  </si>
  <si>
    <t>INTRODUZIR 39 AXOLOTE E 29 DANIO RERIO, SEM PARECER TÉCNICO E LICENÇA DO ORGAO AMBIENTAL COMPETENTE.</t>
  </si>
  <si>
    <t>2021-02-25 08:54:56</t>
  </si>
  <si>
    <t>FAGNER SAROTTO SILVEIRA</t>
  </si>
  <si>
    <t>Rua Raul Marques Marinho, n 175</t>
  </si>
  <si>
    <t>2021-02-25 09:10:52</t>
  </si>
  <si>
    <t>25 1º Decreto 6514; 70 1º Lei 9605; 72 Lei 9605; 3º II Decreto 6514; 3º IV Decreto 6514.</t>
  </si>
  <si>
    <t>M8XJFGO0</t>
  </si>
  <si>
    <t>Pescar no período do Defeso/Piracema 2020/2021, utilizando 600 metros de rede de emalhar malhas 14, 15 e 16 centímetros, petrechos de pesca de uso proibido para este período. Local da infração na localidade denominada Andorinha Lago da barragem de Sobradinho.</t>
  </si>
  <si>
    <t>2021-02-25 06:26:44</t>
  </si>
  <si>
    <t>Núcleo de Conciliação Ambiental/BA</t>
  </si>
  <si>
    <t>Sento Sé</t>
  </si>
  <si>
    <t>BA</t>
  </si>
  <si>
    <t>MANOEL OLIVEIRA DA SILVA</t>
  </si>
  <si>
    <t>Lagoa da Aldeia Velha, no Município de Sento Sé - BA.</t>
  </si>
  <si>
    <t>BARREIRAS/UNID_TEC</t>
  </si>
  <si>
    <t>2021-02-25 06:45:51</t>
  </si>
  <si>
    <t>35 II Decreto 6514; 70 1º Lei 9605; 72 Lei 9605; 3º II Decreto 6514; 3º IV Decreto 6514; 3º IX Decreto 6514; 3º V Decreto 6514.</t>
  </si>
  <si>
    <t>1 e 2, 1 e 2 Portuária 50/2007.</t>
  </si>
  <si>
    <t>PAOE5ITM</t>
  </si>
  <si>
    <t>Transportar 476kg de pescados diversos sem comprovante de origem lícita, mediante a utilização do veículo Montana (placa MTR8164)</t>
  </si>
  <si>
    <t>2021-02-25 01:03:26</t>
  </si>
  <si>
    <t>WILLIAN QUEIROZ LIMA</t>
  </si>
  <si>
    <t>Praça de pedágio, BR101 em São Mateus</t>
  </si>
  <si>
    <t>2021-02-25 01:47:07</t>
  </si>
  <si>
    <t>COKAS8LM</t>
  </si>
  <si>
    <t>Transportar pescado (peroá preta) sem comprovante de origem lícita.</t>
  </si>
  <si>
    <t>2021-02-25 00:37:43</t>
  </si>
  <si>
    <t>JORGE ALVARENGA NOGUEIRA</t>
  </si>
  <si>
    <t>Posto de Pedágio</t>
  </si>
  <si>
    <t>2021-02-25 00:55:13</t>
  </si>
  <si>
    <t>Excluído</t>
  </si>
  <si>
    <t>YWLI7P9A</t>
  </si>
  <si>
    <t>Pescar utilizando redinha, método proibido, 200 dúzias de caranguejos uça, Ucides cordathus.</t>
  </si>
  <si>
    <t>2021-02-24 23:42:40</t>
  </si>
  <si>
    <t>RUBENS CHAVES DO NASCIMENTO</t>
  </si>
  <si>
    <t>praca de pedágio de São Mateus</t>
  </si>
  <si>
    <t>2021-02-25 00:01:42</t>
  </si>
  <si>
    <t>36 Decreto 6514; 70 1º Lei 9605; 72 Lei 9605; 3º II Decreto 6514; 3º IV Decreto 6514.</t>
  </si>
  <si>
    <t>XXW910AM</t>
  </si>
  <si>
    <t>Deixar de atender  a exigência legais ou regulamentares quando devidamente notificado pela autoridade ambiental competente no prazo concedido (notificação AHSP8GS1)</t>
  </si>
  <si>
    <t>2021-02-24 22:49:26</t>
  </si>
  <si>
    <t>Núcleo de Conciliação Ambiental/RR</t>
  </si>
  <si>
    <t>Mucajaí</t>
  </si>
  <si>
    <t>RR</t>
  </si>
  <si>
    <t>AUTO POSTO MUCAJAI LTDA</t>
  </si>
  <si>
    <t>avenida N.Senhora de Fátima n° 10 Mucajaí -RR CEP: 69.340.000</t>
  </si>
  <si>
    <t>RR/SUPES</t>
  </si>
  <si>
    <t>2021-02-25 00:09:51</t>
  </si>
  <si>
    <t>GGBJS646</t>
  </si>
  <si>
    <t>DEIXAR DE APRESENTAR RAPP ANUAL NOS PRAZOS ESTABELECIDOS , REFERENTE AO PERIODO , 2016/2017, 2017/2018 E 2018/2019</t>
  </si>
  <si>
    <t>2021-02-24 17:07:27</t>
  </si>
  <si>
    <t>Fortaleza</t>
  </si>
  <si>
    <t>CEARA POSTES ARTEF CONCRETO LTDA</t>
  </si>
  <si>
    <t>Rua Barbacena , 324</t>
  </si>
  <si>
    <t>2021-02-24 17:23:45</t>
  </si>
  <si>
    <t>B2UQHFI1</t>
  </si>
  <si>
    <t>Apresentar informações falsas relacionadas ao Documento de Origem Florestal - DOF - Exportação n° 23719696 no sistema oficial de controle.</t>
  </si>
  <si>
    <t>2021-02-24 15:30:25</t>
  </si>
  <si>
    <t>Paranaguá</t>
  </si>
  <si>
    <t>SOLIDA PORTAS E JANELAS LTDA</t>
  </si>
  <si>
    <t>Sistema oficial de controle - DOF.
Transporte físico entre o armazém de retaguarda Tropical e o TCP.</t>
  </si>
  <si>
    <t>2021-02-24 15:45:41</t>
  </si>
  <si>
    <t>82 Decreto 6514; 70 1º Lei 9605; 72 Lei 9605; 3º II Decreto 6514; 3º IX Decreto 6514.</t>
  </si>
  <si>
    <t>9°, - Instrução Normativa 01/2017.</t>
  </si>
  <si>
    <t>K7WPI21W</t>
  </si>
  <si>
    <t>Queimar a céu aberto resíduos sólidos residenciais e comerciais em sua propriedade rural.</t>
  </si>
  <si>
    <t>2021-02-24 14:13:19</t>
  </si>
  <si>
    <t>Núcleo de Conciliação Ambiental Nacional 2</t>
  </si>
  <si>
    <t>Tiradentes do Sul</t>
  </si>
  <si>
    <t>Mauro Fernando Santos Pereira</t>
  </si>
  <si>
    <t>Epaminondas, margem do Rio Uruguai.</t>
  </si>
  <si>
    <t>2021-02-25 10:45:19</t>
  </si>
  <si>
    <t>62 Decreto 6514; 70 1º Lei 9605; 72 Lei 9605; 3º II Decreto 6514.</t>
  </si>
  <si>
    <t>62, inciso xi DF 6525/08.</t>
  </si>
  <si>
    <t>5GKLN3X0</t>
  </si>
  <si>
    <t>Ter em depósito 110 palanques de pau-ferro, espécie nativa brasileira, sem documento que comprove sua origem legal.</t>
  </si>
  <si>
    <t>2021-02-24 14:01:51</t>
  </si>
  <si>
    <t>Mauro Fernando dos Santos Pereira</t>
  </si>
  <si>
    <t>2021-02-25 10:46:45</t>
  </si>
  <si>
    <t>QHB9WWAV</t>
  </si>
  <si>
    <t>Transportar 22,983 metros cúbicos de madeira nativa (serrada) da espécie jatobá (Hymenaea courbaril), sem licença válida para todo o tempo da viagem, outorgada pela autoridade competente.</t>
  </si>
  <si>
    <t>2021-02-24 14:00:54</t>
  </si>
  <si>
    <t>Transporte realizado entre o armazém de retaguarda Tropical e o Terminal de Contêineres de Paranaguá</t>
  </si>
  <si>
    <t>2021-02-24 14:58:26</t>
  </si>
  <si>
    <t>47 1º Decreto 6514; 47 2º Decreto 6514; 47 3º Decreto 6514; 70 1º Lei 9605; 72 Lei 9605; 3º II Decreto 6514; 3º IV Decreto 6514.</t>
  </si>
  <si>
    <t>48 e 58, - Instrução Normativa 01/2014; 5°, - Instrução Normativa 15/2011..</t>
  </si>
  <si>
    <t>KE2TB9BO</t>
  </si>
  <si>
    <t>Fazer funcionar atracadouro na margem do Rio Uruguai, nas coordenadas S 27°21'32.43" e W 54°12'41.8", sem licença do órgão ambiental competente.</t>
  </si>
  <si>
    <t>2021-02-24 13:48:29</t>
  </si>
  <si>
    <t>Epaminondas, margem do Rio Uruguai</t>
  </si>
  <si>
    <t>2021-02-25 10:48:00</t>
  </si>
  <si>
    <t>FLLI7OQF</t>
  </si>
  <si>
    <t>Destruir por corte raso para instalação de atracadouro fração de hectare de mata ciliar do Rio Uruguai, Bioma Mata Atlântica, em estágio avançado de recuperação, objeto de especial preservação, sem licença do órgão ambiental competente.</t>
  </si>
  <si>
    <t>2021-02-24 13:31:29</t>
  </si>
  <si>
    <t>2021-02-25 10:48:43</t>
  </si>
  <si>
    <t>49 1º Decreto 6514; 70 1º Lei 9605; 72 Lei 9605; 3º II Decreto 6514.</t>
  </si>
  <si>
    <t>77O26H2P</t>
  </si>
  <si>
    <t>Deixar de dar destinação ambientalmente adequada às embalagens vazias de agrotóxicos, reutilizando-as para diversos fins.</t>
  </si>
  <si>
    <t>2021-02-24 13:00:29</t>
  </si>
  <si>
    <t>Daniel Augusto Krohn Conrat</t>
  </si>
  <si>
    <t>2021-02-25 10:49:35</t>
  </si>
  <si>
    <t>62, inciso vi DF 6514/08.</t>
  </si>
  <si>
    <t>M9WVHTLU</t>
  </si>
  <si>
    <t>Apresentar relatório ambiental parcialmente falso e omisso no Cadastro Técnico Federal ao informar o volume de Lenha consumida no ano de 2017, e informação falsa, enganosa no Sistema SINAFLOR/ DOF ao deixar de informar as destinações finais de lenha consumida.</t>
  </si>
  <si>
    <t>2021-02-24 12:34:41</t>
  </si>
  <si>
    <t>Paudalho</t>
  </si>
  <si>
    <t>M A F DA Silva Malta Cerâmica Eireli</t>
  </si>
  <si>
    <t>Fazenda Vidraçao, SN- Zona Rural - Paudalho - PE</t>
  </si>
  <si>
    <t>2021-02-24 12:47:36</t>
  </si>
  <si>
    <t>J5VKK2HI</t>
  </si>
  <si>
    <t>Fazer funcionar atracadouro na margem do Rio Uruguai nas coordenadas S 27°21'27.54" e W 054°22'42" sem licença do órgão ambiental competente.</t>
  </si>
  <si>
    <t>2021-02-24 12:24:01</t>
  </si>
  <si>
    <t>Márcio Augusto Baron de Caneppele</t>
  </si>
  <si>
    <t>2021-02-25 10:50:14</t>
  </si>
  <si>
    <t>DBCTPNZ1</t>
  </si>
  <si>
    <t>2021-02-24 12:12:54</t>
  </si>
  <si>
    <t>Márcio Augusto Baron Caneppele</t>
  </si>
  <si>
    <t>2021-02-25 10:51:39</t>
  </si>
  <si>
    <t>AE8X0RH5</t>
  </si>
  <si>
    <t>Apresentar relatório ambiental parcialmente falso e omisso no Cadastro Técnico Federal, não informa o volume de lenha consumida no ano de 2017 a 2019 ,e informação falsa, enganosa no Sistema SINAFLOR/DOF, deixar de informa as destinações finais de lenha consumida.</t>
  </si>
  <si>
    <t>2021-02-24 11:46:28</t>
  </si>
  <si>
    <t>Otoniel José Barbosa EEP</t>
  </si>
  <si>
    <t>Estrada de Belém Zona Rural Paudalho/PE</t>
  </si>
  <si>
    <t>2021-02-24 11:59:37</t>
  </si>
  <si>
    <t>HCKU84UE</t>
  </si>
  <si>
    <t>Descartar embalagens de agrotóxicos a céu aberto em sua propriedade em desacordo com a legislação ambiental vigente.</t>
  </si>
  <si>
    <t>2021-02-24 11:22:31</t>
  </si>
  <si>
    <t>Jonas Rodrigo Furst</t>
  </si>
  <si>
    <t>2021-02-25 10:52:15</t>
  </si>
  <si>
    <t>64 1º Decreto 6514; 70 1º Lei 9605; 72 Lei 9605; 3º II Decreto 6514.</t>
  </si>
  <si>
    <t>REDT3JVP</t>
  </si>
  <si>
    <t>2021-02-24 11:12:01</t>
  </si>
  <si>
    <t>2021-02-25 10:52:58</t>
  </si>
  <si>
    <t>63, inciso onze DF 6514.</t>
  </si>
  <si>
    <t>W4TIA7X1</t>
  </si>
  <si>
    <t>Descumprir embargo de número 815503- E, lavrado em 06/08/2018, na Fazenda Conjunto Santana, em uma área de 6,90 há.</t>
  </si>
  <si>
    <t>2021-02-24 11:10:26</t>
  </si>
  <si>
    <t>Itamaraju</t>
  </si>
  <si>
    <t>Adão Raimundo Cardoso</t>
  </si>
  <si>
    <t>Fazenda Conjunto Santana, Nova Alegria, Itamaraju, BA</t>
  </si>
  <si>
    <t>EUNAPOLIS/UNID_TEC</t>
  </si>
  <si>
    <t>ROTINA JANEIRO-FEVEREIRO 2021</t>
  </si>
  <si>
    <t>2021-02-25 16:25:29</t>
  </si>
  <si>
    <t>79 Decreto 6514; 70 1º Lei 9605; 72 Lei 9605; 3º II Decreto 6514.</t>
  </si>
  <si>
    <t>CVFAEDIE</t>
  </si>
  <si>
    <t>Deixar de apresentar relatórios ambientais no prazo exigido pela legislação. Auto de infração lavrado em conformidade com determinação xxx (xxx) e solicitação xxx (xxx e xxx). Segue anexo relatório de fiscalização.</t>
  </si>
  <si>
    <t>2021-02-24 11:00:00</t>
  </si>
  <si>
    <t>Ananás</t>
  </si>
  <si>
    <t>NIXON SILVA</t>
  </si>
  <si>
    <t>Rua Pedro Ludovico, 391, Centro, Ananás.</t>
  </si>
  <si>
    <t>2021-02-24 00:00:00</t>
  </si>
  <si>
    <t>2021-02-24 13:47:17</t>
  </si>
  <si>
    <t>80 Decreto 6514/2008.</t>
  </si>
  <si>
    <t>RRSE9BD5</t>
  </si>
  <si>
    <t>Castelo do Piauí</t>
  </si>
  <si>
    <t>MARIA DA CONCEIÇÃO SOUZA  OLIVEIRA</t>
  </si>
  <si>
    <t>2021-02-25 15:04:07</t>
  </si>
  <si>
    <t>A2IDKTDC</t>
  </si>
  <si>
    <t>Fazer funcionar atracadouro na margem do Rio Uruguai, nas coordenadas S 27°21'26.71" e W 054°12'39.8", sem licença do órgão ambiental competente.</t>
  </si>
  <si>
    <t>2021-02-24 10:57:21</t>
  </si>
  <si>
    <t>Jonad Rodrigo Furst</t>
  </si>
  <si>
    <t>Epaminondas</t>
  </si>
  <si>
    <t>2021-02-25 10:54:30</t>
  </si>
  <si>
    <t>V486AUOK</t>
  </si>
  <si>
    <t>Destruir por corte raso para instalação de atracadouro, fração de hectare de mata ciliar do Rio Uruguai, Bioma Mata Atlântica, em estágio avançado de recuperação, objeto de especial preservação, sem licença do órgão ambiental competente.</t>
  </si>
  <si>
    <t>2021-02-24 10:43:28</t>
  </si>
  <si>
    <t>2021-02-25 10:54:59</t>
  </si>
  <si>
    <t>W3J481BA</t>
  </si>
  <si>
    <t>Apresentar relatório ambiental parcialmente falso e omisso no Cadastro Federal ,ao não informa o volume de lenha consumida no ano de 2017, e informação falsa, enganosa no Sistema SINAFLOR/DOF,ao deixar de informa as destinações finais de lenha consumida.</t>
  </si>
  <si>
    <t>2021-02-24 10:37:33</t>
  </si>
  <si>
    <t>Cerâmica CavalcantI LTDA</t>
  </si>
  <si>
    <t>Rodovia PE 40 Km 1,5 Zona Rural Paudalho/PE</t>
  </si>
  <si>
    <t>2021-02-24 10:56:01</t>
  </si>
  <si>
    <t>3TL19JU6</t>
  </si>
  <si>
    <t>Apresentar informação parcialmente falso no sistema oficial de controle (DOF). -(Cf. Informação xxx(xxx; DOF 198.165.46).</t>
  </si>
  <si>
    <t>2021-02-24 10:34:39</t>
  </si>
  <si>
    <t>Av. Recife, 4930.
Centro</t>
  </si>
  <si>
    <t>2021-02-24 10:44:58</t>
  </si>
  <si>
    <t>8TDJWNTN</t>
  </si>
  <si>
    <t>Apresentar informação falsa no sistema oficial de controle (DOF). (Cf. DOF -197.975.30/Relatorio-UT-Lavras-MG/xxx).</t>
  </si>
  <si>
    <t>2021-02-24 09:52:22</t>
  </si>
  <si>
    <t>Av. Recife, 4.930.
Centro.</t>
  </si>
  <si>
    <t>2021-02-24 10:15:36</t>
  </si>
  <si>
    <t>9PSU6EX9</t>
  </si>
  <si>
    <t>Fazer funcionar atracadouro na margem do Rio Uruguai, nas coordenadas S 27°21'39.50" e W 054°12'42", sem licença do órgão ambiental competente.</t>
  </si>
  <si>
    <t>2021-02-24 09:48:14</t>
  </si>
  <si>
    <t>Clarice Oswald</t>
  </si>
  <si>
    <t>2021-02-25 10:56:30</t>
  </si>
  <si>
    <t>7YN48TVG</t>
  </si>
  <si>
    <t>Destruir por corte raso para instalação de atracadouro, fração de hectare de mata ciliar do Rio Uruguai, Bioma Mata Atlântica, em estágio avançado de regeneração, objeto de especial preservação, sem licença do órgão ambiental competente.</t>
  </si>
  <si>
    <t>2021-02-24 09:30:27</t>
  </si>
  <si>
    <t>2021-02-25 10:56:49</t>
  </si>
  <si>
    <t>49 Decreto 6514; 70 1º Lei 9605; 72 Lei 9605; 3º II Decreto 6514.</t>
  </si>
  <si>
    <t>OQOKL812</t>
  </si>
  <si>
    <t>Deixar de apresentar relatórios anuas no prazo exigido pela legislação, determinado pela autoridade ambiental, referente aos anos de 2017/2016,2018/2017 e 3019/2018.</t>
  </si>
  <si>
    <t>2021-02-24 09:00:00</t>
  </si>
  <si>
    <t>Cocal</t>
  </si>
  <si>
    <t>POSTO DE COMBUSTIVEL BATISTA NETO LTDA</t>
  </si>
  <si>
    <t>Avenida Raimundo Alves Pereira, 784 - São Pedro.</t>
  </si>
  <si>
    <t>2021-02-25 15:00:25</t>
  </si>
  <si>
    <t>SWCJYL30</t>
  </si>
  <si>
    <t>Dificultar a regeneração natural em 6,9 hectares de vegetação nativa de mata atlântica em local cuja regeneração fora indicada pela autoridade ambiental competente no termo de embargo número 815503 Série E.</t>
  </si>
  <si>
    <t>2021-02-24 07:11:02</t>
  </si>
  <si>
    <t>Fazenda Conjunto Santana ,região do Córrego dos Perreira, Município de Itamaraju BA.</t>
  </si>
  <si>
    <t>2021-02-24 16:48:03</t>
  </si>
  <si>
    <t>70 1º Lei 9605; 72 Lei 9605; 3º II Decreto 6514; 3º VII Decreto 6514.</t>
  </si>
  <si>
    <t>7DU0WJTE</t>
  </si>
  <si>
    <t>Ter em depósito 181 unidades de toras de madeiras nativas sem autorização do órgão ambiental competente. 
No saldo da empresa no Sitema SISDOF não consta nenhuma madeira.</t>
  </si>
  <si>
    <t>2021-02-23 18:09:45</t>
  </si>
  <si>
    <t>IC Deposito e Comércio de Madeiras Eireli</t>
  </si>
  <si>
    <t>Empresa IC Comércio de Madeiras</t>
  </si>
  <si>
    <t>2021-02-28 15:59:05</t>
  </si>
  <si>
    <t>47 1º Decreto 6514; 70 1º Lei 9605; 72 Lei 9605; 3º II Decreto 6514; 3º IV Decreto 6514; 3º VII Decreto 6514.</t>
  </si>
  <si>
    <t>45P0NLYB</t>
  </si>
  <si>
    <t>Deixar de dar destinação ambientalmente a resíduos  de postes de luz (postes de concreto, ferros enferrujados e outros materiais), conforme determina legislação vigente.</t>
  </si>
  <si>
    <t>2021-02-23 17:52:42</t>
  </si>
  <si>
    <t>Icapuí</t>
  </si>
  <si>
    <t>COMPANHIA ENERGÉTICA DO CEARÁ</t>
  </si>
  <si>
    <t>Estrada de acesso ao município de Icapuí</t>
  </si>
  <si>
    <t>2021-02-26 10:49:59</t>
  </si>
  <si>
    <t>62, VI decreto 6.514.</t>
  </si>
  <si>
    <t>TZ7F1QHC</t>
  </si>
  <si>
    <t>Transportar 42 metros cúbicos de madeira serrada, sendo, 10 m3 da espécie Jarana em Ripa e 32 m da espécie Angelim Pedra Branca em Tábua, sem licença válida para todo tempo da viagem.</t>
  </si>
  <si>
    <t>2021-02-23 17:36:04</t>
  </si>
  <si>
    <t>Núcleo de Conciliação Ambiental/PE</t>
  </si>
  <si>
    <t>Sertânia</t>
  </si>
  <si>
    <t>PAULO RODRIGUES MARQUES DE MELO</t>
  </si>
  <si>
    <t>BR 232 - KM 278 - Cruzeiro do Nordeste - Sertânia PE</t>
  </si>
  <si>
    <t>ROTINA - NOVO AIE</t>
  </si>
  <si>
    <t>2021-02-23 17:49:35</t>
  </si>
  <si>
    <t>A2GDRJW8</t>
  </si>
  <si>
    <t>Ter em depósito 35 unidades de varetas/ripas para confecção de arcos de violino/contrabaixo de Pau-brasil (Caesalpinia echinata - espécie ameaçada de extinção) sem licença válida para todo tempo de armazenamento outorgada pela autoridade ambiental competente.</t>
  </si>
  <si>
    <t>2021-02-23 17:00:00</t>
  </si>
  <si>
    <t>Linhares</t>
  </si>
  <si>
    <t>ADRIANE JOSE LIMA</t>
  </si>
  <si>
    <t>Córrego do Ouro, s/nº, Desengano, Linhares.</t>
  </si>
  <si>
    <t>FAME DO RE MI</t>
  </si>
  <si>
    <t>2021-02-23 00:00:00</t>
  </si>
  <si>
    <t>2021-02-23 18:23:40</t>
  </si>
  <si>
    <t>47 § 1 Decreto 6514/2008; 60 Inc. 2 Decreto 6514/2008.</t>
  </si>
  <si>
    <t>O5NPBN0C</t>
  </si>
  <si>
    <t>Deixar de atender as exigências contidas da Notificação n° 29/2020-UT-ITAJAÍ-SC/SUPES-SC, referente ao processo administrativo IBAMA 02026.000061/2008-70 - Nilson Metzler (em anexo), para apresentar documentos e/ou informações, referente a propriedade objeto do Termo de Embargo n° 455846/C, vínculada aos Autos de Infração n°s 558630/D e 558631/D, no prazo concedido pela Autoridade Ambiental Competente.</t>
  </si>
  <si>
    <t>2021-02-23 16:00:00</t>
  </si>
  <si>
    <t>Núcleo de Conciliação Ambiental/SC</t>
  </si>
  <si>
    <t>Navegantes</t>
  </si>
  <si>
    <t>NILSON METZLER</t>
  </si>
  <si>
    <t>Servidão Morro Alegre, Escalvadinho, Município de Navegantes-SC.</t>
  </si>
  <si>
    <t>ROTINA SAN I</t>
  </si>
  <si>
    <t>2021-02-26 10:51:24</t>
  </si>
  <si>
    <t>997AIK5P</t>
  </si>
  <si>
    <t>Utilizar quatro (04) espécimes da fauna silvestre nativa, sendo três (03) da espécie Saltator similis (trinca-ferro) e um (01) da espécie Sporophila caerulescens (papa-capim) em desacordo com a licença obtida (CTF xxx). No endereço do criador amadorista de passeriformes havia somente um (01) dos quatro (04) pássaros de seu plantel.</t>
  </si>
  <si>
    <t>2021-02-23 15:27:15</t>
  </si>
  <si>
    <t>RODRIGO FAGUNDES NETTO</t>
  </si>
  <si>
    <t>2021-02-23 15:41:15</t>
  </si>
  <si>
    <t>24 6º I Decreto 6514; 70 1º Lei 9605; 72 Lei 9605; 3º II Decreto 6514; 3º IX Decreto 6514.</t>
  </si>
  <si>
    <t>4DRB2BTT</t>
  </si>
  <si>
    <t>DEIXAR DE INSCREVER-SE NO CADASTRO TÉCNICO FEDERALDE QUE TRATA O ATG . 17 DA LEI6938, DE 1981: I código PP/Gu , a aplicação de agrotóxico e afins,independente de forma de venda 21-47 FTE</t>
  </si>
  <si>
    <t>2021-02-23 15:01:40</t>
  </si>
  <si>
    <t>Aratuba</t>
  </si>
  <si>
    <t>ELIAS CAVALCANTE DE FREITAS</t>
  </si>
  <si>
    <t>Zona rural CE 257 Próximo a fazenda AMARÉ</t>
  </si>
  <si>
    <t>2021-02-23 15:27:48</t>
  </si>
  <si>
    <t>76 Decreto 6514; 70 1º Lei 9605; 72 Lei 9605; 3º II Decreto 6514.</t>
  </si>
  <si>
    <t>SZURYH0U</t>
  </si>
  <si>
    <t>Transportar 25,519m3 de madeira serrada da espécie Dinizia excelsa (faveira) sem a licença valida.</t>
  </si>
  <si>
    <t>2021-02-23 15:00:00</t>
  </si>
  <si>
    <t>william Gabriel Alves</t>
  </si>
  <si>
    <t>PRF de Ariquemes</t>
  </si>
  <si>
    <t>2021-02-27 14:59:25</t>
  </si>
  <si>
    <t>AQ7ONBTW</t>
  </si>
  <si>
    <t>Ter em cativeiro 5 pássaros da fauna silvestre brasileira, sem a devida permissão, licença ou autorização da autoridade ambiental competente.</t>
  </si>
  <si>
    <t>2021-02-23 14:57:41</t>
  </si>
  <si>
    <t>Eunápolis</t>
  </si>
  <si>
    <t>VALTEIR RIBEIRO PEREIRA</t>
  </si>
  <si>
    <t>Rod. BR 101, Posto da PRF, Eunápolis/BA, CEP 45 820-000.</t>
  </si>
  <si>
    <t>2021-02-25 07:48:42</t>
  </si>
  <si>
    <t>24 3º III Decreto 6514; 70 1º Lei 9605; 72 Lei 9605; 3º II Decreto 6514; 3º IV Decreto 6514.</t>
  </si>
  <si>
    <t>24 , I e II 6514/2008.</t>
  </si>
  <si>
    <t>V23A5OYL</t>
  </si>
  <si>
    <t>Introduzir (guarda) espécime animal silvestre exótica, cobra corn snake, no País, sem parecer técnico oficial favorável e licença expedida pela autoridade ambiental competente.</t>
  </si>
  <si>
    <t>2021-02-23 14:21:59</t>
  </si>
  <si>
    <t>Miguelópolis</t>
  </si>
  <si>
    <t>Bruno Tognon da Silveira</t>
  </si>
  <si>
    <t>rua Romeu Alves de Freitas, 167, São Francisco</t>
  </si>
  <si>
    <t>PIRACEMA-SP</t>
  </si>
  <si>
    <t>2021-03-01 15:08:25</t>
  </si>
  <si>
    <t>XFVNAA2E</t>
  </si>
  <si>
    <t>Praticar mais tratos em um filhote de jabuti (encomenda OD949992076BR)</t>
  </si>
  <si>
    <t>2021-02-23 14:00:00</t>
  </si>
  <si>
    <t>Londrina</t>
  </si>
  <si>
    <t>Andreia Ribeiro da Silva Vareschini</t>
  </si>
  <si>
    <t>CTCE Londrina
Rodovia Celso Garcia CID 900 Londrina PR</t>
  </si>
  <si>
    <t>2021-02-24 15:31:32</t>
  </si>
  <si>
    <t>29 Decreto 6514/2008.</t>
  </si>
  <si>
    <t>E0CECORP</t>
  </si>
  <si>
    <t>Deixar de apresentar relatórios ambientais nos prazos exigindos pela legislação.</t>
  </si>
  <si>
    <t>2021-02-23 13:19:24</t>
  </si>
  <si>
    <t>Camocim</t>
  </si>
  <si>
    <t>Salineira Umari Ltda</t>
  </si>
  <si>
    <t>Salinas Pedras Preta</t>
  </si>
  <si>
    <t>2021-02-23 13:42:44</t>
  </si>
  <si>
    <t>352GFEGS</t>
  </si>
  <si>
    <t>Transportar 110 palanques de madeira nativa silvestre brasileira (pau-ferro) no veículo Ford F4000, placas IHA 2609, Vermelha, Diesel, ano 1981, carroceria de madeira, RENAVAM 00576313777, chassi LA7GZMOBO17, de sua propriedade, sem licença válida para o transporte outorgada por autoridade competente.</t>
  </si>
  <si>
    <t>2021-02-23 13:10:27</t>
  </si>
  <si>
    <t>Volmir dos Santos Almeida</t>
  </si>
  <si>
    <t>Zona rural de Tiradentes do Sul.</t>
  </si>
  <si>
    <t>2021-02-25 10:44:44</t>
  </si>
  <si>
    <t>0B65ZB11</t>
  </si>
  <si>
    <t>Deixar de apresentar relatórios ambientais no prazo exigido pela legislação. Auto lavrado em conformidade com determinação xxx (xxx) e solicitação xxx (xxx e xxx). Segue anexo relatório de fiscalização.</t>
  </si>
  <si>
    <t>2021-02-23 13:00:00</t>
  </si>
  <si>
    <t>Araguaína</t>
  </si>
  <si>
    <t>OFIR COMÉRCIO DE COMBUSTÍVEIS LTDA - ME</t>
  </si>
  <si>
    <t>Avenida Cônego João Lima, 1208, Sala 3.</t>
  </si>
  <si>
    <t>2021-02-23 15:38:20</t>
  </si>
  <si>
    <t>2ZSJYNW6</t>
  </si>
  <si>
    <t>TER EM DEPÓSITO 07 TORAS, 27,470 M3, TORAS DE MADEIRA (Bertollethia excelsa), objeto de especial preservação.</t>
  </si>
  <si>
    <t>2021-02-23 12:43:28</t>
  </si>
  <si>
    <t>TOLEDO INDUSTRIA E COMÉRCIO DE MADEIRAS E TRANSPORTE LTDA - EPP</t>
  </si>
  <si>
    <t>LINHA P-35, KM 01, ZONA RURAL, DISTRITO VILA NOVA SAMUEL CEP 76.8000-000</t>
  </si>
  <si>
    <t>2021-02-23 13:22:49</t>
  </si>
  <si>
    <t>PH4EIBIL</t>
  </si>
  <si>
    <t>Transportar produto perigoso, gás liquefeito de petróleo, número ONU 1075, em desacordo com exigências estabelecidas em regulamentos. (sem envelope de segurança e ficha de emergência, sem EPI)</t>
  </si>
  <si>
    <t>2021-02-23 12:37:33</t>
  </si>
  <si>
    <t>São Miguel dos Campos</t>
  </si>
  <si>
    <t>MICHELE DA SILVA NASCIMENTO</t>
  </si>
  <si>
    <t>Unidade Operacional da Polícia Rodoviária Federal, na rodovia BR 101, Km 139.</t>
  </si>
  <si>
    <t>2021-02-23 12:49:23</t>
  </si>
  <si>
    <t>FS11B8HM</t>
  </si>
  <si>
    <t>Fazer funcionar atividade potencialmente poluidora (Transporte de Produto Perigoso - Gás Liquefeito de Petróleo - GLP: N° ONU 1075) sem autorização outorgada pela autoridade ambiental competente.</t>
  </si>
  <si>
    <t>2021-02-23 12:25:08</t>
  </si>
  <si>
    <t>Posto da PRF na BR101 - KM 139 - São Miguel dos Campos/AL</t>
  </si>
  <si>
    <t>2021-02-23 12:40:50</t>
  </si>
  <si>
    <t>66 Decreto 6514; 70 1º Lei 9605; 72 Lei 9605; 3º II Decreto 6514; 3º IV Decreto 6514; 3º VII Decreto 6514.</t>
  </si>
  <si>
    <t>GH4DD7B8</t>
  </si>
  <si>
    <t>Ter em depósito 75,862 m³ de madeira serrada, da espécie imune de corte Bertholletia excelsa (Castanheira).</t>
  </si>
  <si>
    <t>2021-02-23 12:16:04</t>
  </si>
  <si>
    <t>M e M Comércio Importação e Exportação de Madeiras Eireli-ME</t>
  </si>
  <si>
    <t>Madeireira M &amp; M (Madeireira Terezinha)</t>
  </si>
  <si>
    <t>2021-02-24 20:35:10</t>
  </si>
  <si>
    <t>44 Decreto 6514; 47 1º Decreto 6514; 70 1º Lei 9605; 72 Lei 9605; 3º II Decreto 6514; 3º IV Decreto 6514; 3º IX Decreto 6514.</t>
  </si>
  <si>
    <t>29, caput Decreto 5975/2006.</t>
  </si>
  <si>
    <t>G2ULGE2K</t>
  </si>
  <si>
    <t>Deixar de entregar os relatórios da Lei ¿ 10.165/00, referentes aos anos de 2018/2017, 2019/2018 e 2020/2019.</t>
  </si>
  <si>
    <t>2021-02-23 12:00:00</t>
  </si>
  <si>
    <t>2021-03-15</t>
  </si>
  <si>
    <t>Palmas</t>
  </si>
  <si>
    <t>SILVANO E SILVANO LTDA</t>
  </si>
  <si>
    <t>Av. Goiás, Centro, CEP: 77410-010, Gurupi-TO.</t>
  </si>
  <si>
    <t>2021-02-24 11:22:45</t>
  </si>
  <si>
    <t>SK48KSHT</t>
  </si>
  <si>
    <t>vender, transportar out guardar madeira nativa,sem licença válida para todo tempo da viagem ou do armazenamento, outorgada pela autoridade competente.  Neste ato referente ao Documento de Origem Florestal de 54,73 m³ de madeira serrada da espécie florestal nativa Ochroma Pyramidale, ou vulgarmente conhecida como madeira Balsa, objeto da nota fiscal eletrônica de saída nº 330 de 14/09/2020 da série 1 e da DU-E nº 20BR001165284-3.</t>
  </si>
  <si>
    <t>2021-02-23 11:29:38</t>
  </si>
  <si>
    <t>BALSA MUNDO SERRARIA E PLANTIO LTDA</t>
  </si>
  <si>
    <t>UT-2 IBAMA/ SANTOS-SP</t>
  </si>
  <si>
    <t>2021-02-26 07:10:21</t>
  </si>
  <si>
    <t>36, . Lei 12.651 de 2012; 32, . IN 21/2014 IBAMA.</t>
  </si>
  <si>
    <t>RMBNPTN7</t>
  </si>
  <si>
    <t>Permitir a condução de veículo automotor (placa PCW3433) em desacordo com as exigências ambientais previstas na legislação, com falha no sistema de catalizador de redução seletiva - SCR.</t>
  </si>
  <si>
    <t>2021-02-23 11:20:31</t>
  </si>
  <si>
    <t>Kenichi Iwata</t>
  </si>
  <si>
    <t>2021-02-23 11:30:06</t>
  </si>
  <si>
    <t>68 Decreto 6514; 70 1º Lei 9605; 72 Lei 9605; 3º II Decreto 6514; 3º IV Decreto 6514.</t>
  </si>
  <si>
    <t>13OLCOLU</t>
  </si>
  <si>
    <t>vender, transportar out guardar madeira nativa,sem licença válida para todo tempo da viagem ou do armazenamento, outorgada pela autoridade competente.  Neste ato referente ao Documento de Origem Florestal de 54,73 m³ de madeira serrada da espécie florestal nativa Ochroma Pyramidale, ou vulgarmente conhecida como madeira Balsa, objeto da nota fiscal eletrônica de saída nº 337 de 07/09/2020 da série 1 e da DU-E nº 20BR0011307763.</t>
  </si>
  <si>
    <t>2021-02-23 11:10:24</t>
  </si>
  <si>
    <t>2021-02-26 07:10:31</t>
  </si>
  <si>
    <t>36, . Lei 12.651 de 2012; 31, . IN 21/2014 IBAMA.</t>
  </si>
  <si>
    <t>1JSEOUZO</t>
  </si>
  <si>
    <t>Deixar de atender a exigência legal quando devidamente notificado (7824887). Auto de infração lavrado em conformidade com determinação xxx (xxx) e solicitação xxx (xxx). Segue anexo relatório de fiscalização.</t>
  </si>
  <si>
    <t>2021-02-23 11:00:00</t>
  </si>
  <si>
    <t>Av. Cônego João Lima, n 1208, Vila do Rosário, sala 03, Araguaína.</t>
  </si>
  <si>
    <t>2021-02-23 15:37:55</t>
  </si>
  <si>
    <t>G0JVCUT1</t>
  </si>
  <si>
    <t>Deixar de cumprir compensação Ambiental determinada por lei, na forma e no prazo exigidos pela Autoridade Ambiental 
item 2.6 da Licença de Operação n° 503/2005 Processos: (02018.005915/94-92 e 02001.002387/98-87)</t>
  </si>
  <si>
    <t>Núcleo de Conciliação Ambiental/SANTARÉM</t>
  </si>
  <si>
    <t>Oriximiná</t>
  </si>
  <si>
    <t>PA</t>
  </si>
  <si>
    <t>MINERAÇÃO RIO DO NORTE S.A</t>
  </si>
  <si>
    <t>Rua Rio Jari s/n - Escritório Central em Porto Tromba/PA</t>
  </si>
  <si>
    <t>2021-02-26 11:36:28</t>
  </si>
  <si>
    <t>83 Decreto 6514/2008.</t>
  </si>
  <si>
    <t>FOVLZ12S</t>
  </si>
  <si>
    <t>vender, transportar out guardar madeira nativa,sem licença válida para todo tempo da viagem ou do armazenamento, outorgada pela autoridade competente.  Neste ato referente ao Documento de Origem Florestal de 54,73 m³ de madeira serrada da espécie florestal nativa Ochroma Pyramidale, ou vulgarmente conhecida como madeira Balsa, objeto da nota fiscal eletrônica de saída nº 311 de 19/08/2020 da série 1 e da DU-E nº 20BR0010419193.</t>
  </si>
  <si>
    <t>2021-02-23 10:48:16</t>
  </si>
  <si>
    <t>UT-2 IBAMA/Santos-SP</t>
  </si>
  <si>
    <t>2021-02-26 07:10:53</t>
  </si>
  <si>
    <t>36, . Lei 12.651/2012; 31, . IN 21/2014 IBAMA.</t>
  </si>
  <si>
    <t>K71Q6T6Q</t>
  </si>
  <si>
    <t>vender, transportar out guardar madeira nativa,sem licença válida para todo tempo da viagem ou do armazenamento, outorgada pela autoridade competente.  Neste ato referente ao Documento de Origem Florestal de 54,73 m³ de madeira serrada da espécie florestal nativa Ochroma Pyramidale, ou vulgarmente conhecida como madeira Balsa, objeto da nota fiscal eletrônica de saída nº 309 de 17/08/2020 da série 1 e da DU-E nº 20BR0010206165.</t>
  </si>
  <si>
    <t>2021-02-23 10:28:16</t>
  </si>
  <si>
    <t>UT-2 IBAMA/SANTOS-SP</t>
  </si>
  <si>
    <t>2021-02-26 07:10:02</t>
  </si>
  <si>
    <t>36, . 12.651/2012; 31, . IN 21/2014 IBAMA.</t>
  </si>
  <si>
    <t>F6NKPXDX</t>
  </si>
  <si>
    <t>Permitir a condução de veículo automotor, placa OHG-9526, em desacordo com as exigências ambientais previstas na legislação: Com o reservatório do Arla 32 vazio.</t>
  </si>
  <si>
    <t>2021-02-23 10:19:24</t>
  </si>
  <si>
    <t>Edneide Monteiro Lisboa dos Santos</t>
  </si>
  <si>
    <t>Posto da PRF na BR 101, Km 139 - São Miguel dos Campos/AL</t>
  </si>
  <si>
    <t>2021-02-23 10:41:39</t>
  </si>
  <si>
    <t>Z5QSQ2LJ</t>
  </si>
  <si>
    <t>2021-02-23 10:00:00</t>
  </si>
  <si>
    <t>Água Branca</t>
  </si>
  <si>
    <t>W.S. CONSTRUTORA LTDA</t>
  </si>
  <si>
    <t>Sede da empresa (trabalho remoto, inseridas as coordenadas da SUPES-PI).</t>
  </si>
  <si>
    <t>2021-02-23 13:10:23</t>
  </si>
  <si>
    <t>QAGYF0DQ</t>
  </si>
  <si>
    <t>Deixar de inscrever-se no Cadastro Técnico Federal de Atividades Potencialmente Poluidora e ou Utilizadora de Recursos Ambientais - CTF/APP, de que trata o Artigo 17 da Lei 6.938/1981, exercendo a atividade de transporte de produto florestal.</t>
  </si>
  <si>
    <t>Britânia</t>
  </si>
  <si>
    <t>Ducilei Bernarda dos Santos</t>
  </si>
  <si>
    <t>GO-173, Britânia</t>
  </si>
  <si>
    <t>2021-02-23 17:38:26</t>
  </si>
  <si>
    <t>76 Decreto 6514/2008.</t>
  </si>
  <si>
    <t>5GZZK9ZC</t>
  </si>
  <si>
    <t>vender, transportar out guardar madeira nativa,sem licença válida para todo tempo da viagem ou do armazenamento, outorgada pela autoridade competente.  Neste ato referente ao Documento de Origem Florestal de 54,73 m³ de madeira serrada da espécie florestal nativa Ochroma Pyramidale, ou vulgarmente conhecida como madeira Balsa, objeto da nota fiscal eletrônica de saída nº 293 de 19/07/2020 da série 1 e da DU-E nº 20BR000874079-6.</t>
  </si>
  <si>
    <t>2021-02-23 09:57:48</t>
  </si>
  <si>
    <t>UT 2 - IBAMA/SANTOS-SP</t>
  </si>
  <si>
    <t>2021-02-26 07:10:41</t>
  </si>
  <si>
    <t>36, . Lei 12651/2012; 31, . IN 21/2014 IBAMA.</t>
  </si>
  <si>
    <t>YNNEXYM7</t>
  </si>
  <si>
    <t>Deixar de apresentar o relatório trimestral referente a autorização de manejo da espécie exótica Javali, na fazenda Gro Mogol no município de Aiuruoca/MG, no período de 11/02/2020 à 11/05/2020. Conforme determinação da IN IBAMA N 12/2019 em seus artigos 07 e 11.</t>
  </si>
  <si>
    <t>2021-02-23 09:56:12</t>
  </si>
  <si>
    <t>VALDINEI NOGUEIRA DE CAMPOS</t>
  </si>
  <si>
    <t>unidade Técnica do IBAMA em Juiz de Fora-MG</t>
  </si>
  <si>
    <t>2021-02-23 10:14:17</t>
  </si>
  <si>
    <t>81 Decreto 6514; 70 1º Lei 9605; 72 Lei 9605; 3º I Decreto 6514.</t>
  </si>
  <si>
    <t>XIRHHGYB</t>
  </si>
  <si>
    <t>Permitir a condução de veículo automotor (placa KRT-9408) em desacordo com as exigências ambientais previsto na legislação, com falha no sistema de catalizador de redução seletiva - SRC.</t>
  </si>
  <si>
    <t>2021-02-23 09:45:17</t>
  </si>
  <si>
    <t>TRANSPORTES FRAMENTO LTDA</t>
  </si>
  <si>
    <t>Unidade Operacional da Polícia Rodoviária Federal, na rodovia BR 101, Km 139, município de São Miguel dos Campos/AL.</t>
  </si>
  <si>
    <t>2021-02-23 10:25:27</t>
  </si>
  <si>
    <t>NXF5JY53</t>
  </si>
  <si>
    <t>2021-02-23 09:00:00</t>
  </si>
  <si>
    <t>Josevaldo Garibaldi dos Santos</t>
  </si>
  <si>
    <t>Trevo de Britânia-Itacaiú-GO</t>
  </si>
  <si>
    <t>2021-02-23 17:36:27</t>
  </si>
  <si>
    <t>O2YNDL3O</t>
  </si>
  <si>
    <t>Deixar de apresentar relatórios no prazo exigido pela legislação, referente aos anos de 2015/2014, 2016/2015, 2017/2016, 2018/2017 e 2019/2018.</t>
  </si>
  <si>
    <t>2021-02-23 06:00:00</t>
  </si>
  <si>
    <t>Marcos Parente</t>
  </si>
  <si>
    <t>HILDNEL RODRIGUES LEAL SILVA ME</t>
  </si>
  <si>
    <t>Av. Elísio Mousinho,436- conversão - Marcos Parente/PI</t>
  </si>
  <si>
    <t>2021-02-25 14:59:41</t>
  </si>
  <si>
    <t>9IW2JMQX</t>
  </si>
  <si>
    <t>Destruir 97,7402 Ha de vegetação nativa do bioma amazônico, objeto de especial preservação, sem autorização do Órgão ambiental competente. ID 2018AWS0224175
Em cumprimento a Decisão de 1a Instância não homologatoria No xxx Proc. 02005.003367/2018-06</t>
  </si>
  <si>
    <t>2021-02-23 05:58:47</t>
  </si>
  <si>
    <t>Novo Aripuanã</t>
  </si>
  <si>
    <t>INACIO LESMO</t>
  </si>
  <si>
    <t>BR 230 Vicinal Pé de Manga</t>
  </si>
  <si>
    <t>2021-02-23 06:37:46</t>
  </si>
  <si>
    <t>50 Decreto 6514; 70 1º Lei 9605; 72 Lei 9605; 3º II Decreto 6514; 3º VII Decreto 6514.</t>
  </si>
  <si>
    <t>225, 4 Constituição Federal 1988.</t>
  </si>
  <si>
    <t>VH5JXNQK</t>
  </si>
  <si>
    <t>Deixar de atender as exigências legais quando devidamente notificado pela autoridade ambiental competente no prazo concedido, notificação nº 692818/E, processo 02001.037497/2018-74.</t>
  </si>
  <si>
    <t>2021-02-22 17:00:00</t>
  </si>
  <si>
    <t>Luís Correia</t>
  </si>
  <si>
    <t>RAIMUNDO ARAUJO DA ROCHA</t>
  </si>
  <si>
    <t>Rua: Laurentino Araujo, nº 226, Centro, Luís Correia, PI</t>
  </si>
  <si>
    <t>2021-03-01 00:00:00</t>
  </si>
  <si>
    <t>2021-03-01 17:06:32</t>
  </si>
  <si>
    <t>3 Inc. 2 Decreto 6514/2008; 70 § 1 Lei 9605/98; 72 Lei 9605/98.</t>
  </si>
  <si>
    <t>3º, 80, II Decreto Federal nº 6.514/08.</t>
  </si>
  <si>
    <t>A88ND2QE</t>
  </si>
  <si>
    <t>vender, transportar out guardar madeira nativa,sem licença válida para todo tempo da viagem ou do armazenamento, outorgada pela autoridade competente.  Neste ato referente ao Documento de Origem Florestal de 54,73 m³ de madeira serrada da espécie florestal nativa Ochroma Pyramidale, ou vulgarmente conhecida como madeira Balsa, objeto da nota fiscal eletrônica de saída nº 290 de 14/07/2020 da série 1 e da DU-E nº 20BR000845946-9.</t>
  </si>
  <si>
    <t>2021-02-22 16:35:17</t>
  </si>
  <si>
    <t>UT 2 IBAMA/Santos-SP</t>
  </si>
  <si>
    <t>2021-02-26 07:10:12</t>
  </si>
  <si>
    <t>36, . Lei 12652/2012; 31, . IN Ibama 21/2014.</t>
  </si>
  <si>
    <t>BMZKV926</t>
  </si>
  <si>
    <t>Comercializar pescado, 1 Kg de lambari, sem comprovante de origem.</t>
  </si>
  <si>
    <t>2021-02-22 16:17:19</t>
  </si>
  <si>
    <t>Igarapava</t>
  </si>
  <si>
    <t>Infração de pesca não classificada (Outras) - Advertência</t>
  </si>
  <si>
    <t>Açougue Delta Eireli</t>
  </si>
  <si>
    <t>Major Nicolau Bartolomeu, 241, Centro</t>
  </si>
  <si>
    <t>2021-03-01 15:09:18</t>
  </si>
  <si>
    <t>35 IV Decreto 6514; 70 1º Lei 9605; 72 Lei 9605; 3º I Decreto 6514; 3º IV Decreto 6514.</t>
  </si>
  <si>
    <t>SSJCHUSJ</t>
  </si>
  <si>
    <t>Deixar de atender as exigências legais quando devidamente notificado pela autoridade ambiental competente no prazo concedido, notificação nº 692819/E, processo nº 02001.036848/2018-20.</t>
  </si>
  <si>
    <t>2021-02-22 16:00:00</t>
  </si>
  <si>
    <t>Acaraú</t>
  </si>
  <si>
    <t>ALISANDRA PATRÍCIA DE OLIVEIRA CARVALHO</t>
  </si>
  <si>
    <t>Rua Floriano Peixoto, nº 1050, Centro, Acaraú</t>
  </si>
  <si>
    <t>2021-03-01 17:05:13</t>
  </si>
  <si>
    <t>ZFPAI1OW</t>
  </si>
  <si>
    <t>Comercializar pescados, 33 Kg de cascudo e 2 kg de lambari sem comprovante de origem.</t>
  </si>
  <si>
    <t>2021-02-22 14:57:32</t>
  </si>
  <si>
    <t>VILMA MARIA DA COSTA SANTANA</t>
  </si>
  <si>
    <t>Rua Joaquina Marçal, 219 - Vila Marilene - Igarapava  - SP</t>
  </si>
  <si>
    <t>2021-03-01 14:31:27</t>
  </si>
  <si>
    <t>V3XEA7JR</t>
  </si>
  <si>
    <t>Comercializar 139 Kg de pescados da espécie garoupa sem comprovante de origem.  Pessoa jurídica não apresentou comprovação de origem para a declaração de estoque apresentada ao IBAMA 09/11/2018.</t>
  </si>
  <si>
    <t>2021-02-22 13:10:50</t>
  </si>
  <si>
    <t>São José dos Campos</t>
  </si>
  <si>
    <t>Laís Ostapenko de Barros</t>
  </si>
  <si>
    <t>pessoa jurídica CNPJ 23.220.438/0001-80</t>
  </si>
  <si>
    <t>Caraguatatuba/Unid_Tec</t>
  </si>
  <si>
    <t>2021-02-22 13:21:38</t>
  </si>
  <si>
    <t>FA5IGGVJ</t>
  </si>
  <si>
    <t>Realizar operação de comercialização de 2.396 kg de camarão rosa (Farfantepenaeus paulensis) fresco, refrigerado em gelo, em Rio Grande RS, no dia 11/02/2021, sem origem legal, por meio da Nota Fiscal NFe 033.085.687 Série 890 (1) inválida.</t>
  </si>
  <si>
    <t>2021-02-22 11:00:00</t>
  </si>
  <si>
    <t>Rio Grande</t>
  </si>
  <si>
    <t>COMPESC COM E INDUSTRIA E TRANSP PESCADOS LTDA</t>
  </si>
  <si>
    <t>DECAPODA-RS</t>
  </si>
  <si>
    <t>2021-02-27 19:06:58</t>
  </si>
  <si>
    <t>35 Inc. 4 Decreto 6514/2008.</t>
  </si>
  <si>
    <t>2LG6ADSW</t>
  </si>
  <si>
    <t>2021-02-22 10:45:51</t>
  </si>
  <si>
    <t>Cachoeiro de Itapemirim</t>
  </si>
  <si>
    <t>DANIEL ROLI BISPO</t>
  </si>
  <si>
    <t>SÍTIO SANTA RITA, CÓRREGO DOS MONOS CACHOEIRO DE ITAPEMIRIM.</t>
  </si>
  <si>
    <t>2021-02-22 11:05:02</t>
  </si>
  <si>
    <t>70 1º Lei 9605; 72 Lei 9605; 3º II Decreto 6514; 3º IV Decreto 6514.</t>
  </si>
  <si>
    <t>323BW30V</t>
  </si>
  <si>
    <t>Deixar de atender exigências legais quando devidamente notificado pela autoridade ambiental competente (notificação 1316/2020 - Nuip-Ce.</t>
  </si>
  <si>
    <t>2021-02-22 10:26:59</t>
  </si>
  <si>
    <t>Itapipoca</t>
  </si>
  <si>
    <t>JOAO RIBEIRO BARROSO</t>
  </si>
  <si>
    <t>Porto das Pedras</t>
  </si>
  <si>
    <t>2021-02-22 10:44:03</t>
  </si>
  <si>
    <t>2G4BG1F5</t>
  </si>
  <si>
    <t>DEIXOU DE ATENDER A NOTIFICACAO 672918 E</t>
  </si>
  <si>
    <t>2021-02-22 10:00:00</t>
  </si>
  <si>
    <t>2021-02-22</t>
  </si>
  <si>
    <t>Colméia</t>
  </si>
  <si>
    <t>MIQUÉIAS PRADO DA SILVA</t>
  </si>
  <si>
    <t>AV LONGUINHO VIEIRA JÚNIOR 508. CENTRO. COLMEIA TO</t>
  </si>
  <si>
    <t>2021-02-22 00:00:00</t>
  </si>
  <si>
    <t>2021-02-22 15:06:37</t>
  </si>
  <si>
    <t>ZMVCU9SH</t>
  </si>
  <si>
    <t>Comercializar 2.396 kg de camarão rosa (Farfantepenaeus paulensis) fresco e refrigerado em gelo, no dia 11/02/2021, sem origem legal, por meio da Nota Fiscal NFe 033.085.687 Serie 890 (1) inválida.</t>
  </si>
  <si>
    <t>AMANDA SOUZA DOS SANTOS DA ROCHA ME</t>
  </si>
  <si>
    <t>Zona Urbana Rio Grande</t>
  </si>
  <si>
    <t>2021-02-27 19:07:47</t>
  </si>
  <si>
    <t>DIDS2TD4</t>
  </si>
  <si>
    <t>2021-02-22 09:00:00</t>
  </si>
  <si>
    <t>Sigefredo Pacheco</t>
  </si>
  <si>
    <t>AUTO POSTO SANTA CRUZ LTDA</t>
  </si>
  <si>
    <t>2021-02-23 11:07:59</t>
  </si>
  <si>
    <t>OZHL8M3V</t>
  </si>
  <si>
    <t>Deixar de atender às condicionantes 2.12 e 2.13 da Licença Ambiental (LO n° 761/2007- 2° renovação processo: 02001.001868/2007-27).</t>
  </si>
  <si>
    <t>2021-02-22 07:00:00</t>
  </si>
  <si>
    <t>Natal</t>
  </si>
  <si>
    <t>RN</t>
  </si>
  <si>
    <t>PETRÓLEO BRASILEIRO S/A - PETROBRÁS</t>
  </si>
  <si>
    <t>Av, Euzébio Rocha, n° 1000 Cidade Esperança Natal-RN</t>
  </si>
  <si>
    <t>2021-02-26 11:35:55</t>
  </si>
  <si>
    <t>66 § único Decreto 6514/2008.</t>
  </si>
  <si>
    <t>Q1TQX96I</t>
  </si>
  <si>
    <t>Deixar de apresentar o relatório trimestral referente a autorização de Manejo de Javali, na fazenda Pito Aceso, no município de Eugenópolis MG, no período de 29/07/2020 á 31/08/2020. Conforme determinação da IN IBAMA N 12/2019 em seus artigos 07 e 11.</t>
  </si>
  <si>
    <t>2021-02-22 06:31:17</t>
  </si>
  <si>
    <t>GERSON FERREIRA VARELLA NETO</t>
  </si>
  <si>
    <t>Unidade Técnica do Ibama em Juiz de Fora MG</t>
  </si>
  <si>
    <t>2021-02-22 06:52:22</t>
  </si>
  <si>
    <t>VT3CGXV6</t>
  </si>
  <si>
    <t>UBERLÂNDIA/UNID_TEC</t>
  </si>
  <si>
    <t>Utilizar 59 espécimes da fauna silvestre em desacordo com a licença obtida.</t>
  </si>
  <si>
    <t>2021-02-22 06:00:00</t>
  </si>
  <si>
    <t>Uberlândia</t>
  </si>
  <si>
    <t>AUGUSTO LUCIO</t>
  </si>
  <si>
    <t>Augusto Lúcio - Uberlândia</t>
  </si>
  <si>
    <t>2021-02-22 14:34:44</t>
  </si>
  <si>
    <t>24 Inc. 1, § 6 Decreto 6514/2008.</t>
  </si>
  <si>
    <t>UHMWGVL1</t>
  </si>
  <si>
    <t>Ter em cativeiro 01 espécime (papagaio) da fauna silvestre nativa, considerada ameaçada de extinção, sem a devida licença da autoridade ambiental competente.</t>
  </si>
  <si>
    <t>Augusto Lúcio - Papagaio</t>
  </si>
  <si>
    <t>2021-02-22 14:35:11</t>
  </si>
  <si>
    <t>24 Inc. 2,3, § 7 Decreto 6514/2008.</t>
  </si>
  <si>
    <t>7DG9UIC1</t>
  </si>
  <si>
    <t>Deixar de atender a condicionante 2.9 estabelecida na Licença Ambiental (LO 761/2008 - Processo 02022.007879/2002-68)</t>
  </si>
  <si>
    <t>2021-02-22 05:00:00</t>
  </si>
  <si>
    <t>Av Eusébio Rocha, n° 1000 cidade esperança
Local: Sistema de Rio Grande do Norte do Norte</t>
  </si>
  <si>
    <t>2021-02-26 11:37:02</t>
  </si>
  <si>
    <t>Y4ZQCEFX</t>
  </si>
  <si>
    <t>Transportar 36,82 M3 de madeira serrada de essências diversas, sem licença válida para todo o tempo da viagem, outorgada pela autoridade competente.</t>
  </si>
  <si>
    <t>2021-02-22 04:00:00</t>
  </si>
  <si>
    <t>FRANCISCO DA COSTA PEREIRA</t>
  </si>
  <si>
    <t>Posto da Polícia Rodoviária Federal.</t>
  </si>
  <si>
    <t>2021-03-01 14:42:35</t>
  </si>
  <si>
    <t>PXFF4CQE</t>
  </si>
  <si>
    <t>Vender 23,0017 m/3 de madeira serrada ,sem licença válida (DOF) para todo o tempo da viagem,outorgada pela autoridade competente. (DOF-18997893), informação xxx (xxx) . IN 21/2014 artigos 44 e 48</t>
  </si>
  <si>
    <t>2021-02-21 22:41:19</t>
  </si>
  <si>
    <t>Boa Vista</t>
  </si>
  <si>
    <t>M. ALCINO REIS EIRELI</t>
  </si>
  <si>
    <t>rua Josemar Batista de Souza n° 468 bairro cidade Satélite município de Boa Vista-RR CEP:69317-577</t>
  </si>
  <si>
    <t>2021-02-24 06:30:14</t>
  </si>
  <si>
    <t>J92VL54L</t>
  </si>
  <si>
    <t>Fazer funcionar estabelecimento, carcinicultura, utilizador de recursos ambientais sem licença do órgão ambiental competente.</t>
  </si>
  <si>
    <t>2021-02-21 17:15:34</t>
  </si>
  <si>
    <t>Aracati</t>
  </si>
  <si>
    <t>VANNAMEI COMERCIO DE PESCADOS LTDA</t>
  </si>
  <si>
    <t>Fazenda Vanamei III</t>
  </si>
  <si>
    <t>2021-02-21 17:27:12</t>
  </si>
  <si>
    <t>RD82Z444</t>
  </si>
  <si>
    <t>Receber 06 m³ de madeira serrada de Espécies Diversas, utilizadas na construção civil sem a licença do vendedor, outorgada pela Autoridade Ambiental Competente.</t>
  </si>
  <si>
    <t>2021-02-20 11:43:43</t>
  </si>
  <si>
    <t>Oiapoque</t>
  </si>
  <si>
    <t>AP</t>
  </si>
  <si>
    <t>Francisco Silva Pinheiro</t>
  </si>
  <si>
    <t>Rua Barão do Rio Branco  n° 567, Bairro  Centro, CEP- 68980-000, Município de Oiapoque-AP.</t>
  </si>
  <si>
    <t>AP/SUPES</t>
  </si>
  <si>
    <t>2021-02-20 13:50:40</t>
  </si>
  <si>
    <t>47 Decreto 6514; 70 1º Lei 9605; 72 Lei 9605; 3º II Decreto 6514.</t>
  </si>
  <si>
    <t>ECJDTMPW</t>
  </si>
  <si>
    <t>Realizar operação de comercialização de 1.725 kg de camarão rosa (Farfantepenaeus paulensis) fresco e refrigerado em gelo, sem origem legal, em 11/02/2021, por meio da Nota Fiscal NFe 000.000.141 (1), inválida como documento de origem do pescado.</t>
  </si>
  <si>
    <t>2021-02-19 20:49:24</t>
  </si>
  <si>
    <t>São José do Norte</t>
  </si>
  <si>
    <t>TATO COMÉRCIO DE PESCADOS LTDA ME</t>
  </si>
  <si>
    <t>Praia do Barranco do Inhame</t>
  </si>
  <si>
    <t>2021-02-23 22:25:36</t>
  </si>
  <si>
    <t>1o, Parágrafo Único INI MPA/MAPA n.o 04/2014.</t>
  </si>
  <si>
    <t>6N4SM8BD</t>
  </si>
  <si>
    <t>Comercializar 1.725 kg de camarão rosa (Farfantepenaeus paulensis) fresco e refrigerado em gelo, sem origem legal, em 11/02/2021, por meio da NFe 000.000.141 (1), invalida como documento de origem do pescado.</t>
  </si>
  <si>
    <t>2021-02-19 20:24:59</t>
  </si>
  <si>
    <t>P C DA ANDRADE ME</t>
  </si>
  <si>
    <t>2021-02-23 22:27:03</t>
  </si>
  <si>
    <t>1o, Paragrafo Único INI MPA/MAPA n.o 04/2014.</t>
  </si>
  <si>
    <t>YAUHQQ7N</t>
  </si>
  <si>
    <t>2021-02-19 17:00:00</t>
  </si>
  <si>
    <t>2021-02-19</t>
  </si>
  <si>
    <t>M.D.R REGO  ME</t>
  </si>
  <si>
    <t>Sede da empresa (trabalho remoto inseridas as coordenadas da SUPES-PI)</t>
  </si>
  <si>
    <t>2021-02-23 11:08:31</t>
  </si>
  <si>
    <t>272A6BDN</t>
  </si>
  <si>
    <t>Adquirir um espécime da fauna silvestre nativa (um filhote de jabuti Chelonoidis sp) contido em encomenda apreendida no Centro de Tratamento de Cartas e Encomendas de Londrina PR</t>
  </si>
  <si>
    <t>CTCE Londrina
Rodovia Celso Garcia CID 900
Londrina PR</t>
  </si>
  <si>
    <t>2021-02-24 15:30:03</t>
  </si>
  <si>
    <t>24 Decreto 6514/2008.</t>
  </si>
  <si>
    <t>2VW1X5LW</t>
  </si>
  <si>
    <t>Transportar produtos perigosos ao meio ambiente, em de desacordo com as exigências estabelecidas em lei ou em seus regulamentos.</t>
  </si>
  <si>
    <t>Rotina</t>
  </si>
  <si>
    <t>2021-02-19 15:47:25</t>
  </si>
  <si>
    <t>Núcleo de Conciliação Ambiental/PB</t>
  </si>
  <si>
    <t>Alhandra</t>
  </si>
  <si>
    <t>PB</t>
  </si>
  <si>
    <t>TRANSPORTE LIDA LTDA</t>
  </si>
  <si>
    <t>BR 101, Km 101, Alhandra-PB.</t>
  </si>
  <si>
    <t>PB/SUPES</t>
  </si>
  <si>
    <t>2021-02-19 15:55:54</t>
  </si>
  <si>
    <t>2XVGRMJU</t>
  </si>
  <si>
    <t>Deixar de atender a condicionante 2.5 estabelecida na Licença Ambiental (RLO 941/2010 - processo 02022.004193/2006-49)</t>
  </si>
  <si>
    <t>2021-02-19 15:00:00</t>
  </si>
  <si>
    <t>PETRÓLEO BRASILEIRO S.A.</t>
  </si>
  <si>
    <t>Bacia de Santos, e do Gasoduto Uruguaia-PMXL1 - Santos/SP</t>
  </si>
  <si>
    <t>2021-02-26 11:33:56</t>
  </si>
  <si>
    <t>W9BO8VPZ</t>
  </si>
  <si>
    <t>Deixar de inscrever-se no Cadastro Técnico Federal. 
Obs: Categoria: 18-5 (Transporte, Depósito e Comércio - Depósito de produtos perigosos)</t>
  </si>
  <si>
    <t>2021-02-19 14:52:21</t>
  </si>
  <si>
    <t>João Pessoa</t>
  </si>
  <si>
    <t>ROZANA MARIA DA SILVA COMÉRCIO</t>
  </si>
  <si>
    <t>Rua Vereador Luiz de Carvalho Costa, 351, Ernani Sátiro</t>
  </si>
  <si>
    <t>2021-02-19 15:02:43</t>
  </si>
  <si>
    <t>76, IV 6.514/2008.</t>
  </si>
  <si>
    <t>3MX88NNB</t>
  </si>
  <si>
    <t>Transportar produto perigoso ao meio ambiente (GLP), em desacordo com as exigências estabelecidas em leis ou em seus regulamentos.</t>
  </si>
  <si>
    <t>2021-02-19 14:35:42</t>
  </si>
  <si>
    <t>BR 101, Km 87, João Pessoa-PB.</t>
  </si>
  <si>
    <t>2021-02-19 14:46:23</t>
  </si>
  <si>
    <t>ENXL9AO3</t>
  </si>
  <si>
    <t>Desmatar 81,47 hectares de vegetação nativa, fora da reserva legal, sem licença ambiental de desmatamento, conforme Notificação 5CASDC6H, processo 02010.000223/2020-35.</t>
  </si>
  <si>
    <t>2021-02-19 12:00:00</t>
  </si>
  <si>
    <t>Corumbá de Goiás</t>
  </si>
  <si>
    <t>EUNICIO LOPES DE OLIVEIRA</t>
  </si>
  <si>
    <t>Fazenda Capuava, ...</t>
  </si>
  <si>
    <t>2021-02-19 00:00:00</t>
  </si>
  <si>
    <t>2021-02-19 18:20:29</t>
  </si>
  <si>
    <t>52 Decreto 6514/2008.</t>
  </si>
  <si>
    <t>VDCXMRJ1</t>
  </si>
  <si>
    <t>Deixar de atender as condicionantes 2.5, 2.2, e 2.3 estabelecidas na Licença Ambiental LO n° 1402/2017 (processo 02001.004603/2004-38)</t>
  </si>
  <si>
    <t>2021-02-19 11:00:00</t>
  </si>
  <si>
    <t>Aruanã</t>
  </si>
  <si>
    <t>SEC. EST. DE MEIO AMBIENTE E R H DE GOIAS</t>
  </si>
  <si>
    <t>Entre os municípios de Aruana/ GO e Cocalinho/MT.</t>
  </si>
  <si>
    <t>2021-02-26 11:33:18</t>
  </si>
  <si>
    <t>LCU4C3TS</t>
  </si>
  <si>
    <t>Deixar de atender, no prazo de dez dias, o Ofício n° xxx devidamente recebido pela própria autuada em 20/07/2020.</t>
  </si>
  <si>
    <t>2021-02-19 10:37:07</t>
  </si>
  <si>
    <t>Taubaté</t>
  </si>
  <si>
    <t>MÁRCIA BARRETO DE SOUZA SANTOS</t>
  </si>
  <si>
    <t>Márcia Barreto de Souza Santos - CPF xxx</t>
  </si>
  <si>
    <t>2021-02-19 10:49:25</t>
  </si>
  <si>
    <t>0NWV7OR5</t>
  </si>
  <si>
    <t>APRESENTAR INFORMAÇÕES FALSA NO SISTEMA OFICIAL DE CONTROLE DO DOF, COM RECEBIMENTO DE CRÉDITOS INDEVIDOS DE MADEIRAS, CONFORME PROCESSO INVSESTIGADORIO  02024000185/2020-42 E RELATÓRIO DE CONSTATAÇÃO  xxx.</t>
  </si>
  <si>
    <t>2021-02-19 10:14:04</t>
  </si>
  <si>
    <t>OMS COMERCIO DE MADEIRAS EIRELI - EPP</t>
  </si>
  <si>
    <t>RUA ERVINO PROCHNOW N°3036</t>
  </si>
  <si>
    <t>Vilhena/Unid_Tec</t>
  </si>
  <si>
    <t>2021-02-19 10:45:00</t>
  </si>
  <si>
    <t>., . IN CONJUNTA 02/2020.</t>
  </si>
  <si>
    <t>Q0S6P04U</t>
  </si>
  <si>
    <t>Vender 23,0842 de madeira, conforme informação xxx -SEI xxx-PROCESSO 02007.000403/2021-57</t>
  </si>
  <si>
    <t>2021-02-19 10:00:00</t>
  </si>
  <si>
    <t>MADEREIRA RORAIMA - COMERCIO E IND. DE MADEIRAS LTDA - ME</t>
  </si>
  <si>
    <t>Rodovia BR 210 KM 66, SN - Zona Rural, São João do Baliza</t>
  </si>
  <si>
    <t>2021-02-19 10:17:57</t>
  </si>
  <si>
    <t>47 Decreto 6514/2008.</t>
  </si>
  <si>
    <t>SOW0GOXW</t>
  </si>
  <si>
    <t>Fazer Funcionar atividades considerados efetiva ou potencialmente poluidores, contrariando as normas legais e regulamentares pertinentes. ( Resolução Conama n° 306/2002)</t>
  </si>
  <si>
    <t>2021-02-19 07:00:00</t>
  </si>
  <si>
    <t>plataforma fixa de Xereu 2 (PXA-2) integrante da atividade s de produção e Escoramento dos campos CE</t>
  </si>
  <si>
    <t>2021-02-26 11:32:00</t>
  </si>
  <si>
    <t>66 Decreto 6514/2008.</t>
  </si>
  <si>
    <t>ENEC9RKT</t>
  </si>
  <si>
    <t>Vender, transportar ou guardar madeira nativa, sem licença válida para todo o tempo da viagem ou do armazenamento, outorgada pela autoridade competente. Neste ato referente ao Documento de Origem Florestal de 54,913 m³ de madeiras serradas de espécie florestal nativa, Ochroma pyramidale, ou vulgarmente conhecida como madeira Balsa, objeto da Nota Fiscal Eletrônica de saída n° 272 de 20/06/2020, série 001 e da DUE n° 20BR000744662-2.</t>
  </si>
  <si>
    <t>2021-02-19 06:51:52</t>
  </si>
  <si>
    <t>UT/2/SANTOS/SP/IBAMA</t>
  </si>
  <si>
    <t>2021-02-26 09:32:00</t>
  </si>
  <si>
    <t>36, . Lei 12651/2012; 31, . IN 21/2014/IBAMA.</t>
  </si>
  <si>
    <t>GWUOIFKM</t>
  </si>
  <si>
    <t>Vender, transportar ou guardar madeira nativa, sem licença válida para todo o tempo da viagem ou do armazenamento, outorgada pela autoridade competente. Neste ato referente ao Documento de Origem Florestal de 55,405  m³ de madeiras serradas de espécie florestal nativa, Ochroma pyramidale, ou vulgarmente conhecida como madeira Balsa, objeto da Nota Fiscal Eletrônica de saída n° 268 de 16/06/2020, série 001 e da DUE n° 20BR000720482-3.</t>
  </si>
  <si>
    <t>2021-02-19 06:42:28</t>
  </si>
  <si>
    <t>UT 2 SANTOS/SP/IBAMA</t>
  </si>
  <si>
    <t>2021-02-26 09:27:27</t>
  </si>
  <si>
    <t>6DN1EK5B</t>
  </si>
  <si>
    <t>Vender, transportar ou guardar madeira nativa, sem licença válida para todo o tempo da viagem ou do armazenamento, outorgada pela autoridade competente. Neste ato referente ao Documento de Origem Florestal de 55,065  m³ de madeiras serradas de espécie florestal nativa, Ochroma pyramidale, ou vulgarmente conhecida como madeira Balsa, objeto da Nota Fiscal Eletrônica de saída n° 262 de 08/06/2020, série 001 e da DUE n° 20BR000691109-7.</t>
  </si>
  <si>
    <t>2021-02-19 06:32:32</t>
  </si>
  <si>
    <t>UT/2/Santos/SP/IBAMA</t>
  </si>
  <si>
    <t>2021-02-26 09:31:15</t>
  </si>
  <si>
    <t>9M0ZTLS1</t>
  </si>
  <si>
    <t>Vender, transportar ou guardar madeira nativa, sem licença válida para todo o tempo da viagem ou do armazenamento, outorgada pela autoridade competente. Neste ato referente ao Documento de Origem Florestal de 55,067  m³ de madeiras serradas de espécie florestal nativa, Ochroma pyramidale, ou vulgarmente conhecida como madeira Balsa, objeto da Nota Fiscal Eletrônica de saída n° 254 de 20/05/2020, série 001 e da DUE n° 20BR000603324-3.</t>
  </si>
  <si>
    <t>2021-02-19 06:17:11</t>
  </si>
  <si>
    <t>UT 2/IBAMA SANTOS/SP</t>
  </si>
  <si>
    <t>2021-02-26 09:28:10</t>
  </si>
  <si>
    <t>UFCFJHSQ</t>
  </si>
  <si>
    <t>Vender, transportar ou guardar madeira nativa, sem licença válida para todo o tempo da viagem ou do armazenamento, outorgada pela autoridade competente. Neste ato referente ao Documento de Origem Florestal de 55,502  m³ de madeiras serradas de espécie florestal nativa, Ochroma pyramidale, ou vulgarmente conhecida como madeira Balsa, objeto da Nota Fiscal Eletrônica de saída n° 249 de 04/05/2020, série 001 e da DUE n° 20BR000535229-9.</t>
  </si>
  <si>
    <t>2021-02-19 06:03:57</t>
  </si>
  <si>
    <t>UT 2 IBAMA/SANTOS/SP</t>
  </si>
  <si>
    <t>2021-02-23 05:13:48</t>
  </si>
  <si>
    <t>0JJ9D48Z</t>
  </si>
  <si>
    <t>Deixar de atender a condicionante 1.3 da Licença de Operação n° 1542/2019. Processo 02001.037074/2019-35</t>
  </si>
  <si>
    <t>2021-02-19 06:00:00</t>
  </si>
  <si>
    <t>Av Euzébio Rocha, n° 1000 cidade esperança-RN</t>
  </si>
  <si>
    <t>2021-02-26 11:31:18</t>
  </si>
  <si>
    <t>KM1887CW</t>
  </si>
  <si>
    <t>Vender, transportar ou guardar madeira nativa, sem licença válida para todo o tempo da viagem ou do armazenamento, outorgada pela autoridade competente. Neste ato referente ao Documento de Origem Florestal de 55,103  m³ de madeiras serradas de espécie florestal nativa, Ochroma pyramidale, ou vulgarmente conhecida como madeira Balsa, objeto da Nota Fiscal Eletrônica de saída n° 247 de 28/04/2020, série 001 e da DUE n° 20BR000525727-0.</t>
  </si>
  <si>
    <t>2021-02-19 05:18:03</t>
  </si>
  <si>
    <t>UT/2 IBAMA/Santos/SP</t>
  </si>
  <si>
    <t>2021-02-26 09:29:34</t>
  </si>
  <si>
    <t>FCDOVFCR</t>
  </si>
  <si>
    <t>Transportar a volumetria de 28,4482 MDC de Carvão Vegetal, subproduto de origem nativa, sem licença válida para todo tempo da viagem outorgada pela autoridade ambiental competente.</t>
  </si>
  <si>
    <t>2021-02-18 19:00:00</t>
  </si>
  <si>
    <t>Cantá</t>
  </si>
  <si>
    <t>COMERCIO E INDUSTRIA DE MADEIRA DE RORAIMA EIRELI</t>
  </si>
  <si>
    <t>Rodoviária BR 432 km 200 -zona Rural. Município de Cantá-RR.</t>
  </si>
  <si>
    <t>2021-02-21 00:00:00</t>
  </si>
  <si>
    <t>2021-02-21 11:17:09</t>
  </si>
  <si>
    <t>31, 1 IN-IBAMA 21/2014; 32, II-h IN-IBAMA 21/2014.</t>
  </si>
  <si>
    <t>FFAGIX8T</t>
  </si>
  <si>
    <t>Receber 111,5 metros cúbicos de dormentes de espécie nativa (Chrysophyllum marginatum) sem licença válida (descrição de veículos de transporte inconsistente) conforme Documento de Origem Florestal n. 12313278, 12464626, 12464628, 12464642 e 12622858.</t>
  </si>
  <si>
    <t>2021-02-18 17:50:21</t>
  </si>
  <si>
    <t>Açailândia</t>
  </si>
  <si>
    <t>VALE S/A</t>
  </si>
  <si>
    <t>Pátio Floresta</t>
  </si>
  <si>
    <t>2021-02-18 18:02:42</t>
  </si>
  <si>
    <t>47 1º Decreto 6514; 47 2º Decreto 6514; 70 1º Lei 9605; 72 Lei 9605; 3º II Decreto 6514.</t>
  </si>
  <si>
    <t>4JEA6BU6</t>
  </si>
  <si>
    <t>Deixar de apresentar ao IBAMA (CTF) os relatórios de atividades potencialmente poluidoras dos anos de 2015 e 2016.</t>
  </si>
  <si>
    <t>2021-02-18 16:00:00</t>
  </si>
  <si>
    <t>Portão</t>
  </si>
  <si>
    <t>NOKO QUIMICA LTDA</t>
  </si>
  <si>
    <t>Noko Química Ltda.</t>
  </si>
  <si>
    <t>ROTINA - CTF</t>
  </si>
  <si>
    <t>2021-02-23 16:02:16</t>
  </si>
  <si>
    <t>17-C, Parágrafo 1° Lei Federal 6938.</t>
  </si>
  <si>
    <t>VKEU188E</t>
  </si>
  <si>
    <t>Descumprir embargo de atividades determinado pelo Termo de Embargo 613455-E. Tratado no processo 02007.000665/2014-92.</t>
  </si>
  <si>
    <t>2021-02-18 15:00:00</t>
  </si>
  <si>
    <t>2021-02-18</t>
  </si>
  <si>
    <t>EUNICE RODRIGUES NASCIMENTO</t>
  </si>
  <si>
    <t>Sítio Caieira, Zona Rural, Aracati - Ce</t>
  </si>
  <si>
    <t>2021-02-24 08:10:52</t>
  </si>
  <si>
    <t>UNSQCIPR</t>
  </si>
  <si>
    <t>Ter em cativeiro 4 (quatro) espécimes da fauna silvestre nativa sem a devida permissão, licença ou autorização da autoridade ambiental competente.</t>
  </si>
  <si>
    <t>Garuva</t>
  </si>
  <si>
    <t>MARCELO PIZANI</t>
  </si>
  <si>
    <t>Recanto dos Tucanos</t>
  </si>
  <si>
    <t>2021-02-24 14:34:40</t>
  </si>
  <si>
    <t>24 Inc. 2,3 Decreto 6514/2008.</t>
  </si>
  <si>
    <t>2°, Caput Portaria MMA 444/2014; 1°, Caput Resolução Consema SC 02/2011.</t>
  </si>
  <si>
    <t>QZSHMPGT</t>
  </si>
  <si>
    <t>Deixar de apresentar relatórios ambientais no prazo exigido pela legislação. Auto de infração lavrado em conformidade com determinação xxx (xxx) baseada na solicitação do xxx (xxx). Segue anexo relatório de fiscalização.</t>
  </si>
  <si>
    <t>2021-02-18 14:00:00</t>
  </si>
  <si>
    <t>Gurupi</t>
  </si>
  <si>
    <t>ELDORADO COM E TRANSPORTE DE COMBUSTIVEIS LTDA</t>
  </si>
  <si>
    <t>Empresa Eldorado.</t>
  </si>
  <si>
    <t>2021-02-19 15:33:19</t>
  </si>
  <si>
    <t>ZRY75BRS</t>
  </si>
  <si>
    <t>Depositar 14 exemplares de miraguaia - borriquete (Pogonias cromis), em forma congelada, em estabelecimento comercial de pescados no municipio de Rio Grande, no dia 18/02/2021, sendo espécie ameaçada de extinção na categoria EN ("Em  Perigo").</t>
  </si>
  <si>
    <t>2021-02-18 13:17:10</t>
  </si>
  <si>
    <t>Kenedy Borges da Assumpção</t>
  </si>
  <si>
    <t>Empreendimento de Pescados</t>
  </si>
  <si>
    <t>2021-02-23 22:25:03</t>
  </si>
  <si>
    <t>24 III Decreto 6514; 70 1º Lei 9605; 72 Lei 9605; 3º II Decreto 6514.</t>
  </si>
  <si>
    <t>Art. 2o, Paragrafo 1o Portaria n.o 445/2014; Art. 1o, Anexo I Decreto Estadual RS n.o 51.797/2014.</t>
  </si>
  <si>
    <t>C4PSD6J8</t>
  </si>
  <si>
    <t>VIRACOPOS/UNID_TEC</t>
  </si>
  <si>
    <t>Exportar 15 espécies de insetos da fauna Silvestre (Coleoptera, scarabaeidae) sem a devida permissão, licença ou autorização da autoridade ambiental competente.</t>
  </si>
  <si>
    <t>2021-02-18 13:00:00</t>
  </si>
  <si>
    <t>Campinas</t>
  </si>
  <si>
    <t>José Guilherme Amorim dos Santos</t>
  </si>
  <si>
    <t>José Guilherme Amorim dos Santos. Remessa expressa FedEx. Aeroporto de Viracopos.</t>
  </si>
  <si>
    <t>AERO-VCP</t>
  </si>
  <si>
    <t>2021-02-22 14:09:59</t>
  </si>
  <si>
    <t>24 Inc. 3, § 3 Decreto 6514/2008.</t>
  </si>
  <si>
    <t>ICXSMWLE</t>
  </si>
  <si>
    <t>PA/SUPES</t>
  </si>
  <si>
    <t>Utilizar motosserra em área de vegetação nativa (área de pesquisa da EMBRAPA), sem registro/licença da autoridade ambiental competente.</t>
  </si>
  <si>
    <t>2021-02-18 12:00:00</t>
  </si>
  <si>
    <t>Núcleo de Conciliação Ambiental/PA</t>
  </si>
  <si>
    <t>Moju</t>
  </si>
  <si>
    <t>Bernilson de Sousa</t>
  </si>
  <si>
    <t>área de pesquisa da EMBRAPA no município de Moju/PA.</t>
  </si>
  <si>
    <t>2021-02-22 08:38:21</t>
  </si>
  <si>
    <t>57 Decreto 6514/2008.</t>
  </si>
  <si>
    <t>F2OE9CEG</t>
  </si>
  <si>
    <t>Cortar duas árvores da essência castanheira (Bertholletia excelsa), especialmente protegida,  em área de vegetação nativa.</t>
  </si>
  <si>
    <t>2021-02-18 11:40:44</t>
  </si>
  <si>
    <t>Acará</t>
  </si>
  <si>
    <t>Giovane dos Santos Campos</t>
  </si>
  <si>
    <t>Ramal do São Domingos.</t>
  </si>
  <si>
    <t>2021-02-18 13:03:56</t>
  </si>
  <si>
    <t>44 Decreto 6514; 60 II Decreto 6514; 70 1º Lei 9605; 72 Lei 9605; 3º II Decreto 6514; 3º IV Decreto 6514; 3º V Decreto 6514.</t>
  </si>
  <si>
    <t>101, V, 2° Decreto Federal n. 6.514/2008.</t>
  </si>
  <si>
    <t>DQWA9LGV</t>
  </si>
  <si>
    <t>BHE/DITEC</t>
  </si>
  <si>
    <t>Receber, para fins comerciais, 25,0085 m3 de madeira serrada de espécies nativas, em 25/07/2015, sem munir-se de licença válida que deverá acompanhar o produto, sendo que o DOF n° 14493045 não informou os dados do veículo transportador para o trecho fluvial.</t>
  </si>
  <si>
    <t>2021-02-18 11:00:00</t>
  </si>
  <si>
    <t>Curvelo</t>
  </si>
  <si>
    <t>IRMÃOS VIANA MATERIAIS DE CONSTRUÇÃO LTDA</t>
  </si>
  <si>
    <t>Av. Integração, n° 1200 - Centro - Curvelo/MG - CEP 35.790-000</t>
  </si>
  <si>
    <t>2021-02-18 00:00:00</t>
  </si>
  <si>
    <t>2021-02-18 16:59:09</t>
  </si>
  <si>
    <t>47 § 2,4 Decreto 6514/2008.</t>
  </si>
  <si>
    <t>IBXI2KF3</t>
  </si>
  <si>
    <t>Receber, para fins comerciais, 24,004 m3 de madeira serrada de espécies nativas, em 29/07/2015, sem munir-se de licença válida que deverá acompanhar o produto, sendo que o DOF n° 14530926 não informou os dados do veículo transportador para o trecho fluvial.</t>
  </si>
  <si>
    <t>Santa Luzia</t>
  </si>
  <si>
    <t>PINUS CARPINTARIA E SERVIÇOS LTDA</t>
  </si>
  <si>
    <t>Av. Brasília, n° 3500 - São Benedito - Santa Luzia/MG - CEP 33.110-580</t>
  </si>
  <si>
    <t>2021-02-18 17:00:19</t>
  </si>
  <si>
    <t>89NLVOWB</t>
  </si>
  <si>
    <t>Receber, para fins comerciais, 27,005 m3 de madeira serrada de espécies nativas, em 06/07/2015, sem munir-se de licença válida que deverá acompanhar o produto, sendo que o DOF n° 14397064 não informou os dados do veículo transportador para o trecho fluvial.</t>
  </si>
  <si>
    <t>JAIRO P DA SILVA &amp; CIA LTDA</t>
  </si>
  <si>
    <t>Av. Integração, n° 2420 - Bela Vista - Curvelo/MG - CEP 35.790-000</t>
  </si>
  <si>
    <t>2021-02-18 17:01:32</t>
  </si>
  <si>
    <t>89RCQHMN</t>
  </si>
  <si>
    <t>Receber, para fins comerciais, 24,007 m3 de madeira serrada de espécies nativas, em 17/07/2015, sem munir-se de licença válida que deverá acompanhar o produto, sendo que o DOF n° 14470987 não informou os dados do veículo transportador para o trecho fluvial.</t>
  </si>
  <si>
    <t>Santa Maria de Itabira</t>
  </si>
  <si>
    <t>JOTA MATERIAIS DE CONSTRUÇÃO LTDA - ME</t>
  </si>
  <si>
    <t>Rua José da Silva Braga, n° 79 - Centro - Santa Maria de Itabira/MG - CEP 35.910-000</t>
  </si>
  <si>
    <t>2021-02-18 17:02:41</t>
  </si>
  <si>
    <t>JYK1PA05</t>
  </si>
  <si>
    <t>Receber, para fins comerciais, 28,0041 m3 de madeira serrada de espécies nativas, em 24/07/2015, sem munir-se de licença válida que deverá acompanhar o produto, sendo que o DOF n° 14506687 não informou os dados do veículo transportador para o trecho fluvial.</t>
  </si>
  <si>
    <t>Paineiras</t>
  </si>
  <si>
    <t>RENIVALDO FARIA DA SILVA</t>
  </si>
  <si>
    <t>Rua Camilo Mendonça, n° 659 - Centro - Paineiras/MG - CEP 35.622-000</t>
  </si>
  <si>
    <t>2021-02-18 17:03:53</t>
  </si>
  <si>
    <t>1ZQKR0FE</t>
  </si>
  <si>
    <t>Fornecer dado inconsistência, data de nascimento, no sistema informatizado de controle de fauna - SISPASS.</t>
  </si>
  <si>
    <t>Marília</t>
  </si>
  <si>
    <t>JOEL TEIXEIRA MORENO</t>
  </si>
  <si>
    <t>Rua Pascoal Bitonti, n. 198</t>
  </si>
  <si>
    <t>2021-02-19 09:03:25</t>
  </si>
  <si>
    <t>31 § único Decreto 6514/2008.</t>
  </si>
  <si>
    <t>LJSG5CSU</t>
  </si>
  <si>
    <t>DEIXOU DE ELABORAR E ENTREGAR OS RELATÓRIOS ANUAIS DE QUE TRATA A LEI 10.165/00 REFERENTE AO 2018/2017</t>
  </si>
  <si>
    <t>Fátima</t>
  </si>
  <si>
    <t>ANDRADE SILVA E CIA LTDA - ME</t>
  </si>
  <si>
    <t>AV BERNARDO SAYAO SN  QD W 1. CENYRO. FATIMA TO</t>
  </si>
  <si>
    <t>2021-02-19 15:36:18</t>
  </si>
  <si>
    <t>WUAC0S43</t>
  </si>
  <si>
    <t>União</t>
  </si>
  <si>
    <t>GECOSA INDUSTRIA INTEGRADAS GERVASIO COSTA S.A</t>
  </si>
  <si>
    <t>2021-02-23 11:10:44</t>
  </si>
  <si>
    <t>ZHNHSKZL</t>
  </si>
  <si>
    <t>comercializar MÁQUINAS AGRÍCOLAS sem Licença para uso da configuração de veículos ou motor - LCVM, emitida pelo IBAMA.</t>
  </si>
  <si>
    <t>Araquari</t>
  </si>
  <si>
    <t>GOMES MÁQUINAS E TRANSPORTES LTDA EPP</t>
  </si>
  <si>
    <t>Rua Mariano Soares, 315, Araquari - SC</t>
  </si>
  <si>
    <t>ROTINA CTF I</t>
  </si>
  <si>
    <t>2021-02-26 14:44:31</t>
  </si>
  <si>
    <t>69 Decreto 6514/2008.</t>
  </si>
  <si>
    <t>7¿, . Resolução CONAMA 433/2011.</t>
  </si>
  <si>
    <t>6EJOQI5H</t>
  </si>
  <si>
    <t>fornecer dado inconsistência, data de nascimento, no sistema informatizado de controle de fauna - SISPASS.</t>
  </si>
  <si>
    <t>2021-02-18 10:36:09</t>
  </si>
  <si>
    <t>Birigui</t>
  </si>
  <si>
    <t>Infração da Fauna não classificada - Advertência</t>
  </si>
  <si>
    <t>Luiz Carlos Conte</t>
  </si>
  <si>
    <t>Rua Francisco Calestine, n. 744</t>
  </si>
  <si>
    <t>2021-02-18 10:40:11</t>
  </si>
  <si>
    <t>31 Decreto 6514; 70 1º Lei 9605; 72 Lei 9605; 3º I Decreto 6514.</t>
  </si>
  <si>
    <t>DWRPQD6L</t>
  </si>
  <si>
    <t>Receber, para fins comerciais, 24,32 m3 de madeira serrada de espécies nativas, em 31/07/2015, sem munir-se de licença válida que deverá acompanhar o produto, sendo que o DOF n° 14522123 não informou os dados do veículo transportador para o trecho fluvial.</t>
  </si>
  <si>
    <t>2021-02-18 10:00:00</t>
  </si>
  <si>
    <t>Contagem</t>
  </si>
  <si>
    <t>M E M MADEREIRA MANANCIAL COMERCIO LTDA ME</t>
  </si>
  <si>
    <t>Rua São Sebastião, n° 253 - Eldorado - Contagem/MG - CEP 32.310-450</t>
  </si>
  <si>
    <t>2021-02-18 16:53:03</t>
  </si>
  <si>
    <t>HQGDZ6ZE</t>
  </si>
  <si>
    <t>Receber, para fins comerciais, 24,0117 m3 de madeira serrada de espécies nativas, em 30/07/2015, sem munir-se de licença válida que deverá acompanhar o produto, sendo que o DOF n° 14508612 não informou os dados do veículo transportador para o trecho fluvial.</t>
  </si>
  <si>
    <t>Belo Horizonte</t>
  </si>
  <si>
    <t>TOCANTINS COMERCIAL DE MADEIRAS LTDA - ME</t>
  </si>
  <si>
    <t>Rua Amélia Pyramo, n° 45 - Santa Helena - Belo Horizonte/MG - CEP 30.642-450</t>
  </si>
  <si>
    <t>2021-02-18 16:54:22</t>
  </si>
  <si>
    <t>IPDFMP7J</t>
  </si>
  <si>
    <t>Receber, para fins comerciais, 25,005 m3 de madeira serrada de espécies nativas, em 07/07/2015, sem munir-se de licença válida que deverá acompanhar o produto, sendo que o DOF n° 14387700 não informou os dados para o trecho fluvial do transporte.</t>
  </si>
  <si>
    <t>Itabirito</t>
  </si>
  <si>
    <t>TRANSCOL MATERIAL DE CONSTRUICAO IND.E COM.LTDA</t>
  </si>
  <si>
    <t>Rua Ana Maria Teixeira, n° 121 - Santa Efigênia - Itabirito/MG - CEP 35.450-000</t>
  </si>
  <si>
    <t>2021-02-18 16:56:26</t>
  </si>
  <si>
    <t>IY5XUDJ1</t>
  </si>
  <si>
    <t>Receber, para fins comerciais, 30,0102 m3 de madeira serrada de espécies nativas, em 27/07/2015, sem munir-se de licença válida que deverá acompanhar o produto, sendo que o DOF n° 14532396 não informou os dados do veículo transportador para o trecho fluvial.</t>
  </si>
  <si>
    <t>TRIANGULO TELHAS COLONIAIS LTDA</t>
  </si>
  <si>
    <t>Av. Dom Pedro I, n° 750 - Itapoã - Belo Horizonte/MG - CEP 31.710-000</t>
  </si>
  <si>
    <t>2021-02-18 16:57:55</t>
  </si>
  <si>
    <t>S4SAN84L</t>
  </si>
  <si>
    <t>MONTES_CLAROS/UNID_TEC</t>
  </si>
  <si>
    <t>TER EM CATIVEIRO DOIS ESPÉCIMES DA FAUNA SILVESTRE NATIVA, SENDO UM PAPAGAIO CONSTANTE EM LISTA OFICIAL DE ESPÉCIE AMEAÇADA DE EXTINÇÃO E UM PAPA-CAPIM.</t>
  </si>
  <si>
    <t>Francisco Sá</t>
  </si>
  <si>
    <t>HUDSON GABRIEL VIEIRA DA MATA</t>
  </si>
  <si>
    <t>FAZENDA BAIXA VERDE, ZONA RURAL</t>
  </si>
  <si>
    <t>ROTINA</t>
  </si>
  <si>
    <t>2021-02-22 11:36:49</t>
  </si>
  <si>
    <t>24 Inc. 1,2,3, § 3 Decreto 6514/2008.</t>
  </si>
  <si>
    <t>QYJZUPA8</t>
  </si>
  <si>
    <t>Desmatar, a corte raso, 4,56 hectares de vegetação nativa, Bioma Cerrado, fora da reserva legal, sem autorização da autoridade competente, conforme Parecer n° xxx.</t>
  </si>
  <si>
    <t>2021-02-18 09:53:27</t>
  </si>
  <si>
    <t>Núcleo de Conciliação Ambiental/MS</t>
  </si>
  <si>
    <t>Sidrolândia</t>
  </si>
  <si>
    <t>MS</t>
  </si>
  <si>
    <t>MARIA LUIZA AZUAGA</t>
  </si>
  <si>
    <t>Estância Nossa Senhora Aparecida</t>
  </si>
  <si>
    <t>MS/SUPES</t>
  </si>
  <si>
    <t>2021-02-19 10:07:43</t>
  </si>
  <si>
    <t>52 Decreto 6514; 70 1º Lei 9605; 72 Lei 9605; 3º II Decreto 6514; 3º VII Decreto 6514.</t>
  </si>
  <si>
    <t>RVUXUL31</t>
  </si>
  <si>
    <t>Descumprir embargo de atividade determinado pelo Termo de Embargo n° 613490/E, tratado no processo n°02007.001332/2014.</t>
  </si>
  <si>
    <t>2021-02-18 08:56:49</t>
  </si>
  <si>
    <t>Adahil do Nascimento de Lima</t>
  </si>
  <si>
    <t>vila Cajueiro</t>
  </si>
  <si>
    <t>2021-02-18 09:32:44</t>
  </si>
  <si>
    <t>T9MQ965A</t>
  </si>
  <si>
    <t>Transportar 28,888 metros cúbicos de madeira serrada da essência cupiúba, sendo 3,3600 m3  de prancha, 7,8800 m3 de pranchão, 17,1530 m3 de viga e 0,4950 m3 de bloco quadrado ou filé, sem documento de origem florestal válido, guia florestal fraldada, usando acoberta madeira extraída ilegalmente, sem licença outorgada pela autoridade competente.</t>
  </si>
  <si>
    <t>2021-02-18 08:12:28</t>
  </si>
  <si>
    <t>Uruaçu</t>
  </si>
  <si>
    <t>Angeville Transporte de Cargas</t>
  </si>
  <si>
    <t>Posto da Polícia Rodoviária Federal, BR 153 KM 194.</t>
  </si>
  <si>
    <t>2021-02-22 11:26:30</t>
  </si>
  <si>
    <t>LBOKI2ER</t>
  </si>
  <si>
    <t>Deixar de atender a notificação expressa no OFÍCIO N° xxx, no prazo concedido, visando a regularização (entrega de relatórios de manejo), junto ao Sistema Integrado de Manejo de Fauna (SIMAF).</t>
  </si>
  <si>
    <t>2021-02-18 08:00:00</t>
  </si>
  <si>
    <t>Chapecó</t>
  </si>
  <si>
    <t>JORGE ALBINO COLLE</t>
  </si>
  <si>
    <t>Unidade Técnica do Ibama em Chapecó</t>
  </si>
  <si>
    <t>2021-02-18 10:56:59</t>
  </si>
  <si>
    <t>11, 4 Instrução Normativa n° 12/2019..</t>
  </si>
  <si>
    <t>E4P0O5DG</t>
  </si>
  <si>
    <t>Fazer funcionar atividade potencialmente poluidora (transporte de produto perigoso - ONU 1202), sem a autorização ambiental para o transporte interestadual de produtos perigosos.</t>
  </si>
  <si>
    <t>Catalão</t>
  </si>
  <si>
    <t>COMBOIO SOLUÇÃO LOGISTICA LTDA</t>
  </si>
  <si>
    <t>Comboio Soluções Logísticas</t>
  </si>
  <si>
    <t>2021-02-19 08:08:09</t>
  </si>
  <si>
    <t>5, - Instrução Normativa Ibama n° 5/2012.</t>
  </si>
  <si>
    <t>H4K7N2PI</t>
  </si>
  <si>
    <t>Deixar de apresentar relatório trimestral referente a autorização de Manejo de Javali, na fazenda Gro Mogol, no município de Aiuruoca MG no período de 11/02/2020 a 11/05/2020. Conforme IN 12/2019 em seus artigos 07 e 11.</t>
  </si>
  <si>
    <t>2021-02-18 06:27:38</t>
  </si>
  <si>
    <t>REINALDO CALIXTO DE LIMA</t>
  </si>
  <si>
    <t>Unidade do Ibama em Juiz de Fora MG</t>
  </si>
  <si>
    <t>2021-02-18 06:45:53</t>
  </si>
  <si>
    <t>QJM3N3D3</t>
  </si>
  <si>
    <t>Deixar de atender às exigências legais ou regulamentares quando devidamente notificado(Notificação n° 692710) pela autoridade ambiental competente no prazo concedido visando a adoção de medidas de controle para cessar degradação (comprovante de entrega de embalagens de agrotóxicos vazias encontrados na propriedade Fazenda Campos Novos em Carira/SE).</t>
  </si>
  <si>
    <t>2021-02-18 03:36:20</t>
  </si>
  <si>
    <t>Núcleo de Conciliação Ambiental/SE</t>
  </si>
  <si>
    <t>Carira</t>
  </si>
  <si>
    <t>SE</t>
  </si>
  <si>
    <t>ANTÔNIO AUGUSTO LEITE FRANCO NETO</t>
  </si>
  <si>
    <t>Fazenda Campos Novos</t>
  </si>
  <si>
    <t>SE/SUPES</t>
  </si>
  <si>
    <t>2021-02-18 03:48:34</t>
  </si>
  <si>
    <t>JSFRBJ9G</t>
  </si>
  <si>
    <t>Deixar de atender às exigências legais ou regulamentares quando devidamente notificado(Notificação n°692711) pela autoridade ambiental competente no prazo concedido visando a adoção de medidas de controle para cessar degradação.</t>
  </si>
  <si>
    <t>2021-02-18 02:48:03</t>
  </si>
  <si>
    <t>Bruno José dos Santos</t>
  </si>
  <si>
    <t>2021-02-18 03:05:57</t>
  </si>
  <si>
    <t>6PTP2AAP</t>
  </si>
  <si>
    <t>Transportar 32,64 metros cúbicos de madeiras serradas, originárias da Floresta Amazônica, apresentando documento falso (Guia Florestal).</t>
  </si>
  <si>
    <t>2021-02-17 18:56:50</t>
  </si>
  <si>
    <t>Nova Glória</t>
  </si>
  <si>
    <t>Leandro Fernandes da Silva</t>
  </si>
  <si>
    <t>Goiano Auto Freios</t>
  </si>
  <si>
    <t>2021-02-23 11:49:04</t>
  </si>
  <si>
    <t>VYB5LIXW</t>
  </si>
  <si>
    <t>Transportar 40,93 metros cúbicos de madeira serrada sem licença válida (DOF) para todo o tempo de viagem, outorgada pela autoridade competente, conforme BO/PRF xxx.</t>
  </si>
  <si>
    <t>2021-02-17 17:34:27</t>
  </si>
  <si>
    <t>PEDRO DE OLIVEIRA BRITO</t>
  </si>
  <si>
    <t>2021-03-01 09:01:42</t>
  </si>
  <si>
    <t>OI3S22W3</t>
  </si>
  <si>
    <t>Destruir (suprimir)  12,68 hectares de fragmentos de vegetação secundária em estágio inicial de regeneração - Bioma Mata Atlântica, considerada objeto de especial preservação, sem autorização da autoridade ambiental competente, conforme Parecer n° xxx e Laudo Alerta MapBiomas - ID.11255</t>
  </si>
  <si>
    <t>2021-02-17 17:00:00</t>
  </si>
  <si>
    <t>2021-02-17</t>
  </si>
  <si>
    <t>Sete Quedas</t>
  </si>
  <si>
    <t>Charles Rodrigo Pedro de Souza</t>
  </si>
  <si>
    <t>Fazenda Vô Roberto (arrendamento).</t>
  </si>
  <si>
    <t>2021-02-19 10:07:25</t>
  </si>
  <si>
    <t>50 § 1 Decreto 6514/2008.</t>
  </si>
  <si>
    <t>25, - Lei 11428/06.</t>
  </si>
  <si>
    <t>Y0OHOEG9</t>
  </si>
  <si>
    <t>Deixar de apresentar o relatório anual de atividades poluidoras nos prazos exigidos pela legislação no sistema oficial de controle do IBAMA CTF relativos ao ano de 2019/2018.</t>
  </si>
  <si>
    <t>POSTO GT COMERCIO DE COMBUSTIVEIS LTDA</t>
  </si>
  <si>
    <t>Sede da empresa (Trabalho remoto inseridas as coordenadas da SUPES-PI)</t>
  </si>
  <si>
    <t>2021-02-23 11:56:00</t>
  </si>
  <si>
    <t>GKF80MFF</t>
  </si>
  <si>
    <t>Ter em cativeiro 1 espécime de trinca-ferro em desacordo com a licença obtida.</t>
  </si>
  <si>
    <t>Itajaí</t>
  </si>
  <si>
    <t>RODOLFO MOTA NETO</t>
  </si>
  <si>
    <t>Rod. Antonio Heil, n° 6120. Itaipava.</t>
  </si>
  <si>
    <t>2021-02-24 14:32:42</t>
  </si>
  <si>
    <t>24 Inc. 1,3, § 3 Decreto 6514/2008.</t>
  </si>
  <si>
    <t>CB535GF2</t>
  </si>
  <si>
    <t>Apresentar informação falsa em sistema oficial de controle ao receber o DOF 24338192, objeto de apreensão no BO/PRF xxx.</t>
  </si>
  <si>
    <t>2021-02-17 16:43:16</t>
  </si>
  <si>
    <t>JAMEX INDUSTRIA COMERCIO E EXPORTAÇÃO DE MADEIRAS LTDA</t>
  </si>
  <si>
    <t>Rodovia BR 230, km 710</t>
  </si>
  <si>
    <t>2021-03-01 08:52:38</t>
  </si>
  <si>
    <t>D4CBKKOT</t>
  </si>
  <si>
    <t>Deixar de atender a exigência legais, quando devidamente notificado pela autoridade ambiental competente, notificação nº 703551/E, para apresentar PRAD.
Processo nº 02007.002098/2019.</t>
  </si>
  <si>
    <t>2021-02-17 14:00:00</t>
  </si>
  <si>
    <t>Campo Formoso</t>
  </si>
  <si>
    <t>OSMAR MARTINS DOS SANTOS</t>
  </si>
  <si>
    <t>Rua: Hipólito Ribeiro, nº 116, Centro, Campo Formoso</t>
  </si>
  <si>
    <t>2021-02-22 10:22:48</t>
  </si>
  <si>
    <t>3, 80, II Decreto Federal nº 6.514/2008.</t>
  </si>
  <si>
    <t>9CWQF2TW</t>
  </si>
  <si>
    <t>Utilizar dois (02) espécimes da fauna silvestre nativa, sendo esses da espécie Saltator similis (trinca-ferro), em desacordo com a licença obtida (CTF xxx). No endereço do criador amadorista de passeriformes havia somente um dos dois (02) pássaros de seu plantel. Ademais, o criador relatou que nunca teve de fato um dos pássaros, somente tinha a numeração da anilha SISPASS 3.5 MG/A 126676 relacionada em seu plantel.</t>
  </si>
  <si>
    <t>2021-02-17 13:29:28</t>
  </si>
  <si>
    <t>ROMULO NOGUEIRA DE SOUZA</t>
  </si>
  <si>
    <t>2021-02-17 14:10:35</t>
  </si>
  <si>
    <t>24 6º I Decreto 6514; 70 1º Lei 9605; 72 Lei 9605; 3º I Decreto 6514; 3º IV Decreto 6514; 3º IX Decreto 6514.</t>
  </si>
  <si>
    <t>32, I  IN IBAMA N. 10/2011.</t>
  </si>
  <si>
    <t>UWWUHKNB</t>
  </si>
  <si>
    <t>Deixar de apresentar relatórios (RAPP), referentes aos anos: 2014/2013, 2015/2014, 2016/2015, 2018/2017, 2019/2018, da Lei 10.165/2000. Conforme despacho NQA-CE 6185045 14/10/2019.
Processo SEI: 02007.003454/2019-16.</t>
  </si>
  <si>
    <t>2021-02-17 12:00:00</t>
  </si>
  <si>
    <t>BEZERRA MAIA TRANSPORTE DE CARGAS LTDA - ME</t>
  </si>
  <si>
    <t>Empresa</t>
  </si>
  <si>
    <t>2021-02-18 15:18:57</t>
  </si>
  <si>
    <t>S34LLVRN</t>
  </si>
  <si>
    <t>Deixar de atender a exigência regulamentares quando devidamente notificado pela autoridade competente no prazo concedido, notificação nº 703555/E, processo nº 02007.002343/2919.</t>
  </si>
  <si>
    <t>IVAN PREMOLDADOS LTDA</t>
  </si>
  <si>
    <t>Av: Frei Cirilo, nº 4100, Messejana, CE</t>
  </si>
  <si>
    <t>2021-03-01 17:04:02</t>
  </si>
  <si>
    <t>979HONIG</t>
  </si>
  <si>
    <t>DEIXAR DE ATENDER A NOTIFICACAO ADMINISTRATIVA CONSTANTE NO OFICIO xxx</t>
  </si>
  <si>
    <t>2021-02-17 11:00:00</t>
  </si>
  <si>
    <t>Goianorte</t>
  </si>
  <si>
    <t>CERÂMICA SARAIVA LTDA.</t>
  </si>
  <si>
    <t>CERAMICA SARAIVA LTDA RODOVIA GOIANORTE A DOIS IRMAOS ZONA RURAL. GOIANORTE TO</t>
  </si>
  <si>
    <t>2021-02-19 15:42:06</t>
  </si>
  <si>
    <t>W9TJDNJM</t>
  </si>
  <si>
    <t>DEIXOU DE ELABORAR E ENTREGAR OS RELATÓRIOS ANUAIS DE QUE TRATA A LEI 10.165/00 REFERENTE AOS ANOS DE 2018/2018. 2020/2019</t>
  </si>
  <si>
    <t>CERÂMICA SARAIVA LTDA RODOVIA GOIANORTE S DOIS IRMAOS. ZONA RURAL. GOIANORTE TO</t>
  </si>
  <si>
    <t>2021-02-19 15:42:34</t>
  </si>
  <si>
    <t>3IOYI0SA</t>
  </si>
  <si>
    <t>Descumprir sanções impostas pelo Termo de Embargo n 183899-C, conforme Exposto nos SEI xxx e xxx, assim como as informações prestadas pelo pelo Naturatins através do SEI xxx, todos constantes no Processo 02029.001511/2008-11.</t>
  </si>
  <si>
    <t>2021-02-17 10:00:00</t>
  </si>
  <si>
    <t>Formoso do Araguaia</t>
  </si>
  <si>
    <t>MISAEL LIEBERENZ DE CASTRO DOURADO</t>
  </si>
  <si>
    <t>Módulos: D08,  A010, D05 e E05.</t>
  </si>
  <si>
    <t>2021-02-19 15:35:15</t>
  </si>
  <si>
    <t>RA3GS6G8</t>
  </si>
  <si>
    <t>Apresentar informação falsa nós sistemas oficiais de controle</t>
  </si>
  <si>
    <t>2021-02-17 08:00:00</t>
  </si>
  <si>
    <t>2021-04-05</t>
  </si>
  <si>
    <t>Núcleo de Conciliação Ambiental/MT 2</t>
  </si>
  <si>
    <t>Itaúba</t>
  </si>
  <si>
    <t>F T G DA SILVA</t>
  </si>
  <si>
    <t>Madeireira FTG da Silva, CNPJ 30.704.380/0001-46, CEP 78510-000 Itaúba-MT</t>
  </si>
  <si>
    <t>2021-02-23 11:18:57</t>
  </si>
  <si>
    <t>VCVVCC1Y</t>
  </si>
  <si>
    <t>Vender 19,34 metros cúbicos de madeira serrada sem licença válida (DOF), outorgada pela autoridade competente, conforme BO/PRF xxx.</t>
  </si>
  <si>
    <t>2021-02-16 18:35:47</t>
  </si>
  <si>
    <t>ANTONIO DOS SANTOS PARDIM EIRELI - ME</t>
  </si>
  <si>
    <t>2021-03-01 08:57:31</t>
  </si>
  <si>
    <t>5XDK4RCK</t>
  </si>
  <si>
    <t>Transportar 19,34 metros cúbicos de madeira serrada sem licença válida (DOF) para todo o tempo de viagem, outorgada pela autoridade competente, conforme BO/PRF xxx.</t>
  </si>
  <si>
    <t>2021-02-16 18:18:09</t>
  </si>
  <si>
    <t>RENATO NOGUEIRA FORTUNATO</t>
  </si>
  <si>
    <t>2021-03-01 09:52:47</t>
  </si>
  <si>
    <t>9B6ZF9AC</t>
  </si>
  <si>
    <t>Vender um espécime de Ramphastos toco (Tucano), sem a devida permissão, licença ou autorização da autoridade ambiental competente.</t>
  </si>
  <si>
    <t>2021-02-15 22:00:00</t>
  </si>
  <si>
    <t>LAINE MARIA DIAS</t>
  </si>
  <si>
    <t>Avicultura Ave Branca. CRS 510, BLOCO C, LOJAS 17/18, BRASÍLIA DF.</t>
  </si>
  <si>
    <t>2021-02-26 11:30:15</t>
  </si>
  <si>
    <t>24 Inc. 2 Decreto 6514/2008; 24 Inc. 3, § 3 Decreto 6514/2008.</t>
  </si>
  <si>
    <t>BU0ZFLW7</t>
  </si>
  <si>
    <t>Executar a extração de minerais numa área de 7,66 ha dentro da T.I. Sarare sem licença da autoridade ambiental competente.</t>
  </si>
  <si>
    <t>2021-02-15 14:00:00</t>
  </si>
  <si>
    <t>2021-03-31</t>
  </si>
  <si>
    <t>Núcleo de Conciliação Ambiental/MT 1</t>
  </si>
  <si>
    <t>Pontes e Lacerda</t>
  </si>
  <si>
    <t>Gedielson da Silva Soares</t>
  </si>
  <si>
    <t>Porto da Ponte Rio Sarare, entorno da T.Indigena Sarare, Aprox. 50  km de Pontes e Lacerda.</t>
  </si>
  <si>
    <t>2021-02-17 00:00:00</t>
  </si>
  <si>
    <t>2021-02-17 13:22:59</t>
  </si>
  <si>
    <t>63 Decreto 6514/2008.</t>
  </si>
  <si>
    <t>IFVBZWTC</t>
  </si>
  <si>
    <t>Exercer a pesca no Estuario da Lagoa dos Patos no dia 14/02/2021, com o uso da embarcação MAGNO, sem autorização de Pesca da autoridade competente.</t>
  </si>
  <si>
    <t>2021-02-14 13:43:27</t>
  </si>
  <si>
    <t>Pelotas</t>
  </si>
  <si>
    <t>Jair Vandré Motta Nicoleit</t>
  </si>
  <si>
    <t>Canal de Navegação Z3</t>
  </si>
  <si>
    <t>2021-02-23 22:28:30</t>
  </si>
  <si>
    <t>37 Decreto 6514; 70 1º Lei 9605; 72 Lei 9605; 3º II Decreto 6514.</t>
  </si>
  <si>
    <t>AGCA4SND</t>
  </si>
  <si>
    <t>Portar motosserra em Terra Indígena (Porto de pesca da Aldeia Arareal, Terra Indígena Tereza Cristina) sem licença da autoridade ambiental competente.</t>
  </si>
  <si>
    <t>2021-02-14 13:06:21</t>
  </si>
  <si>
    <t>Santo Antônio do Leverger</t>
  </si>
  <si>
    <t>Pantanal</t>
  </si>
  <si>
    <t>Nilson Viana Pereira</t>
  </si>
  <si>
    <t>Porto de pesca da Aldeia Arareal - Terra Indígena Tereza Cristina</t>
  </si>
  <si>
    <t>PIRACEMA-MT</t>
  </si>
  <si>
    <t>2021-03-01 11:23:30</t>
  </si>
  <si>
    <t>57 Decreto 6514; 70 1º Lei 9605; 72 Lei 9605; 3º II Decreto 6514; 3º IV Decreto 6514.</t>
  </si>
  <si>
    <t>UNSR811E</t>
  </si>
  <si>
    <t>Pescar em local onde a pesca é proibida (Porto de pesca Aldeia Arareal, Terra Indígena Tereza Cristina), com agravante de uso de petrecho proibido (redes de pesca) e captura de espécie não permitida (dourado, Salminus brasiliensis).</t>
  </si>
  <si>
    <t>2021-02-14 12:57:47</t>
  </si>
  <si>
    <t>Elizandro Joaquim dos Santos</t>
  </si>
  <si>
    <t>2021-03-01 11:23:57</t>
  </si>
  <si>
    <t>35 I Decreto 6514; 35 II Decreto 6514; 70 1º Lei 9605; 72 Lei 9605; 3º II Decreto 6514.</t>
  </si>
  <si>
    <t>3Q0Z6A1U</t>
  </si>
  <si>
    <t>Exercer a pesca no Estuario da Lagoa dos Patos com o uso de petrecho proibido, rede de arrasto de portas para a pesca de camarão, no dia 14/02/2021, com o uso da embarcação MAGNO, capturando 5 kg de pescados diversos.</t>
  </si>
  <si>
    <t>2021-02-14 12:37:19</t>
  </si>
  <si>
    <t>Lagoa dos Patos - Canal de Navegação</t>
  </si>
  <si>
    <t>2021-02-23 22:30:00</t>
  </si>
  <si>
    <t>35 II Decreto 6514; 70 1º Lei 9605; 72 Lei 9605; 3º II Decreto 6514; 3º IV Decreto 6514.</t>
  </si>
  <si>
    <t>3o, Iii INI SEAP-PR/MMA n.o 03/2004.</t>
  </si>
  <si>
    <t>RSNF7REU</t>
  </si>
  <si>
    <t>Pescar em local onde a pesca é proibida (Porto de pesca da Aldeia Arareal, Terra Indígena Tereza Cristina), com agravante de uso de petrechos proibido (redes de pesca) e captura de espécie não permitida ( dourado, Salminus brasiliensis).</t>
  </si>
  <si>
    <t>2021-02-14 12:36:10</t>
  </si>
  <si>
    <t>Eder Pereira dos Santos</t>
  </si>
  <si>
    <t>Porto de pesca Aldeia Arareal - TI Tereza Cristina</t>
  </si>
  <si>
    <t>2021-03-01 11:25:27</t>
  </si>
  <si>
    <t>KW0Y2SV7</t>
  </si>
  <si>
    <t>Impedir a regeneração natural de 380 hectares de florestas ou demais formas de vegetação nativa em área de Reserva Legal cuja regeneração indicada no Termo de Embargo n° 447567/C. Fazenda São José I, II, III e IV, no município de Nova Bandeirantes.</t>
  </si>
  <si>
    <t>2021-02-13 13:15:17</t>
  </si>
  <si>
    <t>Nova Bandeirantes</t>
  </si>
  <si>
    <t>Agropecuária BN LTDA</t>
  </si>
  <si>
    <t>Agropecuária BN LTDA - Fazenda São Lucas</t>
  </si>
  <si>
    <t>2021-02-13 16:18:59</t>
  </si>
  <si>
    <t>48 Decreto 6514; 70 1º Lei 9605; 72 Lei 9605; 3º II Decreto 6514.</t>
  </si>
  <si>
    <t>RC8D2MGQ</t>
  </si>
  <si>
    <t>Ter em cativeiro 03 aves da fauna silvestre brasileira, 2 curiós, 1 patativa, sem autorização do órgão ambiental competente.</t>
  </si>
  <si>
    <t>2021-02-13 12:41:21</t>
  </si>
  <si>
    <t>Núcleo de Conciliação Ambiental/AP</t>
  </si>
  <si>
    <t>Rossi Ferreira Negrão</t>
  </si>
  <si>
    <t>Rua Galibi, n. 325 - Bairro Nova Esperança</t>
  </si>
  <si>
    <t>OIAPOQUE/UNID_TEC</t>
  </si>
  <si>
    <t>2021-02-13 12:57:33</t>
  </si>
  <si>
    <t>24 Decreto 6514; 70 1º Lei 9605; 72 Lei 9605; 3º II Decreto 6514; 3º IV Decreto 6514.</t>
  </si>
  <si>
    <t>76QMDL3Y</t>
  </si>
  <si>
    <t>Exercer pesca comido de petrechos proibido (joao-bobo).</t>
  </si>
  <si>
    <t>2021-02-13 08:57:13</t>
  </si>
  <si>
    <t>Juscimeira</t>
  </si>
  <si>
    <t>Jander Claudio Flores Araújo</t>
  </si>
  <si>
    <t>Rio São Lourenço</t>
  </si>
  <si>
    <t>2021-03-01 11:26:52</t>
  </si>
  <si>
    <t>35 II Decreto 6514; 70 1º Lei 9605; 72 Lei 9605; 3º II Decreto 6514.</t>
  </si>
  <si>
    <t>Y24YLK69</t>
  </si>
  <si>
    <t>Exercer pesca sem licença emitida por órgão ambiental competente.</t>
  </si>
  <si>
    <t>2021-02-13 07:23:18</t>
  </si>
  <si>
    <t>Josué Oliveira</t>
  </si>
  <si>
    <t>2021-03-01 11:27:39</t>
  </si>
  <si>
    <t>37 Decreto 6514; 70 1º Lei 9605; 72 Lei 9605; 3º II Decreto 6514; 3º IV Decreto 6514.</t>
  </si>
  <si>
    <t>NMKBV9UX</t>
  </si>
  <si>
    <t>Descumprir embargo por meio de atividade agropastoril, em uma área de 1.116,8 hectares, objeto do Termo de Embargo n° 447567/C, na Fazenda São José I, II, III e IV.</t>
  </si>
  <si>
    <t>2021-02-12 19:30:53</t>
  </si>
  <si>
    <t>Otávio Dias</t>
  </si>
  <si>
    <t>Fazenda São José I, II, III e IV</t>
  </si>
  <si>
    <t>2021-02-12 20:53:08</t>
  </si>
  <si>
    <t>LM1KWHRU</t>
  </si>
  <si>
    <t>Apresentar informação falsa em sistema oficial de controle (SISFLORA-PA), por possuir 3,8420 metros cúbicos de saldo no SISFLORA-PA, de madeira laminada, da essência florestal Couratari guianensis (tauari), sem ter a respectiva madeira armazenada no pátio</t>
  </si>
  <si>
    <t>2021-02-12 16:00:00</t>
  </si>
  <si>
    <t>Anapu</t>
  </si>
  <si>
    <t>ANAPU COMERCIO E EXPORTAÇÃO DE MADEIRAS LTDA</t>
  </si>
  <si>
    <t>Rod. BR 230 - Transamazonica, km 141 - Zona Rural.</t>
  </si>
  <si>
    <t>GCDA P01 R-AL***</t>
  </si>
  <si>
    <t>2021-02-18 12:54:29</t>
  </si>
  <si>
    <t>2QIRBLLL</t>
  </si>
  <si>
    <t>Vender a volumetria de 28,010 metros cúbicos de Madeira serrada (Ripas e Sarrafo) de espécies e bitolas diversas, subprodutos de origem vegetal, sem licença válida outorgada pela autoridade ambiental competente. Conforme a informação xxx.(DOF 18976034).</t>
  </si>
  <si>
    <t>2021-02-12 15:00:00</t>
  </si>
  <si>
    <t>M ALCINO REIS EIRELI - ME (MORIA MADEIRAS E TRANSPORTES)</t>
  </si>
  <si>
    <t>Empresa: M. Alcino Reis (Moriá Madeiras e Transporte)
CNPJ: 26.452.626/0001-22</t>
  </si>
  <si>
    <t>2021-02-20 00:00:00</t>
  </si>
  <si>
    <t>2021-02-20 14:58:23</t>
  </si>
  <si>
    <t>44, p.único IN-IBAMA 21/2014; 48, VI IN-IBAMA 21/2014.</t>
  </si>
  <si>
    <t>CIQVE1IG</t>
  </si>
  <si>
    <t>CGEMA</t>
  </si>
  <si>
    <t>Art. 38.  Efetuarem os navios ou plataformas com suas instalações de apoio o descarte contínuo de água de processo ou de produção em desacordo com a regulamentação ambiental específica: Descartar água de produção gerando mancha de óleo de 5000m além da zona de 500m permitida.
Penalidade: multa do Grupo C.
Parágrafo único.  Cabe ao órgão ambiental competente autuar e multar os infratores na situação prevista neste artigo.</t>
  </si>
  <si>
    <t>2021-02-12 14:00:00</t>
  </si>
  <si>
    <t>Rio de Janeiro</t>
  </si>
  <si>
    <t>RJ</t>
  </si>
  <si>
    <t>P-56, localizada no Campo Marlim Sul, Bacia de Campos.</t>
  </si>
  <si>
    <t>TERMO DE COMPROMISSO PETROBRAS - AEROMONITORAMENTO</t>
  </si>
  <si>
    <t>2021-02-18 18:45:11</t>
  </si>
  <si>
    <t>27 Inc. 2 Lei 9966/00.</t>
  </si>
  <si>
    <t>38, Parágrafo único Decreto 4136/2002.</t>
  </si>
  <si>
    <t>FYXJUY45</t>
  </si>
  <si>
    <t>Art. 38.  Efetuarem os navios ou plataformas com suas instalações de apoio o descarte contínuo de água de processo ou de produção em desacordo com a regulamentação ambiental específica: Descartar água de produção gerando mancha de óleo de 1720m além da zona de 500m permitida.
Penalidade: multa do Grupo C.
Parágrafo único.  Cabe ao órgão ambiental competente autuar e multar os infratores na situação prevista neste artigo.</t>
  </si>
  <si>
    <t>2021-02-12</t>
  </si>
  <si>
    <t>2021-02-24 10:24:44</t>
  </si>
  <si>
    <t>38, Parágrafo único Descreto 4136/2002.</t>
  </si>
  <si>
    <t>YGYK831O</t>
  </si>
  <si>
    <t>TRANSPORTAR 716 KG DE PESCADOS NO CAMINHÃO PLACAS MBB8697, SEM COMPROVANTE DE ORIGEM.</t>
  </si>
  <si>
    <t>2021-02-12 13:33:06</t>
  </si>
  <si>
    <t>Capivari do Sul</t>
  </si>
  <si>
    <t>RAFAEL LAUREANO TEODORO</t>
  </si>
  <si>
    <t>BR 101 SUL.</t>
  </si>
  <si>
    <t>2021-02-15 16:25:52</t>
  </si>
  <si>
    <t>F6X3ZHXE</t>
  </si>
  <si>
    <t>Art. 38.  Efetuarem os navios ou plataformas com suas instalações de apoio o descarte contínuo de água de processo ou de produção em desacordo com a regulamentação ambiental específica: Descartar água de produção gerando mancha de óleo de 1720m além da zona de 500m permitida.
Penalidade: multa do Grupo C.
Parágrafo único.  Cabe ao órgão ambiental competente autuar e multar os infratores na situação prevista neste artigo.</t>
  </si>
  <si>
    <t>2021-02-12 13:10:47</t>
  </si>
  <si>
    <t>Petróleo Brasileiro S. A.</t>
  </si>
  <si>
    <t>CGFIS</t>
  </si>
  <si>
    <t>2021-02-12 13:26:17</t>
  </si>
  <si>
    <t>27 II Lei 9966; 70 1º Lei 9605; 72 Lei 9605; 3º II Decreto 6514.</t>
  </si>
  <si>
    <t>MQME4W5Q</t>
  </si>
  <si>
    <t>2021-02-12 13:00:00</t>
  </si>
  <si>
    <t>FABRICÍO CONTIN STEFANI</t>
  </si>
  <si>
    <t>Unidade Técnica do IBAMA em Chapecó-SC.</t>
  </si>
  <si>
    <t>2021-02-18 10:12:11</t>
  </si>
  <si>
    <t>11, 4 IN 12/2019.</t>
  </si>
  <si>
    <t>R0L2V9T9</t>
  </si>
  <si>
    <t>GILMAR GALVAN</t>
  </si>
  <si>
    <t>2021-02-18 10:14:09</t>
  </si>
  <si>
    <t>R5WYZ14M</t>
  </si>
  <si>
    <t>FERNANDO CARLOS SILVEIRA BANDEIRA</t>
  </si>
  <si>
    <t>2021-02-18 10:16:06</t>
  </si>
  <si>
    <t>WUKXZSRX</t>
  </si>
  <si>
    <t>Art. 38.  Efetuarem os navios ou plataformas com suas instalações de apoio o descarte contínuo de água de processo ou de produção em desacordo com a regulamentação ambiental específica: Descartar água de produção gerando mancha de óleo de 1500m além da zona de 500m permitida. 
Penalidade: multa do Grupo C.
Parágrafo único.  Cabe ao órgão ambiental competente autuar e multar os infratores na situação prevista neste artigo.</t>
  </si>
  <si>
    <t>Pltaforma Pargo-1, localizada no Campo Pargo, Bacia de Campos.</t>
  </si>
  <si>
    <t>2021-02-24 10:27:03</t>
  </si>
  <si>
    <t>38, Parágrafo único Decreto 4136/2020.</t>
  </si>
  <si>
    <t>ZUZPC44D</t>
  </si>
  <si>
    <t>TRANSPORTAR 6.630 KG DE CAMARÃO ROSA CAPTURADO NA LAGOA DOS PATOS, NO CAMINHÃO PLACAS MHL5345, SEM COMPROVANTE DE ORIGEM.</t>
  </si>
  <si>
    <t>2021-02-12 12:50:51</t>
  </si>
  <si>
    <t>LAGUNA SUL IMPORTACAO E EXPORTACAO EIRELI - EPP</t>
  </si>
  <si>
    <t>BR-101 SUL.</t>
  </si>
  <si>
    <t>2021-02-15 16:26:02</t>
  </si>
  <si>
    <t>SDKYZ4K2</t>
  </si>
  <si>
    <t>Transportar 960 Kg de camarão e 200 kg de tainha sem comprovante de origem no veículo placa ARK 9398.</t>
  </si>
  <si>
    <t>2021-02-12 12:16:54</t>
  </si>
  <si>
    <t>Fernanda Santana</t>
  </si>
  <si>
    <t>BR 101 cruzamento com RS 040</t>
  </si>
  <si>
    <t>2021-02-12 12:37:29</t>
  </si>
  <si>
    <t>35 IV Decreto 6514; 70 1º Lei 9605; 72 Lei 9605; 3º II Decreto 6514; 3º IV Decreto 6514; 3º V Decreto 6514.</t>
  </si>
  <si>
    <t>WA0CU6NL</t>
  </si>
  <si>
    <t>TRANSPORTAR 6.768,00 KG DE CAMARÃO ROSA NO CAMINHÃO (TRATOR + SEMI-REBOQUE) PLACAS RLH5B37 E MPY6F41, SEM COMPROVANTE DE ORIGEM.</t>
  </si>
  <si>
    <t>2021-02-12 12:08:21</t>
  </si>
  <si>
    <t>JOCELITO DAGOBERTO PEREIRA RODRIGUES</t>
  </si>
  <si>
    <t>BR 101 SUL. POLÍCIA RODOVIÁRIA ESTADUAL</t>
  </si>
  <si>
    <t>2021-02-15 16:26:11</t>
  </si>
  <si>
    <t>NXCYPNDV</t>
  </si>
  <si>
    <t>Transportar 6.180 kg de pescado fresco (refrigerado em gelo), com predominio de tainha, em São Lourenço do Sul, no dia 11 02 2021, com uso do veículo placa MLB, 6854, sem origem legal por meio da nota de produtor fiscal de P 185 061278, inválida.</t>
  </si>
  <si>
    <t>2021-02-12 12:00:42</t>
  </si>
  <si>
    <t>NILTON JONATA MENDES DA ROSA</t>
  </si>
  <si>
    <t>Sesc Mesa Brasil</t>
  </si>
  <si>
    <t>2021-02-12 12:18:26</t>
  </si>
  <si>
    <t>OPAE308Q</t>
  </si>
  <si>
    <t>2021-02-12 12:00:00</t>
  </si>
  <si>
    <t>CARLOS FREDERICO VITORINO</t>
  </si>
  <si>
    <t>Unidade Técnica do Ibama em Chapecó-SC</t>
  </si>
  <si>
    <t>2021-02-17 14:58:10</t>
  </si>
  <si>
    <t>11, 4 IN IBAMA 12/2019.</t>
  </si>
  <si>
    <t>FYTADR6I</t>
  </si>
  <si>
    <t>ADALBERTO VILAS BOAS JÚNIOR</t>
  </si>
  <si>
    <t>2021-02-17 15:35:40</t>
  </si>
  <si>
    <t>Z4OQ2DW2</t>
  </si>
  <si>
    <t>SAULO DA SILVA DE OLIVEIRA PEREIRA</t>
  </si>
  <si>
    <t>2021-02-18 09:56:14</t>
  </si>
  <si>
    <t>1IH7NESE</t>
  </si>
  <si>
    <t>JAILSON GUIZONI</t>
  </si>
  <si>
    <t>2021-02-18 10:01:39</t>
  </si>
  <si>
    <t>8H5Y5TX3</t>
  </si>
  <si>
    <t>LUIZ ANDRE MOREIRA</t>
  </si>
  <si>
    <t>2021-02-18 10:09:18</t>
  </si>
  <si>
    <t>3VPVHIV1</t>
  </si>
  <si>
    <t>Art. 38.  Efetuarem os navios ou plataformas com suas instalações de apoio o descarte contínuo de água de processo ou de produção em desacordo com a regulamentação ambiental específica: Descartar água de produção resultando em mancha de 1070m além da zona de 500m permitida.
Penalidade: multa do Grupo C.
        Parágrafo único.  Cabe ao órgão ambiental competente autuar e multar os infratores na situação prevista neste artigo.</t>
  </si>
  <si>
    <t>P-31 - Campo Albacora, Bacia de Campos</t>
  </si>
  <si>
    <t>2021-02-24 09:49:02</t>
  </si>
  <si>
    <t>X867735S</t>
  </si>
  <si>
    <t>Art. 38.  Efetuarem os navios ou plataformas com suas instalações de apoio o descarte contínuo de água de processo ou de produção em desacordo com a regulamentação ambiental específica: Descartar água de produção gerando mancha de óleo 250m além dos 500m permitidos.
Penalidade: multa do Grupo C.
Parágrafo único.  Cabe ao órgão ambiental competente autuar e multar os infratores na situação prevista neste artigo.</t>
  </si>
  <si>
    <t>P-31, localizada no Campo Albacora, Bacia de Campos.</t>
  </si>
  <si>
    <t>2021-02-24 10:28:41</t>
  </si>
  <si>
    <t>G48CS01P</t>
  </si>
  <si>
    <t>Vender, transportar ou guardar madeira nativa, sem licença válida para todo o tempo da viagem ou do armazenamento, outorgada pela autoridade competente. Neste ato referente ao Documento de Origem Florestal de 55,69 m³ de madeiras serradas de espécie florestal nativa Ochroma Pyramidale, ou vulgarmente conhecida como madeira Balsa, objeto da nota fiscal eletrônica de saída 243 de 23/04/2020, série 001 e DUE 20BR000497756-2.</t>
  </si>
  <si>
    <t>2021-02-12 11:50:05</t>
  </si>
  <si>
    <t>UT 2 SANTOS/SP Avenida Cel Joaquim Montenegro 297 - Aparecida- Santos/SP</t>
  </si>
  <si>
    <t>2021-02-23 07:08:01</t>
  </si>
  <si>
    <t>36, . Lei 12651/2012; 31, . IN IBAMA 21/2014.</t>
  </si>
  <si>
    <t>R2MIU75L</t>
  </si>
  <si>
    <t>Vender, transportar ou guardar madeira nativa, sem licença válida para todo o tempo da viagem ou do armazenamento, outorgada pela autoridade competente. Neste ato referente ao Documento de Origem Florestal de 113,77 m³ de madeiras serradas de espécie florestal nativa Ochroma Pyramidale, ou vulgarmente conhecida como madeira Balsa, objeto das notas fiscais eletrônica de saída 240 e 241 de 16/04/2020, série 001 e DUE 20BR000067164-7.</t>
  </si>
  <si>
    <t>2021-02-12 11:32:15</t>
  </si>
  <si>
    <t>UT 2 IBAMA SANTOS/SP Avenida Cel Joaquim Montenegro 297 - Aparecida - Santos/SP</t>
  </si>
  <si>
    <t>2021-02-23 07:05:02</t>
  </si>
  <si>
    <t>VLZOBIUN</t>
  </si>
  <si>
    <t>Art. 38.  Efetuarem os navios ou plataformas com suas instalações de apoio o descarte contínuo de água de processo ou de produção em desacordo com a regulamentação ambiental específica: Descarte de água de água de produção resultando mancha de 3.000m além da zona de 500m permitida. 
Penalidade: multa do Grupo C.
Parágrafo único.  Cabe ao órgão ambiental competente autuar e multar os infratores na situação prevista neste artigo.</t>
  </si>
  <si>
    <t>2021-02-12 11:21:55</t>
  </si>
  <si>
    <t>Plataforma P-51. Bacia de Campos</t>
  </si>
  <si>
    <t>2021-02-24 12:41:44</t>
  </si>
  <si>
    <t>38, parágrafo único DECRETO Nº 4.136, DE 20 DE FEVEREIRO DE 2002.</t>
  </si>
  <si>
    <t>UZOF0MPK</t>
  </si>
  <si>
    <t>Vender, transportar ou guardar madeira nativa, sem licença válida para todo o tempo da viagem ou do armazenamento, outorgada pela autoridade competente. Neste ato referente ao Documento de Origem Florestal de 55,387 m³ de madeiras serradas de espécie florestal nativa Ochroma Pyramidale, ou vulgarmente conhecida como madeira Balsa, objeto da nota fiscal eletrônica de saída 217 de 18/02/2020, série 001 e DUE 20BR000214596-9.</t>
  </si>
  <si>
    <t>2021-02-12 11:15:49</t>
  </si>
  <si>
    <t>UT 2 IBAMA SANTOS/SP Avenida Cel Joaquim Montenegro 297, Aparecida - Santos/SP</t>
  </si>
  <si>
    <t>2021-02-23 07:15:12</t>
  </si>
  <si>
    <t>9ZSRSIGK</t>
  </si>
  <si>
    <t>Art. 38.  Efetuarem os navios ou plataformas com suas instalações de apoio o descarte contínuo de água de processo ou de produção em desacordo com a regulamentação ambiental específica: Descarte de água produzida originando mancha de óleo que ultrapassou em 230m o limite de 500m permitido. 
Penalidade: multa do Grupo C.
Parágrafo único.  Cabe ao órgão ambiental competente autuar e multar os infratores na situação prevista neste artigo.</t>
  </si>
  <si>
    <t>2021-02-12 11:06:17</t>
  </si>
  <si>
    <t>Plataforma P-48, Campo Caratinga, Bacia de Campos.</t>
  </si>
  <si>
    <t>2021-02-24 12:38:33</t>
  </si>
  <si>
    <t>38, Parágrafo único DECRETO Nº 4.136, DE 20 DE FEVEREIRO DE 2002.</t>
  </si>
  <si>
    <t>0ZR2M7J0</t>
  </si>
  <si>
    <t>TRANSPORTAR 7.456 KG DE CAMARÃO ROSA CAPTURADO NA LAGOA DOS PATOS, NO CAMINHÃO VW/24.250 CNC 6X2, PLACAS MHC4834, SEM COMPROVANTE DE ORIGEM.</t>
  </si>
  <si>
    <t>2021-02-12 11:05:19</t>
  </si>
  <si>
    <t>BR 101 SUL. Polícia Rodoviária Estadual.</t>
  </si>
  <si>
    <t>2021-02-15 16:26:21</t>
  </si>
  <si>
    <t>CPRLQSD3</t>
  </si>
  <si>
    <t>2021-02-12 11:00:00</t>
  </si>
  <si>
    <t>MAFALDOCRISTIANO BUZZACHERA</t>
  </si>
  <si>
    <t>2021-02-17 14:50:00</t>
  </si>
  <si>
    <t>11, 4 IN IBAMA n 12/2019.</t>
  </si>
  <si>
    <t>T9F03QYP</t>
  </si>
  <si>
    <t>JERÔNIMO FRAGOZO</t>
  </si>
  <si>
    <t>2021-02-17 14:50:46</t>
  </si>
  <si>
    <t>TD6LPR9S</t>
  </si>
  <si>
    <t>MARCIO DELFINO</t>
  </si>
  <si>
    <t>2021-02-17 14:54:29</t>
  </si>
  <si>
    <t>NRZTZKP4</t>
  </si>
  <si>
    <t>CLEBSON GUIMARÃES</t>
  </si>
  <si>
    <t>2021-02-17 14:56:12</t>
  </si>
  <si>
    <t>GSVFJNX0</t>
  </si>
  <si>
    <t>EDUARDO FRANCISCO ESGANZELA</t>
  </si>
  <si>
    <t>2021-02-17 14:56:56</t>
  </si>
  <si>
    <t>6HS79BQR</t>
  </si>
  <si>
    <t>MAYCON SOUZA DE LINZ</t>
  </si>
  <si>
    <t>2021-02-17 14:57:45</t>
  </si>
  <si>
    <t>9GW839LU</t>
  </si>
  <si>
    <t>Art. 38.  Efetuarem os navios ou plataformas com suas instalações de apoio o descarte contínuo de água de processo ou de produção em desacordo com a regulamentação ambiental específica:
Penalidade: multa do Grupo C.
Parágrafo único.  Cabe ao órgão ambiental competente autuar e multar os infratores na situação prevista neste artigo.</t>
  </si>
  <si>
    <t>CGEMA - IBAMA/Sede</t>
  </si>
  <si>
    <t>2021-02-18 16:42:20</t>
  </si>
  <si>
    <t>38, Páragrafo único do Decreto 4.136 de Fevereiro de 2002.</t>
  </si>
  <si>
    <t>460NH5DP</t>
  </si>
  <si>
    <t>Art.38. Efetuarem os navios ou plataformas com suas instalações de apoio o descarte contínuo de água de processo ou de produção em desacordo com a regulamentação ambiental específica. 
Mancha de óleo medindo 4.000 metros.
Penalidade: multa do Grupo C. Parágrafo único: Cabe ao órgão ambiental competente autuar e multar os infratores na situação prevista neste artigo.</t>
  </si>
  <si>
    <t>FPSO Cidade de Itajaí
Campo Baraúna
Bacia de Santos</t>
  </si>
  <si>
    <t>2021-02-24 12:31:33</t>
  </si>
  <si>
    <t>38, Parágrafo Único Decreto 4.136/2002.</t>
  </si>
  <si>
    <t>N41AK6IO</t>
  </si>
  <si>
    <t>Art. 38.  Efetuarem os navios ou plataformas com suas instalações de apoio o descarte contínuo de água de processo ou de produção em desacordo com a regulamentação ambiental específica: Descarte de água de produção resultando em mancha de 4.130m além da zona de 500m permitida.
Penalidade: multa do Grupo C.
Parágrafo único.  Cabe ao órgão ambiental competente autuar e multar os infratores na situação prevista neste artigo.</t>
  </si>
  <si>
    <t>2021-02-12 10:59:36</t>
  </si>
  <si>
    <t>Plataforma P-51
Bacia de Campos</t>
  </si>
  <si>
    <t>2021-02-24 12:38:50</t>
  </si>
  <si>
    <t>38, parágrafo único Decreto 4.136/2002.</t>
  </si>
  <si>
    <t>77QTAC44</t>
  </si>
  <si>
    <t>Vender, transportar ou guardar madeira nativa, sem licença válida para todo o tempo da viagem ou do armazenamento, outorgada pela autoridade competente. Neste ato referente ao Documento de Origem Florestal de 56,896 m³ de madeiras serradas de espécie florestal nativa Ochroma Pyramidale, ou vulgarmente conhecida como madeira Balsa, objeto da nota fiscal eletrônica de saída 228 de 25/03/2020, série 001 e DUE 20BR000395161-6.</t>
  </si>
  <si>
    <t>2021-02-12 10:59:28</t>
  </si>
  <si>
    <t>2021-02-23 07:02:40</t>
  </si>
  <si>
    <t>BKS9WPIF</t>
  </si>
  <si>
    <t>Art. 38.  Efetuarem os navios ou plataformas com suas instalações de apoio o descarte contínuo de água de processo ou de produção em desacordo com a regulamentação ambiental específica. Descarte de água de produção produzindo mancha de 7180m além da zona de 500m. 
Penalidade: multa do Grupo C.       Parágrafo único.  Cabe ao órgão ambiental competente autuar e multar os infratores na situação prevista neste artigo</t>
  </si>
  <si>
    <t>2021-02-12 10:53:23</t>
  </si>
  <si>
    <t>FPSO Cidade de Itajaí, 
Campo Baraúna
Bacia de Santos</t>
  </si>
  <si>
    <t>2021-02-24 12:40:13</t>
  </si>
  <si>
    <t>38, Parágrafo Único 41136/2002.</t>
  </si>
  <si>
    <t>Z9DXRU1D</t>
  </si>
  <si>
    <t>Transportar 500 kg de camarão rosa da Lagoa dos Patos sem comprovante de origem no veículo placa IRB9184.</t>
  </si>
  <si>
    <t>2021-02-12 10:50:46</t>
  </si>
  <si>
    <t>Jorge Airton Bastos da Costa</t>
  </si>
  <si>
    <t>BR 101 Cruzamento RS 040</t>
  </si>
  <si>
    <t>2021-02-12 11:13:23</t>
  </si>
  <si>
    <t>9SMQM5JY</t>
  </si>
  <si>
    <t>Vender, transportar ou guardar madeira nativa, sem licença válida para todo o tempo da viagem ou do armazenamento, outorgada pela autoridade competente. Neste ato referente ao Documento de Origem Florestal de 56,896 m³ de madeiras serradas de espécie florestal nativa Ochroma Pyramidale, ou vulgarmente conhecida como madeira Balsa, objeto da nota fiscal eletrônica de saída 224 de 09/03/2020, série 001 e DUE 20BR000319462-9.</t>
  </si>
  <si>
    <t>2021-02-12 10:36:16</t>
  </si>
  <si>
    <t>UT 2 IBAMA SANTOS/SP Avenida Cel Joaquim Montenegro 297 - Aparecida- Santos/SP</t>
  </si>
  <si>
    <t>2021-02-23 06:43:58</t>
  </si>
  <si>
    <t>K4UVQAKX</t>
  </si>
  <si>
    <t>2021-02-12 10:34:22</t>
  </si>
  <si>
    <t>M ALCINO REIS EIRELI - ME</t>
  </si>
  <si>
    <t>Empresa M.Alcino Reis.(Moriá Madeiras e Transporte). CNPJ: 12452626/0001-22</t>
  </si>
  <si>
    <t>2021-02-12 10:40:52</t>
  </si>
  <si>
    <t>PP3TTMOV</t>
  </si>
  <si>
    <t>2021-02-12 10:00:00</t>
  </si>
  <si>
    <t>VORLY ANTUNES DA SILVA</t>
  </si>
  <si>
    <t>2021-02-18 09:44:37</t>
  </si>
  <si>
    <t>11, 4 Instrução normativa n° 12/2019..</t>
  </si>
  <si>
    <t>ZB1YOKJX</t>
  </si>
  <si>
    <t>JOSE CARLOS DA SILVA</t>
  </si>
  <si>
    <t>2021-02-18 09:49:53</t>
  </si>
  <si>
    <t>USZVZ0ZK</t>
  </si>
  <si>
    <t>JOEL MACHADO DA SILVA</t>
  </si>
  <si>
    <t>2021-02-18 10:23:08</t>
  </si>
  <si>
    <t>Y9VA667F</t>
  </si>
  <si>
    <t>Vender a volumetria de 12,200 metrôs cúbicos de Madeira serrada (Prancha e Vigas) da espécie Maçaranduba (Manilkara huberi) e 8,000 metros cúbicos de resíduo para aproveitamento energético de espécies diversas, subprodutos de origem vegetal, sem licença válida outorgada pela autoridade ambiental competente, conforme a informação xxx.(DOF 17987287)</t>
  </si>
  <si>
    <t>Empresa M. Alcino Reis.(Moriá Madeiras e Transporte). CNPJ:26.452.626/0001-64</t>
  </si>
  <si>
    <t>2021-02-20 15:00:07</t>
  </si>
  <si>
    <t>44, P. único IN-IBAMA 21/2014; 48, VI IN-IBAMA 21/2014.</t>
  </si>
  <si>
    <t>FWM64MVW</t>
  </si>
  <si>
    <t>Transportar 2.575 kg de camarão rosa (Farfanfantepenaeus paulensis) fresco (refrigerado em gelo), em eldorado do Sul-RS, no dia 11/02/2021, com o uso do veiculo MKL 5260, sem origem legal, por meio da Nota Fiscal NFe 033.085.687 Série 890 (1), invàlida.</t>
  </si>
  <si>
    <t>Eldorado do Sul</t>
  </si>
  <si>
    <t>Orlando Correia da Silva</t>
  </si>
  <si>
    <t>Posto da Policia Rodoviaria Federal de Eldorado do Sul</t>
  </si>
  <si>
    <t>2021-02-27 19:06:07</t>
  </si>
  <si>
    <t>BUYYI5FW</t>
  </si>
  <si>
    <t>Transportar 375 kg de tainha sem comprovante de origem no veículo Fiat Toro Placa RLJ0B78.</t>
  </si>
  <si>
    <t>2021-02-12 09:00:58</t>
  </si>
  <si>
    <t>LORENI PORT</t>
  </si>
  <si>
    <t>BR 101</t>
  </si>
  <si>
    <t>2021-02-12 09:23:16</t>
  </si>
  <si>
    <t>FRSMPS9K</t>
  </si>
  <si>
    <t>2021-02-12 09:00:00</t>
  </si>
  <si>
    <t>EDUARDO BERNDT DA LUZ</t>
  </si>
  <si>
    <t>Unidade Técnica do IBAMA em Chapecó-SC</t>
  </si>
  <si>
    <t>2021-02-18 10:06:51</t>
  </si>
  <si>
    <t>11, 4 Instrução Normativa 12/2019  .</t>
  </si>
  <si>
    <t>OYG9TZRK</t>
  </si>
  <si>
    <t>2021-02-12 07:17:34</t>
  </si>
  <si>
    <t>Unidade Técnica do Ibama em Chapecó.</t>
  </si>
  <si>
    <t>2021-02-12 07:38:49</t>
  </si>
  <si>
    <t>11°, 4° Instrução normativa n° 12/2019..</t>
  </si>
  <si>
    <t>YUDDGLLD</t>
  </si>
  <si>
    <t>Receber, para fins comerciais, 41,075 m3 de madeira serrada de espécies nativas, em 05/09/2016, sem munir-se de licença válida que deverá acompanhar o produto, sendo que o DOF n° 16568688 apresentado possuiu inconsistência no campo do registro/placa do  trecho rodoviário.</t>
  </si>
  <si>
    <t>2021-02-12 07:00:00</t>
  </si>
  <si>
    <t>Av. Pedro I, n° 750 - Itapoã - Belo Horizonte/MG - CEP 31.710-000</t>
  </si>
  <si>
    <t>2021-02-12 00:00:00</t>
  </si>
  <si>
    <t>2021-02-12 08:53:13</t>
  </si>
  <si>
    <t>AGJJ509V</t>
  </si>
  <si>
    <t>PIERRE STEFFENS</t>
  </si>
  <si>
    <t>2021-02-17 14:47:25</t>
  </si>
  <si>
    <t>MYHYHRS0</t>
  </si>
  <si>
    <t>Vender, transportar ou guardar madeira nativa, sem licença válida para todo o tempo da viagem ou do armazenamento, outorgada pela autoridade competente. Neste ato referente ao Documento de Origem Florestal de 56,896 m³ de madeiras serradas de espécie florestal nativa Ochroma Pyramidale, ou vulgarmente conhecida como madeira Balsa, objeto da nota fiscal eletrônica de saída 207 de 03/02/2020, série 001 e DUE 20BR000141418-4.</t>
  </si>
  <si>
    <t>2021-02-12 06:28:17</t>
  </si>
  <si>
    <t>UT 2 IBAMA SANTOS/SP 
Avenida Cel Joaquim Montenegro 297 - Aparecida - Santos/SP</t>
  </si>
  <si>
    <t>2021-02-23 06:54:13</t>
  </si>
  <si>
    <t>36, . Lei 12.651/2012; 31, . IN IBAMA 21/2014.</t>
  </si>
  <si>
    <t>98JDHUDX</t>
  </si>
  <si>
    <t>DEIXOU DE ELABORAR E ENTREGAR OS RELATÓRIOS ANUAIS DE QUE TRATA A LEI 10165/00 REFERENTE AOS ANOS DE 2013/2012 - 2014/2013 - 2015/2014 - 2016/2015 -2017/2016 - 2018/2017.</t>
  </si>
  <si>
    <t>2021-02-12 06:00:00</t>
  </si>
  <si>
    <t>Lagoa da Confusão</t>
  </si>
  <si>
    <t>REAL TRATORES COM PEÇAS LTDA</t>
  </si>
  <si>
    <t>AV VITORINO PANTA QD 77 LT 10 CENTRO LAGOA DA CONFUSÃO TO</t>
  </si>
  <si>
    <t>2021-02-19 15:41:26</t>
  </si>
  <si>
    <t>SOARN2TA</t>
  </si>
  <si>
    <t>Vender, transportar ou guardar madeira nativa, sem licença válida para todo o tempo da viagem ou do armazenamento, outorgada pela autoridade competente. Neste ato referente ao Documento de Origem Florestal de 55,41 m³ de madeiras serradas de espécie florestal nativa Ochroma Pyramidale, ou vulgarmente conhecida como madeira Balsa, objeto da nota fiscal eletrônica de saída 202 de 20/01/2020, série 001 e DUE 20BR000067164-7.</t>
  </si>
  <si>
    <t>2021-02-12 05:26:11</t>
  </si>
  <si>
    <t>UT 2 IBAMA Santos - SP Rua Cel Joaquim Montenegro 297 - Aparecida - Santos/SP</t>
  </si>
  <si>
    <t>2021-02-23 06:40:48</t>
  </si>
  <si>
    <t>H2JK258A</t>
  </si>
  <si>
    <t>Ter em estoque 18,99 metros cúbicos de madeira nativa em toras e 23.31 metros cúbicos de madeira nativa serrada, totalizando 42,021 metros cúbicos, sem licença valida para o armazenamento, outorgada pela autoridade competente.</t>
  </si>
  <si>
    <t>2021-02-11 21:36:51</t>
  </si>
  <si>
    <t>Amarante do Maranhão</t>
  </si>
  <si>
    <t>JOSÉ RAUL PEREIRA DA SILVA</t>
  </si>
  <si>
    <t>Assentamento Alvorada II, Setor Lagoa, Zona Rural, Amarante do Maranhão-Ma</t>
  </si>
  <si>
    <t>DES MARAVALHA-MA</t>
  </si>
  <si>
    <t>2021-02-11 22:02:04</t>
  </si>
  <si>
    <t>47 1º Decreto 6514; 70 1º Lei 9605; 72 Lei 9605; 3º II Decreto 6514; 3º IV Decreto 6514; 3º V Decreto 6514.</t>
  </si>
  <si>
    <t>7XJZKLQD</t>
  </si>
  <si>
    <t>Transportar 19,68 metros de madeira serrada, da essência Dinizia excelsa, oriunda de vegetação nativa (Bioma Amazônia), sem licença válida para todo tempo da viagem, outorgada por autoridade competente.</t>
  </si>
  <si>
    <t>2021-02-11 21:00:00</t>
  </si>
  <si>
    <t>Anápolis</t>
  </si>
  <si>
    <t>Taynara Cristina Silva Oliveira</t>
  </si>
  <si>
    <t>Município de Anápolis</t>
  </si>
  <si>
    <t>2021-02-26 08:05:28</t>
  </si>
  <si>
    <t>46, parágrafo único 9605/1998.</t>
  </si>
  <si>
    <t>UO12L3IF</t>
  </si>
  <si>
    <t>Receber 19,02 m3 de madeira sem licença válida outorgada pela autoridade ambiental competente, DOF inválido.</t>
  </si>
  <si>
    <t>2021-02-11 18:00:00</t>
  </si>
  <si>
    <t>2021-02-11</t>
  </si>
  <si>
    <t>COMERCIAL DE MADEIRAS JUREMA LTDA</t>
  </si>
  <si>
    <t>Comercial de Madeiras Jurema LTDA, Av. Dom Almeida Lustoza, Caucaia/CE</t>
  </si>
  <si>
    <t>2021-03-01 17:03:01</t>
  </si>
  <si>
    <t>FW4OU5ZV</t>
  </si>
  <si>
    <t>Apresentar informação falsa simulando recebimento de produto florestal nas licenças de transporte (Documento de Origem Florestal - DOF) n. 12163643, 14362196, 14366602 e 14366666 e simulando venda de produto florestal nos DOF n. 14370732 e 14375214.</t>
  </si>
  <si>
    <t>2021-02-11 15:26:42</t>
  </si>
  <si>
    <t>Núcleo de Conciliação Ambiental/RJ</t>
  </si>
  <si>
    <t>Barra do Piraí</t>
  </si>
  <si>
    <t>MRS LOGÍSTICA S/A</t>
  </si>
  <si>
    <t>MRS Logística S/A</t>
  </si>
  <si>
    <t>2021-02-11 15:40:12</t>
  </si>
  <si>
    <t>FZOXEBUH</t>
  </si>
  <si>
    <t>Descumprir embargo número 11262-E, processo 02007.001689/2014-69.</t>
  </si>
  <si>
    <t>2021-02-11 15:00:00</t>
  </si>
  <si>
    <t>Paracuru</t>
  </si>
  <si>
    <t>Mônica Moreira Meireles</t>
  </si>
  <si>
    <t>Casa localizada no município de Paracuru-CE. Saindo da Praça central segue pela Rua José Lopes Meire</t>
  </si>
  <si>
    <t>2021-02-18 15:16:50</t>
  </si>
  <si>
    <t>IS2YRS2G</t>
  </si>
  <si>
    <t>Descumprir embargo de atividade, imposto através do Termo de Embargo 359584, série C, conforme constatado, em 16/10/2020, e relatado no Despacho UT-CACHOEIRO DE ITAPEMIRIM-ES 8612582 (Processo 02606.000095/2007-52).</t>
  </si>
  <si>
    <t>2021-02-11 14:00:00</t>
  </si>
  <si>
    <t>Vitória</t>
  </si>
  <si>
    <t>RICHIMOND MARMORES E GRANITOS LTDA</t>
  </si>
  <si>
    <t>Superintendência do Ibama ES.</t>
  </si>
  <si>
    <t>2021-02-12 17:47:21</t>
  </si>
  <si>
    <t>JBPWFLU2</t>
  </si>
  <si>
    <t>GILBERTO OSVALDO DA SILVA</t>
  </si>
  <si>
    <t>2021-02-18 09:42:32</t>
  </si>
  <si>
    <t>11°, 4° instrução normativa n° 12/2019..</t>
  </si>
  <si>
    <t>JY59MH1A</t>
  </si>
  <si>
    <t>Manter em cativeiro espécimes da fauna silvestre sem a devida permissão, licença ou autorização da autoridade competente ou em desacordo com a obtida dos animais abaixo listados: 
01 trinca ferro sem anilha; 02 pixoxo fêmeas sem anilhas; 01 coleiro fêmea sem anilha; 07 trinca ferros ( Ibama OA 3.5 575394; Sispass 3.5 RJ/A 047271; Sispass 3.5 RJ/A 047283; Sispass 3.5 RJ/A 047278; IBAMA OA 3.5 324180; Sispass 3.5 RJ/A 047263; Sispass 3.5 RJ/A 047265); 02 pixoxos fêmeas ( Ibama OA 2.6 544151; Ibama 02-09 2.2 0965; 5 coleiros ( Ibama OA 2.2 049523; Ibama OA 2.2 182073; Ibama OA 2.2 308207; Ibama OA 2.2 159475;  Sispass 2.2 RJ/A 035663.</t>
  </si>
  <si>
    <t>2021-02-11 13:48:15</t>
  </si>
  <si>
    <t>Magé</t>
  </si>
  <si>
    <t>MARCO BENEVENTE VIEIRA</t>
  </si>
  <si>
    <t>Rua 9 LT 05 quadra 21 Nova Marília-RJ cep 25902-163</t>
  </si>
  <si>
    <t>RJ/SUPES</t>
  </si>
  <si>
    <t>2021-02-11 14:44:40</t>
  </si>
  <si>
    <t>24 III Decreto 6514; 70 1º Lei 9605; 72 Lei 9605; 3º II Decreto 6514; 3º IV Decreto 6514; 3º IX Decreto 6514.</t>
  </si>
  <si>
    <t>24, Parágrafo 6 6514/08.</t>
  </si>
  <si>
    <t>RQ96OW07</t>
  </si>
  <si>
    <t>Utilizar vinte e um (21) espécimes da fauna silvestre nativa, sendo esses: Quatro (04) Passerina brissonii (azulão); Dez (10) Saltator similis (trinca-ferro); Dois (02) Zonotrichia capensis (tico-tico); Três (03) Sporophila caerulescens (papa-capim); Um (01) Sporophila frontalis (pichochó); Um (01) Oryzoborus angolensis (curió), em desacordo com a licença obtida (CTF xxx). No endereço do criador amadorista de passeriformes não havia nenhum dos vinte e um (21) pássaros de sua relação de pássaros (plantel). Ademais, no mesmo endereço havia quatro (04) espécimes de passeriformes que não constam da relação de passeriformes do criador, sendo esses: Dois (02) Saltator similis (trinca-ferros); Um (01) Sporophila caerulescens (papa-capim); e, Um (01) Sporophila frontalis (pichochó). Na residência, também, havia um (01) espécime de Psittacara leucophthalma (maritaca).</t>
  </si>
  <si>
    <t>2021-02-11 13:03:16</t>
  </si>
  <si>
    <t>EDMILSON APARECIDO FERREIRA</t>
  </si>
  <si>
    <t>2021-02-11 15:01:46</t>
  </si>
  <si>
    <t>24 6º I Decreto 6514; 24 6º II Decreto 6514; 70 1º Lei 9605; 72 Lei 9605; 3º II Decreto 6514; 3º IV Decreto 6514; 3º IX Decreto 6514.</t>
  </si>
  <si>
    <t>D2099UQ7</t>
  </si>
  <si>
    <t>RO/SUPES</t>
  </si>
  <si>
    <t>Desmatar 16,476 hectares de floresta nativa em área de reserva legal , sem autorização prévia do órgão ambiental competente. Obs. Este auto de infração tem como base a informação contida na cota xxx. Processo 00807.007930/2020-61.</t>
  </si>
  <si>
    <t>2021-02-11 13:00:00</t>
  </si>
  <si>
    <t>REINALDO ALVES DOS SANTOS</t>
  </si>
  <si>
    <t>Ibama Supes.ro</t>
  </si>
  <si>
    <t>2021-02-23 11:03:03</t>
  </si>
  <si>
    <t>51 Decreto 6514/2008.</t>
  </si>
  <si>
    <t>21W9QG10</t>
  </si>
  <si>
    <t>Transportar 1.725 kg de camarão rosa (Farfantepenaeus paulensis) fresco e refrigerado em gelo,  em Cristal/RS, no dia 11/02/2021, com o uso do veículo MLY 2118, sem origem legal, por meio da Nota Fiscal NFe 000.000.141 (1), inválida.</t>
  </si>
  <si>
    <t>Cristal</t>
  </si>
  <si>
    <t>Peixaria do Tato Ltda ME</t>
  </si>
  <si>
    <t>Rodovia BR 116</t>
  </si>
  <si>
    <t>2021-02-23 22:26:57</t>
  </si>
  <si>
    <t>1o, Parágrafo Único INI MPA/MMA n.o 04/2014.</t>
  </si>
  <si>
    <t>Z2W8DUX3</t>
  </si>
  <si>
    <t>Destruir 426,98 hectares de floresta Amazônica, objeto de especial preservação, sem licença da autoridade ambiental competente.</t>
  </si>
  <si>
    <t>2021-02-11 12:00:00</t>
  </si>
  <si>
    <t>NELSON NEY I. NOGUEIRA BORGES</t>
  </si>
  <si>
    <t>Colniza/MT</t>
  </si>
  <si>
    <t>2021-02-12 17:48:45</t>
  </si>
  <si>
    <t>50 § 2 Decreto 6514/2008.</t>
  </si>
  <si>
    <t>4ET1JS5M</t>
  </si>
  <si>
    <t>Deixar de atender a notificação expressa no OFÍCIO N xxx no prazo concedido, visando a regularização (entrega de relatórios de manejo) junto ao Sistema Integrado de Manejo de Fauna (SIMAF).</t>
  </si>
  <si>
    <t>RODRIGO SOUZA MADRUGA</t>
  </si>
  <si>
    <t>Unidade Técnica do IBAMA em Chapecó -SC</t>
  </si>
  <si>
    <t>2021-02-18 09:33:58</t>
  </si>
  <si>
    <t>OWX0Z7SM</t>
  </si>
  <si>
    <t>"Efetuar a Plataforma com suas instalações de apoio o descarte contínuo de água de processo ou produção (TOG) em desacordo com os procedimentos aprovados pela autoridade marítima". Obs: (Plataforma P-65 da Petrobrás com identificação de feição oleosa em 13/03/2019 pelo aeromonitoramento do Ibama. Processo 02001.014213/2019-52. Feição de óleo ultrapassou o limite da zona de mistura de 500 m determinado como máximo pelo Art 4° da Res. Conama 393/2007.</t>
  </si>
  <si>
    <t>Plataforma de Exploração de Petróleo P-65 , Bacia Sedimentar de Campos, Bloco/Campo Enchova, RJ.</t>
  </si>
  <si>
    <t>2021-02-18 15:59:54</t>
  </si>
  <si>
    <t>38, - 4.136/2002.</t>
  </si>
  <si>
    <t>Q6NGWFNZ</t>
  </si>
  <si>
    <t>"Efetuar a Plataforma com suas instalações de apoio o descarte contínuo de água de processo ou produção (TOG) em desacordo com os procedimentos aprovados pela autoridade marítima". Obs: (Plataforma P-65 da Petrobrás com identificação e confirmação de feição oleosa em 02/03/2019 pelo aeromonitoramento do Ibama. Processo SEI 02001.014213/2019-52. Feição de óleo ultrapassou o limite da zona de mistura de 500 m determinado como máximo pelo Art 4° da Res. Conama 393/2007.</t>
  </si>
  <si>
    <t>Plataforma P-65 da Petrobrás, Bacia Sedimentar de Campos, Bloco/Campo Enchova, RJ.</t>
  </si>
  <si>
    <t>2021-02-18 16:17:31</t>
  </si>
  <si>
    <t>38, - Decreto 4.136/2002.</t>
  </si>
  <si>
    <t>998ZLKF0</t>
  </si>
  <si>
    <t>Receber 5,2556 m3 de madeira sem licença válida outorgada pela autoridade ambiental competente, DOF inválido (DOF 16555205).</t>
  </si>
  <si>
    <t>2021-02-11 11:00:00</t>
  </si>
  <si>
    <t>MADESON COMERCIO DE MADEIRAS LTDA - ME</t>
  </si>
  <si>
    <t>Maedson Comércio de Madeiras LTDA, Rua Vitória 419 Henrique Jorge.</t>
  </si>
  <si>
    <t>2021-03-01 17:01:39</t>
  </si>
  <si>
    <t>DLFKCB18</t>
  </si>
  <si>
    <t>Deixar de inscrever-se no cadastro técnico federal de que trata o artigo 17 da lei 6938 de 1981. (No caso a Universidade deixou de inscrever-se na categoria 20-5 - uso de recursos naturais - utilização do patrimônio genético natural). Conforme artigo 76, inciso V do decreto 6514/2008.</t>
  </si>
  <si>
    <t>2021-02-11 10:00:00</t>
  </si>
  <si>
    <t>FUNDAÇÃO UNIVERSIDADE FEDERAL DO ABC - UFABC</t>
  </si>
  <si>
    <t>Universidade federal do ABC. 
Proc. 02285.000037/2021-57</t>
  </si>
  <si>
    <t>2021-02-11 00:00:00</t>
  </si>
  <si>
    <t>2021-02-12 08:57:34</t>
  </si>
  <si>
    <t>XA3A9K51</t>
  </si>
  <si>
    <t>Destruir 1.022,02 hectares de floresta Amazônica, objeto de especial preservação, sem autorização da autoridade ambiental competente.</t>
  </si>
  <si>
    <t>NERVILIO JOSE POLLES</t>
  </si>
  <si>
    <t>2021-02-12 17:49:51</t>
  </si>
  <si>
    <t>RRVSQ2CQ</t>
  </si>
  <si>
    <t>"Efetuar a Plataforma com suas instalações de apoio o descarte contínuo de água de processo ou de produção (TOG) em desacordo com os procedimentos aprovados pela autoridade marítima". Obs: (Plataforma P-26 da Petrobrás com identificação e confirmação de feição oleosa em 20/03/2019 pelo aeromonitoramento do Ibama. Processo SEI 02001.014237/2019-10. Feição de óleo ultrapassou o limite da zona de mistura de 500 m determinado como máximo pelo Art. 4° da Res. Conama 393/2007.</t>
  </si>
  <si>
    <t>Plataforma de Exploração de Petróleo P-26, Campo Marlon, Bacia Sedimentar Campos, Rio de Janeiro RJ.</t>
  </si>
  <si>
    <t>2021-02-18 16:08:51</t>
  </si>
  <si>
    <t>38, - Decreto 4.132/2002.</t>
  </si>
  <si>
    <t>ZZTLKKXJ</t>
  </si>
  <si>
    <t>Vender 25,58 M3 de madeiras serradas das essências Giulia glabra e Simarouba amara sem licença válida para todo o tempo de transporte ou armazenamento.</t>
  </si>
  <si>
    <t>2021-02-11 09:17:41</t>
  </si>
  <si>
    <t>Pouso Alegre</t>
  </si>
  <si>
    <t>SERRARIA QUEBRA GALHO LTDA</t>
  </si>
  <si>
    <t>Rua Ari Rosa, 215 - Jardim São João, Pouso Alegre/MG</t>
  </si>
  <si>
    <t>LAVRAS/UNID_TEC</t>
  </si>
  <si>
    <t>2021-02-11 10:46:58</t>
  </si>
  <si>
    <t>E5YZY0E3</t>
  </si>
  <si>
    <t>Vender 10,078 M3 de madeira serrada da essência Erisma uncinatum sem licença válida para todo tempo de transporte ou armazenamento.</t>
  </si>
  <si>
    <t>2021-02-11 09:05:52</t>
  </si>
  <si>
    <t>Lavras</t>
  </si>
  <si>
    <t>CORREA BARROS MADEIRAS LTDA ME</t>
  </si>
  <si>
    <t>Rua Ernesto Matioli, 1264, Santa Efigênia, Lavras/MG</t>
  </si>
  <si>
    <t>2021-02-11 10:57:23</t>
  </si>
  <si>
    <t>ZFL56M6J</t>
  </si>
  <si>
    <t>Deixar de apresentar relatórios de monitoramento do PRAD aprovado, conforme estabecido pela Instrução Normativa Ibama 04/2011 e informado no próprio PRAD. Ainda, consta no processo 02009.001047/2004-78, Termo de Compromisso de Reparação de Dano Ambiental, assinado pela interessada, com ciência sobre as autuações possíveis em caso de não cumprimento das obrigações pactuadas.</t>
  </si>
  <si>
    <t>2021-02-11 09:00:00</t>
  </si>
  <si>
    <t>Ludmilla Silva Castello</t>
  </si>
  <si>
    <t>2021-02-11 10:39:17</t>
  </si>
  <si>
    <t>4O2GQXHS</t>
  </si>
  <si>
    <t>Destruir (suprimir) 20,92 hectares de fragmentos de vegetação secundária no estágio avançado/médio de regeneração, BIOMA MATA ATLÂNTICA, considerada objeto de especial preservação, não passíveis de autorização para exploração ou supressão, conforme Parecer n° xxx.</t>
  </si>
  <si>
    <t>Juti</t>
  </si>
  <si>
    <t>THIAGO AMORIM DALA BERNARDINA</t>
  </si>
  <si>
    <t>Sítio Aliança</t>
  </si>
  <si>
    <t>2021-02-18 11:41:21</t>
  </si>
  <si>
    <t>49 § 1 Decreto 6514/2008.</t>
  </si>
  <si>
    <t>38-A, - Lei 9605/98.</t>
  </si>
  <si>
    <t>5OH76RRO</t>
  </si>
  <si>
    <t>Deixar de atender a exigência legais ou regulamentares quando devidamente notificado pela Autoridade Ambiental Competente no prazo concedido.</t>
  </si>
  <si>
    <t>2021-02-11 08:00:00</t>
  </si>
  <si>
    <t>Conceição</t>
  </si>
  <si>
    <t>POSTO NATIVA LTDA</t>
  </si>
  <si>
    <t>Rodovia BR.361 km 002 Bairro. Sítio Posse. Zona Rural, Município.Conceição/PB</t>
  </si>
  <si>
    <t>2021-02-11 12:22:26</t>
  </si>
  <si>
    <t>V4RVU8NH</t>
  </si>
  <si>
    <t>DEIXOU DE ELABORAR E ENTREGSR OS RELATÓRIOS ANUAIS DE QUE TRATA A LEI 10.165/00 REFERENTE AOS ANOS DE 2015/2014 - 2016/2015 - 2017/2016 - 2018/2017 - 2019/2018</t>
  </si>
  <si>
    <t>2021-02-11 06:00:00</t>
  </si>
  <si>
    <t>Babaçulândia</t>
  </si>
  <si>
    <t>WANDRESON DIAS LIMA</t>
  </si>
  <si>
    <t>RUA VC 2A QD 5A BAIRRO NOVO MILÊNIO. BABACULANDIA TO</t>
  </si>
  <si>
    <t>2021-02-11 16:30:55</t>
  </si>
  <si>
    <t>PCDLMV7I</t>
  </si>
  <si>
    <t>Descumprir o embargo da atividade de desdobramento de madeira determinado por meio do Termo de Embargo n° 720825/E, Processo 02051.000029/2016-97.</t>
  </si>
  <si>
    <t>João Lisboa</t>
  </si>
  <si>
    <t>TOIRAS PEREIRA NUNES</t>
  </si>
  <si>
    <t>Serraria do Toíra, Povoado Centro do Toinho, Zona Rural de João Lisboa/MA</t>
  </si>
  <si>
    <t>2021-02-22 11:03:07</t>
  </si>
  <si>
    <t>CHIBCKJA</t>
  </si>
  <si>
    <t>Realizar operação de comercialização de 1680 kg de camarão rosa (Farfantepenaeus paulensis) em São José do Norte/RS, fresco e refrigerado em gelo, sem origem legal, no dia 03/02/2021, por meio da Notq Fiscal de Produtor P 159 174358 e NFe 004.049.889 Série 890 (0), inválidas.</t>
  </si>
  <si>
    <t>2021-02-11 04:12:16</t>
  </si>
  <si>
    <t>Gustavo Nunes Silveira - ME</t>
  </si>
  <si>
    <t>2021-02-23 22:34:52</t>
  </si>
  <si>
    <t>WEFLUEX3</t>
  </si>
  <si>
    <t>FUNCIONAR SERVIÇO UTILIZADOR DE RECURSOS AMBIENTAIS - MANEJO DE JAVALI - SEM LICENÇA EMITIDA PELO SISTEMA DE MANEJO DE FAUNA - SIMAF - ADMINISTRADO PELO IBAMA, CONFORME BOLETIM DE OCORRÊNCIA xxx.</t>
  </si>
  <si>
    <t>2021-02-10 18:09:49</t>
  </si>
  <si>
    <t>Itanhandu</t>
  </si>
  <si>
    <t>DIOMAR JOSE COSTA</t>
  </si>
  <si>
    <t>FAZENDA PARAÍSO</t>
  </si>
  <si>
    <t>2021-02-10 18:19:10</t>
  </si>
  <si>
    <t>ASWDAU4Z</t>
  </si>
  <si>
    <t>FAZER FUNCIONAR ATIVIDADE UTILIZADORA DE RECURSOS AMBIENTAIS (MOVELARIA), SEM LICENÇA DOS ÓRGÃOS AMBIENTAIS COMPETENTES.</t>
  </si>
  <si>
    <t>2021-02-10 18:02:14</t>
  </si>
  <si>
    <t>LROCY DE SOUSA MELO</t>
  </si>
  <si>
    <t>RUA E, S/N°, PA CIKEL</t>
  </si>
  <si>
    <t>2021-02-18 09:32:42</t>
  </si>
  <si>
    <t>70 1º Lei 9605; 72 Lei 9605; 3º II Decreto 6514; 3º IV Decreto 6514; 3º VII Decreto 6514.</t>
  </si>
  <si>
    <t>66, I 6.514/2008.</t>
  </si>
  <si>
    <t>TJBI4JRL</t>
  </si>
  <si>
    <t>Realizar operação de comercialização de 816 kg de Camarão Rosa (Farfantepenaeus paulensis) por meio da NFe 033.039.006 Série 890 (1), no dia 09/02/2021, sem comprovante de origem.</t>
  </si>
  <si>
    <t>2021-02-10 17:39:55</t>
  </si>
  <si>
    <t>Porto Alegre</t>
  </si>
  <si>
    <t>ANDRESSA LEMOS FRAGA DA ROCHA MEI</t>
  </si>
  <si>
    <t>Zona Periurbana</t>
  </si>
  <si>
    <t>2021-02-23 22:36:10</t>
  </si>
  <si>
    <t>1o, Parágrafio Único  INI MPA/MAPA n.o 04/2014.</t>
  </si>
  <si>
    <t>O0A31IDR</t>
  </si>
  <si>
    <t>DEIXAR DE APRESENTAR 01 RELATÓRIO DE MANEJO DE ESPÉCIE EXÓTICA INVASORA JAVALI NO PRAZO DETERMINADO POR AUTORIDADE CONFORME PROCESSO 02554.000257/2020-82.</t>
  </si>
  <si>
    <t>2021-02-10 17:31:05</t>
  </si>
  <si>
    <t>Itaú de Minas</t>
  </si>
  <si>
    <t>ANTONIO CARLOS DE OLIVEIRA</t>
  </si>
  <si>
    <t>FAZENDA SÃO JOÃO</t>
  </si>
  <si>
    <t>2021-02-10 17:36:09</t>
  </si>
  <si>
    <t>KGJAI4OI</t>
  </si>
  <si>
    <t>DEIXAR DE APRESENTAR 03 RELATÓRIOS DE MANEJO DE ESPÉCIE EXÓTICA INVASORA (JAVALI) NO PRAZO DETERMINADO POR AUTORIDADE CONFORME PROCESSO 02554.000252/2020-50.</t>
  </si>
  <si>
    <t>2021-02-10 17:18:12</t>
  </si>
  <si>
    <t>Capitólio</t>
  </si>
  <si>
    <t>ALEXANDRE CENDON SILVA</t>
  </si>
  <si>
    <t>RUA JOÃO FERREIRA LEITE 40. BAIRRO NOSSA SENHORA APARECIDA.</t>
  </si>
  <si>
    <t>2021-02-10 17:24:55</t>
  </si>
  <si>
    <t>QHI9JUBV</t>
  </si>
  <si>
    <t>Comercializar 816 kg de Camarão Rosa (Farfantepenaeus paulensis) por meio da NFe 033.039.006 Série 890 (1), no dia 09/02/2021, sem comprovante de origem.</t>
  </si>
  <si>
    <t>2021-02-10 17:07:37</t>
  </si>
  <si>
    <t>ATLÂNTICO SUL PESCADOS E TRANSPORTES ME LTDA</t>
  </si>
  <si>
    <t>Colônia de Pesca Z3</t>
  </si>
  <si>
    <t>2021-02-23 22:36:26</t>
  </si>
  <si>
    <t>5OQ40YZM</t>
  </si>
  <si>
    <t>DEIXAR DE APRESENTAR 01 RELATÓRIO DE MANEJO DE ESPÉCIE EXÓTICA INVASORA (JAVALI) NO PRAZO DETERMINADO POR AUTORIDADE CONFORME PROCESSO 02554.000258/2020-27.</t>
  </si>
  <si>
    <t>2021-02-10 17:01:12</t>
  </si>
  <si>
    <t>Ibiraci</t>
  </si>
  <si>
    <t>APARECIDO SILVA SANTOS</t>
  </si>
  <si>
    <t>FAZENDA TANGARA</t>
  </si>
  <si>
    <t>2021-02-10 17:06:28</t>
  </si>
  <si>
    <t>OXZO6DUH</t>
  </si>
  <si>
    <t>DEIXAR DE APRESENTAR 01  RELATÓRIO DE MANEJO DE ESPÉCIES EXÓTICAS INVASORAS (JAVALI) NO PRAZO DETERMINADO POR AUTORIDADE CONFORME PROCESSO 02554.000263/2020-30.</t>
  </si>
  <si>
    <t>2021-02-10 16:42:18</t>
  </si>
  <si>
    <t>Pratinha</t>
  </si>
  <si>
    <t>BRAZ TEIXEIRA DE MORAIS</t>
  </si>
  <si>
    <t>FAZENDA CERVO.</t>
  </si>
  <si>
    <t>2021-02-10 16:48:31</t>
  </si>
  <si>
    <t>XQB6ZX2E</t>
  </si>
  <si>
    <t>"Efetuar a Plataforma com suas instalações de apoio o descarte contínuo de água de processo ou de produção (TOG) em desacordo com os procedimentos aprovados pela autoridade marítima". Obs: (Plataforma P-57 da Petrobrás com identificação de feição oleosa em 06/03/2019 pelo aeromonitoramento do Ibama. Processo 02001.014243/2019-69). Feição de óleo ultrapassou o limite da zona de mistura de 500 m determinado como máximo pelo Art. 4° da Res. Conama 393/2007.</t>
  </si>
  <si>
    <t>2021-02-10 16:00:00</t>
  </si>
  <si>
    <t>Plataforma de Exploração de Petróleo P-57, bacia sedimentar de Campos, bloco/Campo Jubarte, Espírito</t>
  </si>
  <si>
    <t>2021-02-18 16:05:02</t>
  </si>
  <si>
    <t>Q2YXFXXX</t>
  </si>
  <si>
    <t>Ter em depósito 43,3193 m3 de madeiras de diversas essências florestais nativas sem licença válida para todo o tempo de armazenamento outorgada pela autoridade competente</t>
  </si>
  <si>
    <t>2021-02-10</t>
  </si>
  <si>
    <t>Recife</t>
  </si>
  <si>
    <t>JOÃO BATISTA DE LIMA</t>
  </si>
  <si>
    <t>Rua Jader de Pontes Jardim, 122, Engenho do Meio, Recife-PE</t>
  </si>
  <si>
    <t>2021-02-26 14:17:30</t>
  </si>
  <si>
    <t>1, Caput Portaria MMA 443/2014.</t>
  </si>
  <si>
    <t>DF449MYN</t>
  </si>
  <si>
    <t>FAZER FUNCIONAR ATIVIDADE UTILIZADORA DE RECURSOS AMBIENTAIS (SERRARIA COM DESDOBRAMENTO DE MADEIRA), SEM LICENÇA DOS ÓRGÃOS AMBIENTAIS COMPETENTES.</t>
  </si>
  <si>
    <t>2021-02-10 15:37:21</t>
  </si>
  <si>
    <t>GILDÁSIO SANTOS COSTA</t>
  </si>
  <si>
    <t>RUA F, S/N°, ZONA RURAL, PA CIKEL</t>
  </si>
  <si>
    <t>2021-02-18 09:34:46</t>
  </si>
  <si>
    <t>KRPK9829</t>
  </si>
  <si>
    <t>Desmatar, a corte raso, florestas e demais formações nativas, sem autorização ambiental em uma área de 17,26 ha, na Fazenda Pedra Branca em Bodoquena/MS, de acordo com o Parecer xxx e xxx.</t>
  </si>
  <si>
    <t>2021-02-10 15:33:31</t>
  </si>
  <si>
    <t>Bodoquena</t>
  </si>
  <si>
    <t>MADRE DE DIOS AGROPECUÁRIA E PARTICIPAÇÕES LTDA.</t>
  </si>
  <si>
    <t>Fazenda Pedra Branca, Bodoquena/MS.</t>
  </si>
  <si>
    <t>2021-02-10 15:42:49</t>
  </si>
  <si>
    <t>VGFB7OI9</t>
  </si>
  <si>
    <t>Ter em depósito 4,2876M3 (metrô cúbico), de madeira serrada de essências diversas, sem autorização outorgada pela autoridade competente.</t>
  </si>
  <si>
    <t>2021-02-10 15:08:39</t>
  </si>
  <si>
    <t>RUA F, S/N°, ZONA RURAL</t>
  </si>
  <si>
    <t>2021-02-18 09:32:10</t>
  </si>
  <si>
    <t>70 1º Lei 9605; 72 Lei 9605; 3º II Decreto 6514; 3º IV Decreto 6514; 3º V Decreto 6514.</t>
  </si>
  <si>
    <t>47, 1° 6.514/2008.</t>
  </si>
  <si>
    <t>JM4M2LWN</t>
  </si>
  <si>
    <t>TER EM CATIVEIRO 08 (oito) ESPÉCIMES DA FAUNA SILVESTRE NATIVA, SEM LICENÇA OU AUTORIZAÇÃO DA AUTORIDADE COMPETENTE.</t>
  </si>
  <si>
    <t>2021-02-10 13:16:10</t>
  </si>
  <si>
    <t>GILDASIO SANTOS COSTA</t>
  </si>
  <si>
    <t>2021-02-18 09:33:17</t>
  </si>
  <si>
    <t>24, I,3°III 6.514/2008.</t>
  </si>
  <si>
    <t>SN7FS577</t>
  </si>
  <si>
    <t>Executar extração de minerais em desacordo com a licença obtida.</t>
  </si>
  <si>
    <t>2021-02-10 12:00:00</t>
  </si>
  <si>
    <t>Pedro Régis</t>
  </si>
  <si>
    <t>JOAO RIBEIRO SOBRINHO</t>
  </si>
  <si>
    <t>Fazenda Três Vigília - Zona Rural</t>
  </si>
  <si>
    <t>2021-02-10 00:00:00</t>
  </si>
  <si>
    <t>2021-02-10 18:28:38</t>
  </si>
  <si>
    <t>KDQBE0IM</t>
  </si>
  <si>
    <t>DEIXAR DE APRESENTAR RELATÓRIÓ NÓS PRAZOS EXIGIDOS PELA LEGISLAÇÃO DA LEI 10.165/2000 REFERENTE AOS ANOS DE 2015/2014; 2016/2015; 2017/2016; 2018/2017 e 2019/2018 NÃO FORAM ENTREGUES, CONFORME CONSULTA IMPEDITIVOS SICAFI SEI xxx.</t>
  </si>
  <si>
    <t>Picos</t>
  </si>
  <si>
    <t>ELISANGELA MARIA DE ARAUJO HIPOLITO</t>
  </si>
  <si>
    <t>AV. SEN, HELVIDIO NUNES, 3254, BAIRRO JUNCO MUNICÍPIO DE PICOS/PI, CEP: 64.600-002, OBS: ESTAS COORD</t>
  </si>
  <si>
    <t>2021-02-22 16:23:37</t>
  </si>
  <si>
    <t>868IX50P</t>
  </si>
  <si>
    <t>Ter em depósito 368,121 m3 de madeira serradas de várias essências florestais ,sem autorização prévia do órgão ambiental competente conforme planilha anexa. Obs. Este auto substitui o auto de infração 9114204.E , conforme decisão xxx - Processo 02024.001133/2016-26.</t>
  </si>
  <si>
    <t>J.M. NIZA EIRELI - ME</t>
  </si>
  <si>
    <t>2021-02-23 11:00:21</t>
  </si>
  <si>
    <t>47, Parágrafo I 6514/2008.</t>
  </si>
  <si>
    <t>T92LAJ1I</t>
  </si>
  <si>
    <t>DEIXAR DE APRESENTAR RELATÓRIÓ NÓS PRAZOS EXIGIDOS PELA LEGISLAÇÃO DA LEI 10.165/2000 REFERENTE AOS ANOS DE 2018/2017 e 2019/2018 NÃO FORAM ENTREGUES, CONFORME CONSULTA IMPEDITIVOS SICAFI SEI xxx.</t>
  </si>
  <si>
    <t>MILENIUM INDUSTRIA DE BATERIAS LTDA</t>
  </si>
  <si>
    <t>AV. PRESIDENTE GETÚLIO VARGAS, 3780, BAIRRO, TRIUNFO MUNICÍPIO DE TERESINA PI, CEP: 64.022-098, OBS:</t>
  </si>
  <si>
    <t>2021-02-24 16:18:35</t>
  </si>
  <si>
    <t>H9UGMOK7</t>
  </si>
  <si>
    <t>Extrair mineral (Areia e Seixo) na área da Fazenda do Aldo, às margens do Rio Novo, nas Coordenadas Geográfica Lat. 05° 54' 34"S Longe. 049° 48' 13"W, sem licença do Órgão Ambiental Competente.</t>
  </si>
  <si>
    <t>2021-02-10 11:47:36</t>
  </si>
  <si>
    <t>Parauapebas</t>
  </si>
  <si>
    <t>Valdir Silva Vieira</t>
  </si>
  <si>
    <t>Fazenda do Aldo, Região do Palmares dois, Zona Rural - Parauapebas/Curionopolis - Pa</t>
  </si>
  <si>
    <t>MAB/GEREX</t>
  </si>
  <si>
    <t>ROTINA MAB 2021</t>
  </si>
  <si>
    <t>2021-02-19 16:32:27</t>
  </si>
  <si>
    <t>63 Decreto 6514; 70 1º Lei 9605; 72 Lei 9605; 3º II Decreto 6514; 3º IV Decreto 6514; 3º VII Decreto 6514.</t>
  </si>
  <si>
    <t>ZAFE4ALB</t>
  </si>
  <si>
    <t>Apresentar informação falsa em sistema oficial de controle - Sistema  DOF, com o recebimento de créditos indevidos de madeira,  de rota inversa, conforme Processo Investigatório n° 02024. 002791/2020-11 e Ofício xxx.</t>
  </si>
  <si>
    <t>2021-02-10 11:00:00</t>
  </si>
  <si>
    <t>Espigão D'Oeste</t>
  </si>
  <si>
    <t>STANGE INDUSTRIA E COMERCIO DE MADEIRAS LTDA - EPP</t>
  </si>
  <si>
    <t>STANGE INDÚSTRIA E COMÉRCIO DE MADEIRAS  LTDA - EPP</t>
  </si>
  <si>
    <t>2021-02-11 14:18:31</t>
  </si>
  <si>
    <t>., . IN Conjunta 02/2020.</t>
  </si>
  <si>
    <t>W3ZHDB2R</t>
  </si>
  <si>
    <t>Apresentar informação falsa em sistema oficial de controle  - Sistema DOF, com o recebimento de créditos indevidos de madeira, de rota inversa, conforme Processo Investigatório n° 02024.002791/2020- 11 e Ofício xxx.</t>
  </si>
  <si>
    <t>2021-02-10 10:28:33</t>
  </si>
  <si>
    <t>Pimenta Bueno</t>
  </si>
  <si>
    <t>ICONPORTAS MATERIAIS PARA CONSTRUÇÃO LTDA ME</t>
  </si>
  <si>
    <t>ICONPORTAS MATERIAIS PARA CONSTRUÇÃO LTDA - ME</t>
  </si>
  <si>
    <t>2021-02-10 10:39:22</t>
  </si>
  <si>
    <t>5N1NZTCX</t>
  </si>
  <si>
    <t>2021-02-10 10:00:00</t>
  </si>
  <si>
    <t>AUTO POSTO FORMULA 1 LTDA</t>
  </si>
  <si>
    <t>Auto posto fórmula 1.</t>
  </si>
  <si>
    <t>2021-02-11 16:30:25</t>
  </si>
  <si>
    <t>QHAEGFFV</t>
  </si>
  <si>
    <t>DEIXAR DE APRESENTAR RELATÓRIOS NOS PRAZOS EXIGIDOS PELA LEGISLAÇÃO DA LEI 10.165/2.000, REFERENTE AOS ANOS DE 2015/2014; 2016/2015; 2017/2016; 2018/2017 e 2019/2018, NÃO FORAM ENTREGUES CONFORME CONSULTA IMPEDITIVOS SICAFI SEI xxx.</t>
  </si>
  <si>
    <t>Altos</t>
  </si>
  <si>
    <t>POSTO ALTOS II LTDA</t>
  </si>
  <si>
    <t>ROD.BR 343, 302 BAIRRO ZONA RURAL DO MUNICÍPIO DE ALTOS/PI, CEP: 64.290-000, OBS ESTAS COORDENADAS G</t>
  </si>
  <si>
    <t>2021-02-24 16:21:06</t>
  </si>
  <si>
    <t>OJO825SA</t>
  </si>
  <si>
    <t>2021-02-10 09:00:00</t>
  </si>
  <si>
    <t>2017-10-05</t>
  </si>
  <si>
    <t>Associação de Reposição Florestal do E. da Paraiba - PBFLORA</t>
  </si>
  <si>
    <t>Rua. Flávio Ribeiro Coutinho n°213, Sala- 117 Bairro.Manaira/PB Município de João Pessoa.</t>
  </si>
  <si>
    <t>2021-02-10 18:35:52</t>
  </si>
  <si>
    <t>XBXEY7DT</t>
  </si>
  <si>
    <t>Transportar 9,5282 m3 de madeira serrada amazônica, sem licença válida para todo o tempo da viagem, outorgada pela autoridade competente</t>
  </si>
  <si>
    <t>2021-02-10 08:51:03</t>
  </si>
  <si>
    <t>Piripiri</t>
  </si>
  <si>
    <t>Denis Leo Fontenele de Oliveira</t>
  </si>
  <si>
    <t>UOP PRF PIRIPIRI</t>
  </si>
  <si>
    <t>2021-02-10 09:12:42</t>
  </si>
  <si>
    <t>TJ5VSU3Y</t>
  </si>
  <si>
    <t>Ter em depósito 16,2442 m³ de madeira serrada sem licença DOF outorgada pela autoridade competente.</t>
  </si>
  <si>
    <t>2021-02-10 06:00:00</t>
  </si>
  <si>
    <t>2021-02-22 11:12:52</t>
  </si>
  <si>
    <t>935GAKNN</t>
  </si>
  <si>
    <t>Fazer funcionar atividade utilizadora de recursos ambientais -encomenda LX411762446IL  importação de um chifre de kudu, enquadrada na atividade 21-57 importação/exportação de fauna exótica sem autorização de importação emitida pelo IBAMA</t>
  </si>
  <si>
    <t>2021-02-09 18:00:00</t>
  </si>
  <si>
    <t>ANDERSON LAUREANO GOMES</t>
  </si>
  <si>
    <t>2021-02-17 09:19:47</t>
  </si>
  <si>
    <t>43M3SBXJ</t>
  </si>
  <si>
    <t>Transportar 900 kg de camarão rosa (Farfantepenaeus paulensis) fresco, em Camaquã RS (BR 116), no dia 09/02/2021, com o uso do veículo IUU 9832, sem comprovação de origem.</t>
  </si>
  <si>
    <t>2021-02-09 16:49:30</t>
  </si>
  <si>
    <t>Camaquã</t>
  </si>
  <si>
    <t>Marcio de Lima Alves</t>
  </si>
  <si>
    <t>Posto da Policia Rodoviaria Federal de Camaquã</t>
  </si>
  <si>
    <t>2021-02-23 22:37:47</t>
  </si>
  <si>
    <t>HE0T281O</t>
  </si>
  <si>
    <t>fazer funcionar atividades, contrariando as normas legais e regulamentos pertinentes, conforme parecer técnico nº xxx.</t>
  </si>
  <si>
    <t>2021-02-09 15:00:00</t>
  </si>
  <si>
    <t>PETRO RIO O&amp;G EXPLORAÇÃO E PRODUÇÃO DE PETRÓLEO LTDA</t>
  </si>
  <si>
    <t>campo de campo de frade -fpso frade, campo de polvo - polvo A,  campo de polvo -fpso polvo - RJ</t>
  </si>
  <si>
    <t>2021-02-12 08:24:40</t>
  </si>
  <si>
    <t>F84TI9I4</t>
  </si>
  <si>
    <t>DEIXAR DE APRESENTAR RELATÓRIOS AMBIENTAIS NOS PRAZOS EXIGIDOS PELA LEGISLAÇÃO (Lei 6938/1.981 Art. 17-C) OU, NAQUELE DETERMINADO PELA AUTORIDADE AMBIENTAL, ANOS: 2016/2015, 2017/2016, 2018/2017 e 2019/2018.</t>
  </si>
  <si>
    <t>G. V. DE SOUSA INDUSTRIA</t>
  </si>
  <si>
    <t>RUA JERUMENHA N° 4674 BAIRRO
BUENOS AIRES
64.008-300  TERESINA - PIAUÍ</t>
  </si>
  <si>
    <t>2021-02-23 14:28:14</t>
  </si>
  <si>
    <t>EIJVSB7B</t>
  </si>
  <si>
    <t>Desmatar floresta ou qualquer tipo de vagetaçao nativa ou de espécies plantadas plantadas, em área de reserva legal.</t>
  </si>
  <si>
    <t>2021-02-09 14:00:00</t>
  </si>
  <si>
    <t>2021-02-10 10:49:07</t>
  </si>
  <si>
    <t>QYJSEY7L</t>
  </si>
  <si>
    <t>Deixar de entregar os relatórios da Lei 10.165/00, referentes aos anos de 2015/2014, 2016/2015, 2017/2016, 2018/2017 e 2019/2018.</t>
  </si>
  <si>
    <t>2021-03-02</t>
  </si>
  <si>
    <t>Porto Nacional</t>
  </si>
  <si>
    <t>THUSLEY BRAGA COSTA</t>
  </si>
  <si>
    <t>Rua Prefeito Rafael Beles, n° 680, Bairro Jardim Brasília, CEP: 77500-000, Porto Nacional - TO.</t>
  </si>
  <si>
    <t>2021-02-11 16:29:33</t>
  </si>
  <si>
    <t>WX6CNUDJ</t>
  </si>
  <si>
    <t>ADRIANO AUGUSTO DE CAMPOS - ME (CERÂMICA SANTO EXPEDITO)</t>
  </si>
  <si>
    <t>Rodovia TO 117, KM 06, Porto Nacional-TO.</t>
  </si>
  <si>
    <t>2021-02-11 16:30:02</t>
  </si>
  <si>
    <t>JMT2FNQP</t>
  </si>
  <si>
    <t>Transportar 3,0 (três) m³ de madeira serrada de várias espécies, na embarcação denominada Comandante Samuel I, sem autorização do órgão ambiental competente.</t>
  </si>
  <si>
    <t>2021-02-09 13:54:44</t>
  </si>
  <si>
    <t>Macapá</t>
  </si>
  <si>
    <t>Venilson Leão Pereira</t>
  </si>
  <si>
    <t>Porto Duca Lobato, Igarapé da Fortaleza.</t>
  </si>
  <si>
    <t>2021-02-25 12:55:50</t>
  </si>
  <si>
    <t>9HUQUNJ1</t>
  </si>
  <si>
    <t>Deixar de atender a exigência legal quando devidamente notificado (7684251). Auto de infração lavrado em conformidade com determinação xxx (xxx) e solicitação xxx (xxx). Segue anexo relatório de fiscalização.</t>
  </si>
  <si>
    <t>2021-02-09 13:00:00</t>
  </si>
  <si>
    <t>2021-02-10 08:27:05</t>
  </si>
  <si>
    <t>HICMAMOV</t>
  </si>
  <si>
    <t>Deixar de entregar o relatório da Lei 10.165/00, referente ao ano de 2020/2019.</t>
  </si>
  <si>
    <t>Nova Olinda</t>
  </si>
  <si>
    <t>M LOCACAO, TRANSPORTES E LOGISTICA LTDA</t>
  </si>
  <si>
    <t>Rodovia BR 153, KM 209, Sala 2, CEP: 77.790-000, Nova Olinda - TO.</t>
  </si>
  <si>
    <t>2021-02-11 16:31:16</t>
  </si>
  <si>
    <t>4CK85RC4</t>
  </si>
  <si>
    <t>Deixar de apresentar relatório de manejo de espécies exóticas invasoras no SIMAF, determinado pela Notificação 112 (referente à Autorização xxx)</t>
  </si>
  <si>
    <t>2021-02-09 12:00:00</t>
  </si>
  <si>
    <t>Curitiba</t>
  </si>
  <si>
    <t>JOÃO CARLOS ZANKOSKI JUNIOR</t>
  </si>
  <si>
    <t>rua general Carneiro 481 Centro Curitiba PR</t>
  </si>
  <si>
    <t>2021-02-09 00:00:00</t>
  </si>
  <si>
    <t>2021-02-09 16:39:36</t>
  </si>
  <si>
    <t>S2UMTQAO</t>
  </si>
  <si>
    <t>Deixar de apresentar relatório de manejo de espécies exóticas invasoras no SIMAF, determinado pela Notificação 100 (referente à Autorização xxx)</t>
  </si>
  <si>
    <t>MARCELO VIEIRA DE ANDRADE</t>
  </si>
  <si>
    <t>rua General Carneiro 481 centro Curitiba PR</t>
  </si>
  <si>
    <t>2021-02-09 16:40:09</t>
  </si>
  <si>
    <t>D3GAVO1Y</t>
  </si>
  <si>
    <t>Deixar de inscrever-se no Cadastro Técnico Federal de Atividades Potencialmente Poluidora - CTF/APP, de que trata o Artigo 17 da Lei 6.938/1981, exercendo a atividade de transporte de produto florestal.</t>
  </si>
  <si>
    <t>João A. de Carvalho e CIA Ltda</t>
  </si>
  <si>
    <t>BR-364, Km 192</t>
  </si>
  <si>
    <t>2021-02-09 17:50:35</t>
  </si>
  <si>
    <t>PQ6T1A6Q</t>
  </si>
  <si>
    <t>Transportar 02 ( dois) papagaios,  espécies da fauna silvestres nativa, sem licença da autoridade ambiental competente.</t>
  </si>
  <si>
    <t>2021-02-09</t>
  </si>
  <si>
    <t>Piracuruca</t>
  </si>
  <si>
    <t>Gerlan Lima dos Santos</t>
  </si>
  <si>
    <t>Unidade Operacional da PRF em  Piripiri/PI</t>
  </si>
  <si>
    <t>2021-02-23 11:56:22</t>
  </si>
  <si>
    <t>24 Inc. 2,3, § 3 Decreto 6514/2008.</t>
  </si>
  <si>
    <t>OKE6X9VG</t>
  </si>
  <si>
    <t>Deixar de entregar os relatórios da Lei 10.165/00, referentes aos anos de 2015/2014, 2016/2015, 2017/2016, 2018/2017, 2019/2018 e 2020/2019.</t>
  </si>
  <si>
    <t>2021-02-09 11:00:00</t>
  </si>
  <si>
    <t>C M DE ALENCAR</t>
  </si>
  <si>
    <t>Av. Goiás, 1194, CEP: 77.410-010, Gurupi-TO.</t>
  </si>
  <si>
    <t>2021-02-11 16:28:52</t>
  </si>
  <si>
    <t>VSGHIO2O</t>
  </si>
  <si>
    <t> Desmatar, a corte raso, 4,47 hectares de vegetação nativa, bioma cerrado, fora da reserva legal, sem autorização da autoridade competente, conforme Parecer n° xxx</t>
  </si>
  <si>
    <t>2021-02-09 09:00:00</t>
  </si>
  <si>
    <t>Maracaju</t>
  </si>
  <si>
    <t>CARLOS NEY GARCIA OLEGARIO</t>
  </si>
  <si>
    <t>Fazenda Big Vale</t>
  </si>
  <si>
    <t>2021-02-18 11:47:06</t>
  </si>
  <si>
    <t>UY9HA2MJ</t>
  </si>
  <si>
    <t>Dificultar a ação do poder Público no exercício de atividades de fiscalização ambiental, quando não permitindo, não oferecendo meios, alternativas a fiscalização para realizar vistoria em seu plantel.</t>
  </si>
  <si>
    <t>2021-02-09 08:00:00</t>
  </si>
  <si>
    <t>Aparecida de Goiânia</t>
  </si>
  <si>
    <t>LUIS DAS NEVES ALVES</t>
  </si>
  <si>
    <t>Rua Itatiaia Qd.35, Lt.01, casa 2, Bairro Conde dos Arcos -Complemento - Aparecida de Goiânia - GO.</t>
  </si>
  <si>
    <t>2021-02-09 13:02:23</t>
  </si>
  <si>
    <t>77 Decreto 6514/2008.</t>
  </si>
  <si>
    <t>1KZISFQO</t>
  </si>
  <si>
    <t>Ter em cativeiro um jaboti sem autorização da autoridade ambiental competente</t>
  </si>
  <si>
    <t>2021-02-09 07:00:00</t>
  </si>
  <si>
    <t>Maria Regina Pinheiro Cordeiro</t>
  </si>
  <si>
    <t>Rua Rosinha Sampaio, 1285</t>
  </si>
  <si>
    <t>2021-02-18 15:13:39</t>
  </si>
  <si>
    <t>BVXELU62</t>
  </si>
  <si>
    <t>DEIXOU DE ATENDER A NOTIFICAÇÃO N 672919 E</t>
  </si>
  <si>
    <t>2021-02-09 05:51:15</t>
  </si>
  <si>
    <t>Couto Magalhães</t>
  </si>
  <si>
    <t>CARLOS ROBERTO ALVES FERREIRA</t>
  </si>
  <si>
    <t>RUA 05 SN QD 39 LT 43   CENTRO. DE COUTO MAGALHAES TO.</t>
  </si>
  <si>
    <t>2021-02-18 19:07:06</t>
  </si>
  <si>
    <t>1UC9Q9VZ</t>
  </si>
  <si>
    <t>Deixar de entregar relatórios de manejo de espécies exóticas invasoras no SIMAF, determinado pela notificação 118.</t>
  </si>
  <si>
    <t>IVO FABRICIO</t>
  </si>
  <si>
    <t>Rua general Carneiro 481 centro Curitiba PR</t>
  </si>
  <si>
    <t>2021-02-09 16:37:53</t>
  </si>
  <si>
    <t>C54URE0M</t>
  </si>
  <si>
    <t>Deixar de apresentar relatório de manejo de espécies exóticas invasoras no SIMAF, determinado pela Notificação 241 (referente à Autorização xxx)</t>
  </si>
  <si>
    <t>SERGIO PEREIRA JUNIOR</t>
  </si>
  <si>
    <t>2021-02-09 16:38:17</t>
  </si>
  <si>
    <t>J6DO4ORA</t>
  </si>
  <si>
    <t>Deixar de apresentar relatórios de manejo de espécies exóticas invasoras no SIMAF, determinado pela Notificação 108 (referente à Autorização xxx).</t>
  </si>
  <si>
    <t>JOSE ROBERTO PEREIRA FILHO</t>
  </si>
  <si>
    <t>Rua General Carneiro 481 Centro Curitiba PR</t>
  </si>
  <si>
    <t>2021-02-09 16:38:53</t>
  </si>
  <si>
    <t>JGJ13WPW</t>
  </si>
  <si>
    <t>Deixar de apresentar relatório ambiental no prazo exigido pela legislação. Auto de infração lavrado em conformidade com determinação xxx (xxx) baseada na solicitação do xxx (xxx). Segue anexo relatório de fiscalização.</t>
  </si>
  <si>
    <t>2021-02-08 20:00:00</t>
  </si>
  <si>
    <t>BORBA E VAZ LTDA</t>
  </si>
  <si>
    <t>Goiás Gás.</t>
  </si>
  <si>
    <t>2021-02-09 10:09:11</t>
  </si>
  <si>
    <t>CQB920KJ</t>
  </si>
  <si>
    <t>Deixar de apresentar relatório de manejo de espécies exóticas invasoras no SIMAF, determinado pela Notificação 246 (relatório referente Autorização xxx)</t>
  </si>
  <si>
    <t>2021-02-08 18:00:00</t>
  </si>
  <si>
    <t>VITOR JOSE DURIGON JUNIOR</t>
  </si>
  <si>
    <t>rua general Carneiro 481 centro Curitiba Pr</t>
  </si>
  <si>
    <t>2021-02-09 16:37:05</t>
  </si>
  <si>
    <t>6IQQAS2O</t>
  </si>
  <si>
    <t>Receber 26 m3 de produtos florestais provenientes do DOF inválido n° 18401653, portanto sem licença válida</t>
  </si>
  <si>
    <t>2021-02-08 17:00:00</t>
  </si>
  <si>
    <t>ANTONIO RENATO DUATE DE MOURA ME</t>
  </si>
  <si>
    <t>Antônio Renato Duarte de Moura ME</t>
  </si>
  <si>
    <t>2021-02-18 15:12:06</t>
  </si>
  <si>
    <t>V7OGQJV9</t>
  </si>
  <si>
    <t>Exercer a pesca na modalidade espinhel de superfície com a embarcação JOB NETO, Inscrição na autoridade marítima N°443-006335, em desacordo com a autorização obtida (emalhe costeiro de fundo) no cruzeiro de pesca realizado entre os dias 18/01/2015 a 06/02/2015. Em substituição do AI n° 6231-E/proc.02548.00149/2016-11.</t>
  </si>
  <si>
    <t>2021-02-08 16:00:00</t>
  </si>
  <si>
    <t>2021-02-08</t>
  </si>
  <si>
    <t>Florianópolis</t>
  </si>
  <si>
    <t>ROGÉRIO LIMA COIMBRA</t>
  </si>
  <si>
    <t>Ref.: 02548.000149/2016-11 Rogério Lima Coimbra</t>
  </si>
  <si>
    <t>2021-02-09 13:42:38</t>
  </si>
  <si>
    <t>37 § único Decreto 6514/2008.</t>
  </si>
  <si>
    <t>8GI1FNE1</t>
  </si>
  <si>
    <t>Deixar de atender a Notificação 696165-E, que concedeu prazo de 10 (dez) dias para que a empresa Telefônica Brasil S.A. iniciasse a execução de ações determinadas pela Diretoria de Licenciamento Ambiental do Ibama com vistas à recuperação das áreas degradadas, no âmbito do empreendimento "cabo óptico Camacan/BA - Vitória/ES".</t>
  </si>
  <si>
    <t>2021-02-08 15:00:00</t>
  </si>
  <si>
    <t>TELEFÔNICA BRASIL S/A</t>
  </si>
  <si>
    <t>2021-02-10 08:42:39</t>
  </si>
  <si>
    <t>AXTYNI66</t>
  </si>
  <si>
    <t>DEIXAR DE APRESENTAR RELATÓRIOS AMBIENTAIS NOS PRAZOS EXIGIDOS PELA LEGISLAÇÃO(LEI 6.938/1.981 ARTIGO 17-C) OU, NAQUELE DETERMINADO PELA AUTORIDADE AMBIENTAL, NOS ANOS: 2018/2017 e 2019/2018.</t>
  </si>
  <si>
    <t>ERISVALDO JULIO DE CARVALHO EIRELI</t>
  </si>
  <si>
    <t>R VICTOR ANDRADE DE AGUIAR N° 1111
SANTA CRUZ
64.028-550 - TERESINA PIAUÍ</t>
  </si>
  <si>
    <t>2021-02-23 11:06:59</t>
  </si>
  <si>
    <t>61P49CQ1</t>
  </si>
  <si>
    <t>Deixar de apresentar relatórios de manejo de espécies exóticas invasoras no SIMAF, determinado pela Notificação 252.</t>
  </si>
  <si>
    <t>2021-02-08 13:00:00</t>
  </si>
  <si>
    <t>ALEXANDRE MARCOS ZUCARELLI FILHO</t>
  </si>
  <si>
    <t>rua General Carneiro 481 Centro Curitiba PR</t>
  </si>
  <si>
    <t>2021-02-09 16:36:17</t>
  </si>
  <si>
    <t>6ZDIMT9U</t>
  </si>
  <si>
    <t>Deixar de atender exigências legais,  quando devidamente notificado pela autoridade ambiental competente, conforme parecer nº xxx.</t>
  </si>
  <si>
    <t>Macaé</t>
  </si>
  <si>
    <t>PETROBRAS - PETROLEO BRASILEIRO S.A.</t>
  </si>
  <si>
    <t>poço 1 -rjs 409-fpso cidade do Rio de janeiro- Campo de espadarte , Bacia de Campos</t>
  </si>
  <si>
    <t>2021-02-12 08:24:25</t>
  </si>
  <si>
    <t>85BULWWR</t>
  </si>
  <si>
    <t>Deixar de apresentar relatório de manejo de espécies exóticas invasoras no SIMAF,conforme determinado pela Notificação 222 (relatório referente autorização xxx)</t>
  </si>
  <si>
    <t>2021-02-08 12:00:00</t>
  </si>
  <si>
    <t>Tibagi</t>
  </si>
  <si>
    <t>MICHEL FERNANDO ALBERTI</t>
  </si>
  <si>
    <t>Rua General Carneiro 481 Curitiba PR</t>
  </si>
  <si>
    <t>2021-02-09 16:35:26</t>
  </si>
  <si>
    <t>K1L5EN6Z</t>
  </si>
  <si>
    <t>Instalar obra considerada potencialmente poluidora sem licença ou autorização dos órgãos ambientais competentes e contrariando normas e regulamentos pertinentes</t>
  </si>
  <si>
    <t>Estância</t>
  </si>
  <si>
    <t>Jamisson de Oliveira Santos</t>
  </si>
  <si>
    <t>avenida jurandy o porto, numero 200, povoado do saco, Estancia-SE</t>
  </si>
  <si>
    <t>2021-02-25 13:41:03</t>
  </si>
  <si>
    <t>MJKUHZBF</t>
  </si>
  <si>
    <t>Ter em cativeiro dois (2) espécimes da fauna silvestre (papagaio do mangue e araponga) ameaçadas de extinção sem autorização da autoridade ambiental competente.</t>
  </si>
  <si>
    <t>Cristiana Santana Rocha</t>
  </si>
  <si>
    <t>Av. Jurandy O Porto, 200,  Povoado Saco</t>
  </si>
  <si>
    <t>2021-02-25 13:42:29</t>
  </si>
  <si>
    <t>H5UZJP06</t>
  </si>
  <si>
    <t>Destruir vegetação em 0,1398 hectares (1.398,67 metros quadrados) na área considerada de preservação permanente do Reservatório da UHE de Ilha Solteira sem autorização do órgão competente.</t>
  </si>
  <si>
    <t>2021-02-08 11:00:00</t>
  </si>
  <si>
    <t>Santa Fé do Sul</t>
  </si>
  <si>
    <t>Marcel Martins de Carvalho</t>
  </si>
  <si>
    <t>Loteamento Pousada da Paz</t>
  </si>
  <si>
    <t>2021-02-09 08:38:38</t>
  </si>
  <si>
    <t>43 Decreto 6514/2008.</t>
  </si>
  <si>
    <t>SHJFLV4C</t>
  </si>
  <si>
    <t>Deixar de apresentar o Relatório de Atendimento de Condicionantes, no prazo determinado pelo Ibama, através da Autorização de Captura, Coleta e Transporte de Material Biológico n. xxx (SEI xxx), condição geral 1.12.</t>
  </si>
  <si>
    <t>2021-02-08 09:00:00</t>
  </si>
  <si>
    <t>POLIFONICAS CONSULTORIA SOCIOAMBIENTAL LTDA</t>
  </si>
  <si>
    <t>2021-02-10 08:44:33</t>
  </si>
  <si>
    <t>8DSQ7JUD</t>
  </si>
  <si>
    <t>Descumprir Termo de Embargo n° 3881-C, confirmado em decisão da autoridade ambiental. No dia 28/08/2014 Foi entregue à autuada cópia do julgamento confirmando o embargo da área, conforme Termo de entrega pessoal à pg.84 do documento SEI xxx, processo 02009.001862/2005-18.</t>
  </si>
  <si>
    <t>Domingos Martins</t>
  </si>
  <si>
    <t>MIRTHA GOMES DA CUNHA</t>
  </si>
  <si>
    <t>Sítio São José</t>
  </si>
  <si>
    <t>2021-02-10 08:50:25</t>
  </si>
  <si>
    <t>J2I9BKD3</t>
  </si>
  <si>
    <t>Impedir regeneração numa área igual 0,147 ha previamente embargada conforme Termo de Embargo 3881-C, no bioma mata atlântica.
O embargo foi confirmado em julgamento e está decisão foi informada à autuada em 28/08/2014 conforme Termo de entrega pessoal à pg.84 do documento SEI xxx, processo 02009.001862/2005-18.</t>
  </si>
  <si>
    <t>2021-02-10 08:52:14</t>
  </si>
  <si>
    <t>48 Decreto 6514/2008.</t>
  </si>
  <si>
    <t>G569RFCQ</t>
  </si>
  <si>
    <t>Deixar de atender as exigências constantes da Notificação JQJYBDM6.</t>
  </si>
  <si>
    <t>2021-02-07 21:00:00</t>
  </si>
  <si>
    <t>Matheus Rabello de Figueiredo Carvalho Kruger Martins</t>
  </si>
  <si>
    <t>SCLRN 715 BLOCO DE LOJA 21, BRASÍLIA DF</t>
  </si>
  <si>
    <t>2021-02-26 11:29:02</t>
  </si>
  <si>
    <t>FX3Z31WN</t>
  </si>
  <si>
    <t>Transportar 61,60 metros cúbicos de madeira serrada (Manilkara bidentata), oriunda do Bioma Amazônia, sem licença válida para todo o tempo da viagem.</t>
  </si>
  <si>
    <t>2021-02-05 19:00:00</t>
  </si>
  <si>
    <t>2021-02-05</t>
  </si>
  <si>
    <t>Goiás</t>
  </si>
  <si>
    <t>CARLOS CESAR PEREIRA GUEDES</t>
  </si>
  <si>
    <t>Posto policial Rodovia GO-070 km 113</t>
  </si>
  <si>
    <t>2021-02-09 17:56:44</t>
  </si>
  <si>
    <t>GAC9ITBM</t>
  </si>
  <si>
    <t>DEIXAR DE APRESENTAR O RAPP NOS PRAZOS ESTABELECIDO REFERENTE AOS ANOS , 2017/2018 E 2018/2019 ,ESTE AUTO SUBSTITUI O AUTO CONSTANTE NO PROCESSO 02007002921/2019-91. VEJA REGISTRO  CTF ANEXO</t>
  </si>
  <si>
    <t>ANTÔNIO JOSÉ DE ASEVEDO - ME</t>
  </si>
  <si>
    <t>Rua Verbena 670</t>
  </si>
  <si>
    <t>2021-02-18 15:10:22</t>
  </si>
  <si>
    <t>VY4WWQYF</t>
  </si>
  <si>
    <t>Deixar de apresentar informações ambientais no prazo determinado pela Notificação nº 18/2020 -COTRA/CGLIN/DILIC (SEI 8544791). Referência Processo de Apuração de Infração Ambiental n° 02026.000322/2021-29.</t>
  </si>
  <si>
    <t>2021-02-05 17:00:00</t>
  </si>
  <si>
    <t>RUMO MALHA SUL S.A. (ALL - AMERICA LATINA LOG DO BRASIL)</t>
  </si>
  <si>
    <t>Superintendência do IBAMA SC</t>
  </si>
  <si>
    <t>ROTINA LAM I</t>
  </si>
  <si>
    <t>2021-02-09 13:42:14</t>
  </si>
  <si>
    <t>ZO15TT3U</t>
  </si>
  <si>
    <t>HELLEY RIBEIRO NEVES</t>
  </si>
  <si>
    <t>Posto da Polícia Militar Rodoviária de Goiás</t>
  </si>
  <si>
    <t>2021-02-09 17:57:21</t>
  </si>
  <si>
    <t>16NBH4H1</t>
  </si>
  <si>
    <t>Deixar de atender a exigências legais ou regulamentares quando devidamente notificado pela autoridade ambiental competente no prazo concedido, visando a regularização da empresa no Cadastro Técnico Federal (CTF/APP), no tocante à apresentação de documentos hábeis para comprovação de porte conforme exigência indicada na notificação IUJ7132C.</t>
  </si>
  <si>
    <t>2021-02-05 16:00:00</t>
  </si>
  <si>
    <t>Porto Lucena</t>
  </si>
  <si>
    <t>COOPERATIVA TRITICOLA SANTA ROSA LTDA</t>
  </si>
  <si>
    <t>Av. Castelo Branco 502, Porto Lucena-RS.</t>
  </si>
  <si>
    <t>2021-02-23 15:57:25</t>
  </si>
  <si>
    <t>WITPL1QX</t>
  </si>
  <si>
    <t>Descarte irregular de produto tóxico, em desacordo com as normas de segurança, (Embalagens de agrotóxicos). Auto de Infração lavrado em substituição ao de n° 9105078-E, em atenção a Decisão n° xxx</t>
  </si>
  <si>
    <t>2021-02-05 15:00:00</t>
  </si>
  <si>
    <t>Tupanciretã</t>
  </si>
  <si>
    <t>OLYMPIO RIVA</t>
  </si>
  <si>
    <t>Granja Santa Cecilia, Santo Agostinho - Município de Tupancireta - RS</t>
  </si>
  <si>
    <t>GENESIS</t>
  </si>
  <si>
    <t>2021-02-12 18:47:29</t>
  </si>
  <si>
    <t>64 § 1 Decreto 6514/2008.</t>
  </si>
  <si>
    <t>PZK2CPCY</t>
  </si>
  <si>
    <t>DEIXAR DE APRESENTAR RELATÓRIOS NOS PRAZOS EXIGIDOS PELA LEGISLAÇÃO DA LEI 10.165/2000 REFERENTE AOS ANOS DE 2016/2015, 2017/2016, 2018/2017, 2019/2018 NÃO FORAM ENTREGUES, CONFORME CONSULTA IMPEDITIVOS (SEI xxx).</t>
  </si>
  <si>
    <t>Vitória da Conquista</t>
  </si>
  <si>
    <t>MARCIA OLIVEIRA SANTANA MOREIRA</t>
  </si>
  <si>
    <t>AVENIDA ESPANHA,N°357, BAIRRO URBIS CANDEIAS, CEP 45.050-120, MUNICÍPIO DE VITÓRIA DA CONQUISTA. OBS</t>
  </si>
  <si>
    <t>2021-02-17 11:49:36</t>
  </si>
  <si>
    <t>HE5AND4U</t>
  </si>
  <si>
    <t>DEIXAR DE APRESENTAR RELATÓRIOS NOS PRAZOS EXIGIDOS PELA LEGISLAÇÃO DA LEI 10.165/2000 REFERENTE AOS ANOS  DE 2015/2014, 2016/2015, 2017/2016, 2018/2017, 2019/2018 NÃO FORAM ENTREGUES, CONFORME CONSULTA IMPEDITIVOS (SEI xxx)</t>
  </si>
  <si>
    <t>AV ELISIO MOUSINHO, N° 436, CEP 64.845-000, BAIRRO CONVERSÃO, MUNICÍPIO DE MARCOS PARENTE, OBS: ESTÁ</t>
  </si>
  <si>
    <t>2021-02-17 11:51:47</t>
  </si>
  <si>
    <t>ZBASK6W3</t>
  </si>
  <si>
    <t>Descumprir Embargo imposto pelo TEI n° 368678-C lavrado em 13/08/2007 relacionado ao processo 02567.000281/2007-03 na Fazenda Bela Vista, localizada nas Coordenadas Geográfica central Lat. 08°53'31.0"S Long° 51°16'23.0"W,  mediante manutenção de pastagens e criação de gado bovino na área embargada, conforme vistoria realizada in locus em xxx, conforme relatório de fiscalização SEI xxx, atendendo Despacho xxx contido no processo 02567.000281/2007-03.</t>
  </si>
  <si>
    <t>2021-02-05 13:00:00</t>
  </si>
  <si>
    <t>Cumaru do Norte</t>
  </si>
  <si>
    <t>CARLOS ALBERTO MAFRA TERRA</t>
  </si>
  <si>
    <t>Antiga Fazenda Bela Vista, Zona Rural município de Cumaru do Norte-PA</t>
  </si>
  <si>
    <t>2021-02-18 18:00:16</t>
  </si>
  <si>
    <t>8BYLHR7M</t>
  </si>
  <si>
    <t>Comercializar 203,3 de pescados, sem comprovante de origem, conforme nota fiscal nº 000.000.177, emitido pela empresa Jeri Wind Surf Club Ltda, referente vão mês de setembro de 2018.</t>
  </si>
  <si>
    <t>2021-02-05 12:00:00</t>
  </si>
  <si>
    <t>Cruz</t>
  </si>
  <si>
    <t>João Evangelista de Carvalho</t>
  </si>
  <si>
    <t>Vila Preá, Zona Rural, Cruz, CE</t>
  </si>
  <si>
    <t>2021-02-10 09:40:42</t>
  </si>
  <si>
    <t>35, IV Decreto Federal nº 6.514/2008.</t>
  </si>
  <si>
    <t>LZWUC8ST</t>
  </si>
  <si>
    <t>Comercializar 324,85 kg de peixe vermelhos, sem comprovante de origem, conforme nota fiscal nº 000.000.065, emitida pela empresa Dele Empresa de Turismo Ltda, referente ao mês de novembro de 2018.</t>
  </si>
  <si>
    <t>José Edmilson Alves</t>
  </si>
  <si>
    <t>Povoado Espraiado, Juritiana, Acaraú, CE</t>
  </si>
  <si>
    <t>2021-02-10 09:41:55</t>
  </si>
  <si>
    <t>68D6QE3S</t>
  </si>
  <si>
    <t>APRESENTAR INFORMAÇÃO FALSA NO SISTEMA OFICIAL DE CONTROLE DOF REFERENTE AO PROCEDIMENTO ADMINISTRATIVO DE RECEBIMENTO DO "DOF IDEOLOGICAMENTE FALSO N° 15465795".</t>
  </si>
  <si>
    <t>São Julião</t>
  </si>
  <si>
    <t>M ROCHA &amp; SOUSA LTDA - LTDA - ME</t>
  </si>
  <si>
    <t>RUA NICOMEDES DA S ROCHA  S/N°
CENTRO
64.670-000 SÃO JULIÃO - PIAUÍ</t>
  </si>
  <si>
    <t>2021-02-23 10:44:11</t>
  </si>
  <si>
    <t>NXJVMSCU</t>
  </si>
  <si>
    <t>Realizar o cultivo de organismo geneticamente modificado (soja transgênica tolerante ao herbicida glifosato) dentro da faixa de exclusão (500 metros) a partir do perímetro da Floresta Nacional de Passo Fundo.</t>
  </si>
  <si>
    <t>Penalidade pecuniária - Org. Gen. Modific. e Biopirataria</t>
  </si>
  <si>
    <t>Org. Gen. Modific. e Biopirataria</t>
  </si>
  <si>
    <t>2021-02-05 11:03:56</t>
  </si>
  <si>
    <t>Mato Castelhano</t>
  </si>
  <si>
    <t>Infração de Biopirataria(Não Classificada-Móvel)</t>
  </si>
  <si>
    <t>Marcos Loss Xavier</t>
  </si>
  <si>
    <t>Propriedade rural no lado direito da estrada do  Capingui.</t>
  </si>
  <si>
    <t>2021-02-05 14:32:16</t>
  </si>
  <si>
    <t>89 Decreto 6514; 70 1º Lei 9605; 72 Lei 9605; 3º II Decreto 6514.</t>
  </si>
  <si>
    <t>1°, I 5.950/2006.</t>
  </si>
  <si>
    <t>5RFJ1T6Y</t>
  </si>
  <si>
    <t>Transportar 38,61 metros cúbicos de madeira serrada (prancha caibrinho e caibro)das espécimes Sapucaia(lecythis pisonis cambis), Maçaranduba (Manícara huberi), e Pente de macaco Apeiba menbranacia),sendo que do volume transportado 8,36 metros cúbicos sem a devida licença (Dof/GF3) outorgada pela autoridade ambiental competente coordenadas Geográficas 21°35' 56.4'' S 43° 27' 26.9''W.</t>
  </si>
  <si>
    <t>2021-02-05 11:00:00</t>
  </si>
  <si>
    <t>PORTAL - PORTAS, PORTAIS E SERVIÇOS DE TRANSPORTES EIRELI</t>
  </si>
  <si>
    <t>Posto PRF BR 040 Km 767 Juiz de Fora MG</t>
  </si>
  <si>
    <t>2021-02-25 13:27:41</t>
  </si>
  <si>
    <t>Z6IYJ4N2</t>
  </si>
  <si>
    <t>Receber, para fins comerciais, 2,56 m3 de madeira serrada nativa (produto acabado), em 14/11/2016, munindo-se de Guia Florestal GF3 n° 0003913006647000000151016000000, documento ideologicamente falso emitido por empresa de fachada.</t>
  </si>
  <si>
    <t>2021-02-05 10:00:00</t>
  </si>
  <si>
    <t>Itabira</t>
  </si>
  <si>
    <t>MADEITA MADEIRAS ITABIRA LTDA</t>
  </si>
  <si>
    <t>Rua Cromita, n° 120 - Distrito Industrial - Itabira/MG - CEP 35.903-005</t>
  </si>
  <si>
    <t>2021-02-05 00:00:00</t>
  </si>
  <si>
    <t>2021-02-05 12:10:32</t>
  </si>
  <si>
    <t>CDML0I8X</t>
  </si>
  <si>
    <t>Receber, para fins comerciais, 3,83 m3 de madeira serrada nativa (produto acabado), em 28/10/2016, munindo-se de Guia Florestal GF3 n° 392, série 0003923006647000000151016000000, documento ideologicamente falso emitido por empresa de fachada.</t>
  </si>
  <si>
    <t>2021-02-05 09:00:00</t>
  </si>
  <si>
    <t>Nova Lima</t>
  </si>
  <si>
    <t>CARVALHOS INDUSTRIA E COMÉRCIO DE MOVEIS LTDA.-ME</t>
  </si>
  <si>
    <t>Av. Presidente Kennedy, n° 2555 - Cabeceiras - Nova Lima/MG - CEP 34.000-001</t>
  </si>
  <si>
    <t>2021-02-05 12:08:56</t>
  </si>
  <si>
    <t>024CL6PG</t>
  </si>
  <si>
    <t>Receber, para fins comerciais, 2,47 m3 de madeira serrada nativa (produto acabado), em 06/09/2016, munindo-se de Guia Florestal GF3 n° 0001513006647000000250816000000, documento ideologicamente falso emitido por empresa de fachada.</t>
  </si>
  <si>
    <t>Barão de Cocais</t>
  </si>
  <si>
    <t>COMERCIAL FERREIRA FERNANDES LTDA</t>
  </si>
  <si>
    <t>Rua Adair Duarte Júnior, n° 228 - Garcia - Barão de Cocais/MG - CEP 35.970-000</t>
  </si>
  <si>
    <t>2021-02-05 12:09:46</t>
  </si>
  <si>
    <t>5YLR3BJY</t>
  </si>
  <si>
    <t>Descumprir embargo de obra ou atividade e suas respectivas àreas.</t>
  </si>
  <si>
    <t>2021-02-05 07:00:00</t>
  </si>
  <si>
    <t>Barra de São Miguel</t>
  </si>
  <si>
    <t>SEVERINO ROBERTO MAIA DE MIRANDA</t>
  </si>
  <si>
    <t>Sítio Riacho Fundo - Zona Rural</t>
  </si>
  <si>
    <t>2021-02-09 14:21:21</t>
  </si>
  <si>
    <t>78M8MP7Y</t>
  </si>
  <si>
    <t>Receber para fins comerciais 47 metros cúbicos de produtos florestais processados sem licença válida outorgada pela autoridade competente (acusou o recebimento de dois DOF inválido DOF 18098080 e 18241858).</t>
  </si>
  <si>
    <t>2021-02-05 04:37:29</t>
  </si>
  <si>
    <t>Nossa Senhora do Socorro</t>
  </si>
  <si>
    <t>O REI DAS MADEIRAS EIRELI EPP</t>
  </si>
  <si>
    <t>Patio da Empresa O Rei das Madeiras Eirelli EPP</t>
  </si>
  <si>
    <t>2021-02-05 04:48:58</t>
  </si>
  <si>
    <t>47 2º Decreto 6514; 70 1º Lei 9605; 72 Lei 9605; 3º II Decreto 6514.</t>
  </si>
  <si>
    <t>43, caput Instrução Normativa 21/2014.</t>
  </si>
  <si>
    <t>8ETW8VAL</t>
  </si>
  <si>
    <t>Deixar de atender às exigências legais ou regulamentares quando devidamente notificado pela autoridade ambiental competente no prazo concedido.(Notificação 9BXLN6Y9 atendida parcialmente).</t>
  </si>
  <si>
    <t>2021-02-05 04:00:09</t>
  </si>
  <si>
    <t>Nossa Senhora das Dores</t>
  </si>
  <si>
    <t>MADEIREIRA NOSSA SENHORA DAS DORES LTDA</t>
  </si>
  <si>
    <t>Madeireira Nossa Senhora das Dores</t>
  </si>
  <si>
    <t>2021-02-05 04:09:14</t>
  </si>
  <si>
    <t>79BPKAHF</t>
  </si>
  <si>
    <t>Apresentar informação parcialmente enganosa ou omissa em sistema oficiais de controle (destinação final de 5.724,1203 metros cúbicos de créditos indevidos de produtos florestais processado em sua conta como "uso em construção civil").</t>
  </si>
  <si>
    <t>2021-02-05 03:26:13</t>
  </si>
  <si>
    <t>Madeira Nossa Senhora das Dores</t>
  </si>
  <si>
    <t>2021-02-05 03:50:07</t>
  </si>
  <si>
    <t>3ART73DZ</t>
  </si>
  <si>
    <t>Receber 21,007 metros cúbicos de madeira serrada (Dinzia excelsa), para fins comerciais, sem licença válida (documento de origem florestal- DOF 18313483 inválido) ortogada pela autoridade competente.</t>
  </si>
  <si>
    <t>2021-02-05 02:23:52</t>
  </si>
  <si>
    <t>Itabaiana</t>
  </si>
  <si>
    <t>Fábrica de Carrocerias São José LTDa</t>
  </si>
  <si>
    <t>Fábrica de Carroceria São José LTDA</t>
  </si>
  <si>
    <t>2021-02-05 03:03:11</t>
  </si>
  <si>
    <t>CQOT3SZ5</t>
  </si>
  <si>
    <t>Deixar de atender a condicionante n° 2.1 da Licença de Instalação n° 1284/2019 referente ao empreendimento Linha de Transmissão 500 KV Padre Paraíso 2 - Governador Valadares 6 (C2).</t>
  </si>
  <si>
    <t>2021-02-04 16:00:00</t>
  </si>
  <si>
    <t>INTERLIGAÇÃO ELÉTRICA AIMORES S A</t>
  </si>
  <si>
    <t>LT Padre Paraíso 2 - Governador Valadares 6 (Lote 4)</t>
  </si>
  <si>
    <t>2021-02-05 15:30:36</t>
  </si>
  <si>
    <t>66, II Decreto federal 6514/2008.</t>
  </si>
  <si>
    <t>DBQT8THW</t>
  </si>
  <si>
    <t>Deixar de atender a condicionante n° 2.1  da Licença de Instalação n° 1287/2019, referente ao empreendimento Linha de Transmissão 500 KV Poções 3 - Padre Paraíso 2 - (C2).</t>
  </si>
  <si>
    <t>2021-02-04 15:00:00</t>
  </si>
  <si>
    <t>INTERLIGAÇÃO ELÉTRICA PARAGUAÇU S A</t>
  </si>
  <si>
    <t>LT Poções 3 - Padre Paraíso 2 (Lote 3)</t>
  </si>
  <si>
    <t>2021-02-05 14:53:20</t>
  </si>
  <si>
    <t>66, II Decreto 6514/2008.</t>
  </si>
  <si>
    <t>EBC7A6FQ</t>
  </si>
  <si>
    <t>Alterar, por meio de pichação, o aspecto de local especialmente protegido por lei (Pedra da Baliza - Estação Ecológica Serra Geral do Tocantins) e por ato administrativo (Plano de Manejo), em razão de seu valor paisagístico, ecológico, turístico, histórico, cultural, sem autorização da autoridade competente.</t>
  </si>
  <si>
    <t>Penalidade pecuniária - Ordenamento urbano e Contr. patrim.</t>
  </si>
  <si>
    <t>Ord. Urbano e Patr. Cultural</t>
  </si>
  <si>
    <t>2021-02-04 13:00:00</t>
  </si>
  <si>
    <t>Combinado</t>
  </si>
  <si>
    <t>ESEC Serra Geral do Tocantins</t>
  </si>
  <si>
    <t>Infração de Ordenamento Urbano e Patrimônio Cultural(Não Classificada-Móvel)</t>
  </si>
  <si>
    <t>Carlos Fernando Souza Ferreira</t>
  </si>
  <si>
    <t>Rua Juraíldes de Sena Abreu, S/N, Centro, Combinado-TO</t>
  </si>
  <si>
    <t>2021-02-10 08:25:50</t>
  </si>
  <si>
    <t>73 Decreto 6514/2008.</t>
  </si>
  <si>
    <t>1°, - Decreto S/N, 27/09/2001; 1°, - Portaria ICMBio n° 111, de 15/10/2014.</t>
  </si>
  <si>
    <t>PB8HIJNH</t>
  </si>
  <si>
    <t>Lucas Mendes Damasceno Reis</t>
  </si>
  <si>
    <t>Rua Antônio Pereira de Souza, S/N, Centro, Combinado-TO</t>
  </si>
  <si>
    <t>2021-02-10 08:26:27</t>
  </si>
  <si>
    <t>1°, - Decreto S/N, 27/09/2001; 1°, - Portaria ICMBio n° 111/15.</t>
  </si>
  <si>
    <t>W8GPSLUQ</t>
  </si>
  <si>
    <t>Transportar 14 unidades (IBC's) de solução de Ácido Fosfórico 85%, ONU 1805, Classe 8, GE III conforme DANFE 45126 em desacordo com as exigências estabelecidas em leis ou em seus regulamentos.
O Transporte apresentava competência Federal sendo carregado em São Paulo com destino ao Uruguai com a Autorização de Transporte expedida pelo IBAMA para os veículos envolvidos no acidente, dia 02/06/2020 com placas: LYO6773 e IGA6603 salientando que a autorização apresentada foi emitida na data do incidente e 39 (trinta e nove) minutos após acidente e não antes do início da viagem, indicando portanto que o deslocamento desde o embarque do Produto até o local do acidente em Uruguaiana/RS ocorreu em desacordo com a legislação. 
OBS: Relato consta na Descrição da Informação Técnica no Processo SEI 02023001786202000.</t>
  </si>
  <si>
    <t>2021-02-03 23:00:00</t>
  </si>
  <si>
    <t>2021-02-04</t>
  </si>
  <si>
    <t>Uruguaiana</t>
  </si>
  <si>
    <t>TRANPARÉ TRANSPORTES ARMAZENS GERAIS LTDA</t>
  </si>
  <si>
    <t>Rua Aduaneiro, S/N°</t>
  </si>
  <si>
    <t>2021-02-22 20:13:20</t>
  </si>
  <si>
    <t>64 Decreto 6514/2008.</t>
  </si>
  <si>
    <t>TH2FL0MX</t>
  </si>
  <si>
    <t>Transportar substância perigosa, em desacordo com ás exigências estabelecidas em lei.</t>
  </si>
  <si>
    <t>2021-02-03 19:00:00</t>
  </si>
  <si>
    <t>Tamandaré</t>
  </si>
  <si>
    <t>LITORAL TRANSPORTE DE GÁS EIRELI</t>
  </si>
  <si>
    <t>Loteamento Água de Tamandaré, N°. 02
CEP. 55.578-000</t>
  </si>
  <si>
    <t>2021-02-09 14:22:42</t>
  </si>
  <si>
    <t>3 Inc. 2,9 Decreto 6514/2008; 70 § 1 Lei 9605/98; 72 Lei 9605/98.</t>
  </si>
  <si>
    <t>64, - Dec. Federal 6.514 de 2008.</t>
  </si>
  <si>
    <t>R4Q92E7P</t>
  </si>
  <si>
    <t>Transportar 680 kg de camarão rosa (Farfantepenaeus paulensis) fresco (refrigerado em gelo), em Eldorado do Sul, no dia 03/02/2021, com o uso de veículo MLL 2225, sem documento de origem.</t>
  </si>
  <si>
    <t>2021-02-03 18:54:02</t>
  </si>
  <si>
    <t>Adilson Ferreira</t>
  </si>
  <si>
    <t>Posto da PRF Eldorado do Sul</t>
  </si>
  <si>
    <t>2021-03-01 15:13:13</t>
  </si>
  <si>
    <t>1o, caput INI MPA/MAPA n.o 04/2014.</t>
  </si>
  <si>
    <t>KRPWD5D3</t>
  </si>
  <si>
    <t>Transportar 1.680 kg de camarão rosa (Farfantepenaeus paulensis) fresco (refrigerado em gelo), em Eldorado do Sul, no dia 03/02/2021, com o uso do veiculo MEM 4918, sem origem legal, por meio da Nota Fiscal de Produtor P 159 174358, inválida.</t>
  </si>
  <si>
    <t>2021-02-03 17:46:32</t>
  </si>
  <si>
    <t>Luciano Nascimento da Silva</t>
  </si>
  <si>
    <t>Posto de Policia Rodoviaria Federal de Eldorado do Sul</t>
  </si>
  <si>
    <t>2021-03-01 15:11:38</t>
  </si>
  <si>
    <t>TYFG0MXF</t>
  </si>
  <si>
    <t>Apresentar informação e relatório ambiental falsos no sistema oficial de controle Cadastro Técnico Federal CTF em 02 de janeiro de 2018 (Referência Processo de Apuração de Infração Ambiental 02026.000310/2021-02).</t>
  </si>
  <si>
    <t>2021-02-03 17:00:00</t>
  </si>
  <si>
    <t>NS IMPORTAÇÃO E COMERCIO LTDA</t>
  </si>
  <si>
    <t>2021-02-04 00:00:00</t>
  </si>
  <si>
    <t>2021-02-04 16:22:25</t>
  </si>
  <si>
    <t>Art. 17-C, § 1º Lei 10.165/2000.</t>
  </si>
  <si>
    <t>O0R3UHOX</t>
  </si>
  <si>
    <t>Apresentar informação e relatório ambiental falsos no sistema oficial de controle Cadastro Técnico Federal CTF em 02 de janeiro de 2019 (Referência Processo de Apuração de Infração Ambiental 02026.000311/2021-49).</t>
  </si>
  <si>
    <t>2021-02-04 16:23:42</t>
  </si>
  <si>
    <t>ZTROGR44</t>
  </si>
  <si>
    <t>Apresentar informação e relatório ambiental falsos no sistema oficial de controle Cadastro Técnico Federal CTF em 05 de janeiro de 2016 (Referência Processo de Apuração de Infração Ambiental 02026.000308/2021-25).</t>
  </si>
  <si>
    <t>2021-02-03 16:00:00</t>
  </si>
  <si>
    <t>2021-02-04 16:21:40</t>
  </si>
  <si>
    <t>5SJY7N8Y</t>
  </si>
  <si>
    <t>Apresentar informação e relatório ambiental falsos no sistema oficial de controle Cadastro Técnico Federal CTF em 02 de janeiro de 2017 (Referência Processo de Apuração de Infração Ambiental 02026.000309/2021-70).</t>
  </si>
  <si>
    <t>2021-02-04 16:22:09</t>
  </si>
  <si>
    <t>BQ1N525L</t>
  </si>
  <si>
    <t>Ter em depósito 188,477 m3 de madeira nativa - sendo 164,479 m3 de madeira tem ora é 23,998 m3 de madeira serrada - sem licença válida outorgada pela autoridade ambiental competente.</t>
  </si>
  <si>
    <t>2021-02-03</t>
  </si>
  <si>
    <t>JOEL INACIODA COSTA COMERCIO DE MADEIRAS</t>
  </si>
  <si>
    <t>Carvalho Indústria e Comércio Eireli</t>
  </si>
  <si>
    <t>2021-02-22 16:45:48</t>
  </si>
  <si>
    <t>3 Inc. 2,4 Decreto 6514/2008; 70 § 1 Lei 9605/98; 72 Lei 9605/98.</t>
  </si>
  <si>
    <t>BWBO9HIZ</t>
  </si>
  <si>
    <t>Transportar agrotóxicos com origem uruguaia, produtos nocivos à saúde humana e animal e ao ambiente, no veículo Toyota Corolla XEI 18 Flex, placas EGB 1095, chassis 9BRBB48E3A5094205, RENAVAM 00166307467, cor preta, ano/modelo 2009/2010, de sua propriedade à época dos fatos, na BR 287, trevo de acesso à RS 241, em São Vicente do Sul, sendo 10 pacotes de 1 kg cada de AGROEMA 30 WDG, de acordo com comunicação da Delegacia de Polícia Federal à UT Santa Maria e termos de depoimentos nos autos do processo IBAMA 02615.000021/2021-65.</t>
  </si>
  <si>
    <t>2021-02-03 15:33:14</t>
  </si>
  <si>
    <t>São Vicente do Sul</t>
  </si>
  <si>
    <t>Jose Luiz Cechella</t>
  </si>
  <si>
    <t>Entroncamento das rodovias Br 287 e RS 241.</t>
  </si>
  <si>
    <t>2021-02-25 10:58:12</t>
  </si>
  <si>
    <t>64 Decreto 6514; 70 1º Lei 9605; 72 Lei 9605; 3º II Decreto 6514; 3º IV Decreto 6514.</t>
  </si>
  <si>
    <t>3°, caput LF 7802/89; 8°, caput DF 4074/02.</t>
  </si>
  <si>
    <t>WU5GM857</t>
  </si>
  <si>
    <t>Ter em cativeiro espécimes da fauna silvestre brasileira sem autorização do órgão competente.</t>
  </si>
  <si>
    <t>2021-02-03 15:00:00</t>
  </si>
  <si>
    <t>Arildo Guimarães Porto</t>
  </si>
  <si>
    <t>Residência do autuado</t>
  </si>
  <si>
    <t>CARCINOS-ES</t>
  </si>
  <si>
    <t>2021-02-09 09:05:21</t>
  </si>
  <si>
    <t>24 Inc. 1,3 Decreto 6514/2008.</t>
  </si>
  <si>
    <t>2SSTSW61</t>
  </si>
  <si>
    <t>Fazer funcionar atividades contrariando sétimo artigo da resolução conama número 306/2002, por não apresentar relatório de auditoria ambiental e do plano de ação da plantaforma do campo de Camorim, (pcm-4,pcm-5, pcm-6, pcm-8,pcm-10,pcm-11), Campo de Caiobá(pcb-3), Campo de Dourado (pdo-01,Pdo-02 e Pdo-03) Guaricema (pga-01, ,pga-02, Pga-03, pga-04,pga-05,pga-06, pga-07 e pga-08, Campo de Robalo (Prb-01), conforme parecer técnico nº xxx,</t>
  </si>
  <si>
    <t>2021-02-03 14:00:00</t>
  </si>
  <si>
    <t>Aracaju</t>
  </si>
  <si>
    <t>PETROBRAS/UNIDADE DE NEGÓCIOS DE EXP/PROD. SERGIPE E ALAGOAS</t>
  </si>
  <si>
    <t>Sergipe-alagoas (SEAL)- litoral de Sergipe no</t>
  </si>
  <si>
    <t>2021-02-12 08:24:55</t>
  </si>
  <si>
    <t>7, 7 resolução CONAMA nº 306/2002.</t>
  </si>
  <si>
    <t>K9J7AZHC</t>
  </si>
  <si>
    <t>Apresentar informação falsa no Sistema Oficial de Controle Sisflora/PA ao declarar possuir 277,55 m3 de madeira em tora  e 17,95 m3 de madeira serrada, sem correspondência com o saldo físico do pátio da empresa</t>
  </si>
  <si>
    <t>2021-02-03 13:00:00</t>
  </si>
  <si>
    <t>F. R. SOUSA COMERCIO DE MADEIRAS EIRELI</t>
  </si>
  <si>
    <t>Rodovia BR 230 km 142 Vila Acrolina</t>
  </si>
  <si>
    <t>2021-02-22 12:06:47</t>
  </si>
  <si>
    <t>WO2X7O62</t>
  </si>
  <si>
    <t>Apresentar informação falsa no sistema oficial de controle Sisflora/PA ao declarar possuir 377,079 metros cúbicos de madeira em tora e 102,984 metros cúbicos de madeira serrada, sem correspondência com o saldo físico do pátio da empresa.</t>
  </si>
  <si>
    <t>MAROLETTI INDÚSTRIA E COMÉRCIO DE MADEIRAS EIRELI</t>
  </si>
  <si>
    <t>Rodovia BR 230 Transamazônica km 80,  lote 87, vicinal do flamingo,  bairro zona rural,</t>
  </si>
  <si>
    <t>2021-02-22 16:47:08</t>
  </si>
  <si>
    <t>R0N49ZZT</t>
  </si>
  <si>
    <t>Apresentar informação falsa no sistema oficial de controle Sisflora/PA ao declarar possuir 226,527 metros cúbicos de madeira em tora e 62,679 metros cúbicos de madeira serrada, sem correspondência com o saldo físico do pátio da empresa.</t>
  </si>
  <si>
    <t>2021-02-03 12:05:58</t>
  </si>
  <si>
    <t>2021-02-03 12:21:04</t>
  </si>
  <si>
    <t>PW9CDVCZ</t>
  </si>
  <si>
    <t>Apresentar informação falsa no relatório ambiental (romaneio} no procedimento fiscalizatório ambiental.</t>
  </si>
  <si>
    <t>2021-02-03 12:00:00</t>
  </si>
  <si>
    <t>2021-02-22 11:50:53</t>
  </si>
  <si>
    <t>R8QJJHDR</t>
  </si>
  <si>
    <t>Ter em depósito 91,5777 m3 de madeira em tora sem licença válida outorgada pela autoridade competente.</t>
  </si>
  <si>
    <t>2021-02-22 12:11:16</t>
  </si>
  <si>
    <t>UBPDTBGZ</t>
  </si>
  <si>
    <t>RN/SUPES</t>
  </si>
  <si>
    <t>Fazer funcionar (Sacaria e Tamboraria), estabelecimento utilizador de recursos ambientais, considerado efetiva ou potencialmente poluidor, sem licença ou autorização do órgão ambiental competente.</t>
  </si>
  <si>
    <t>2021-02-03 11:00:00</t>
  </si>
  <si>
    <t>Núcleo de Conciliação Ambiental/RN</t>
  </si>
  <si>
    <t>FRANCISCO SILVANO PEREIRA ME</t>
  </si>
  <si>
    <t>Francisco Silvano Pereira (CNPJ: 41.004.243/0001/85).</t>
  </si>
  <si>
    <t>2021-02-09 10:53:37</t>
  </si>
  <si>
    <t>EUKVZTZ9</t>
  </si>
  <si>
    <t>Apresentar informação falsa em sistema oficial de controle  - Sistema DOF,  com o recebimento de créditos indevidos,  originados de rota inversa, conforme Processo Investigatório 02024.002791/2020-11 e Relatório de Constatação (xxx).</t>
  </si>
  <si>
    <t>ALKALE COMERCIO DE MADEIRA LTDA</t>
  </si>
  <si>
    <t>Alkale Comércio de Madeiras Ltda</t>
  </si>
  <si>
    <t>2021-02-09 11:00:27</t>
  </si>
  <si>
    <t>NVJOB4HW</t>
  </si>
  <si>
    <t>Ter em depósito 289,206 metros cúbicos de madeira, sendo 226,527 em toras e 62,679 serrada, sem licença da autoridade competente.</t>
  </si>
  <si>
    <t>BR 230 Rodovia Transamazônica, s/n KM 80, lote 87, Vicinal do Flamingo, Bairro Zona Rural</t>
  </si>
  <si>
    <t>2021-02-18 13:06:41</t>
  </si>
  <si>
    <t>4Y9Z5CMJ</t>
  </si>
  <si>
    <t>Apresentar informação falsa em sistema oficial de controle sistema DOF, com o recebimento de créditos indevidos, originados de rota inversa, conforme processo de investigatório 02024.000185/2021-42 e relatório de constatação xxx</t>
  </si>
  <si>
    <t>2021-02-03 10:42:53</t>
  </si>
  <si>
    <t>Rua Ervino Prochnow rua 06 3037 liberdade Espigão D'Oeste</t>
  </si>
  <si>
    <t>2021-02-09 11:02:12</t>
  </si>
  <si>
    <t>.,   in conjunta 02/2020.</t>
  </si>
  <si>
    <t>QONAZ1E6</t>
  </si>
  <si>
    <t>Apresentar informação falsa em sistema oficial de controle  - Sistema DOF,  com o recebimento de créditos indevidos, originados de rota inversa,  conforme Processo Investigatório 02024.002791/2020-11 e Relatório de Constatação (xxx).</t>
  </si>
  <si>
    <t>2021-02-03 10:00:00</t>
  </si>
  <si>
    <t>BRASIL MADEIRAS EIRELI - EPP</t>
  </si>
  <si>
    <t>Brasil Madeiras Ltda - ME</t>
  </si>
  <si>
    <t>2021-02-04 00:45:43</t>
  </si>
  <si>
    <t>Z1377XUE</t>
  </si>
  <si>
    <t>Apresentar informação falsa em sistema oficial de controle  - Sistema DOF,  com o recebimento de créditos indevidos de madeira,  originados de rota inversa,  conforme Processo Investigatório 02024.002791/2020-11 e Relatório de Constatação (xxx).</t>
  </si>
  <si>
    <t>MADEPOL INDUSTRIA E COMERCIO DE BATENTES LTDA EPP</t>
  </si>
  <si>
    <t>Madepol Indústria e Comércio de Batentes  Ltda</t>
  </si>
  <si>
    <t>2021-02-09 11:01:30</t>
  </si>
  <si>
    <t>0SM3O9IT</t>
  </si>
  <si>
    <t>Ter em depósito 10,082 m3 de madeira serrada nativa, sem licença válida outorgada pela autoridade ambiental competente.</t>
  </si>
  <si>
    <t>SANTA MARIA IND COM EXP DE MADEIRAS LTDA - EPP</t>
  </si>
  <si>
    <t>Santa Maria Indústria e Comércio De Madeiras EPP</t>
  </si>
  <si>
    <t>2021-02-19 13:07:03</t>
  </si>
  <si>
    <t>4IET7E4L</t>
  </si>
  <si>
    <t>Transportar 46,199 metros cúbicos de madeiras serradas, originárias da Floresta Amazônica, sem licença ambiental válida, apresentando Guia Florestal falsificada.</t>
  </si>
  <si>
    <t>GO-173</t>
  </si>
  <si>
    <t>2021-02-23 17:42:57</t>
  </si>
  <si>
    <t>GZRAAIG1</t>
  </si>
  <si>
    <t>2021-02-03 09:00:00</t>
  </si>
  <si>
    <t>Pajeú do Piauí</t>
  </si>
  <si>
    <t>PIAUILINO &amp; SA LTDA</t>
  </si>
  <si>
    <t>Sede da empresa (Trabalho remoto inseridas as coordenadas da SUPES-PI).</t>
  </si>
  <si>
    <t>2021-02-03 00:00:00</t>
  </si>
  <si>
    <t>2021-02-03 14:17:06</t>
  </si>
  <si>
    <t>99RL7634</t>
  </si>
  <si>
    <t>Reformar diques que impedem o fluxo de marés, suprimindo áreas de manguezais e marismas no interior da Área de Proteção Ambiental (APA) da Baleia França, sem licença ou autorização dos Órgãos Ambientais competentes.</t>
  </si>
  <si>
    <t>2021-02-02 19:00:00</t>
  </si>
  <si>
    <t>2021-02-02</t>
  </si>
  <si>
    <t>Laguna</t>
  </si>
  <si>
    <t>APA da Baleia Franca</t>
  </si>
  <si>
    <t>AGROPECUARIA RIO CLARO LTDA</t>
  </si>
  <si>
    <t>Complexo Lagunar</t>
  </si>
  <si>
    <t>2021-02-03 15:46:02</t>
  </si>
  <si>
    <t>93, Caput Decreto 6.514/2008; 2°, 1° Resolução CONAMA 237/1997.</t>
  </si>
  <si>
    <t>93F7XIB2</t>
  </si>
  <si>
    <t>Deixar de manter registro de acervo faunístico e movimentação de plantel em sistemas
informatizados de controle de fauna ou fornece dados inconsistentes ou fraudados (Não declarou no
SISPASS o nascimento das aves referentes as anilhas SISPASS 2.2 SP/A 078430 e SISPASS 2.2 SP/
A 078431).</t>
  </si>
  <si>
    <t>JOÃO MANOEL DE SOUZA</t>
  </si>
  <si>
    <t>2021-02-08 00:00:00</t>
  </si>
  <si>
    <t>2021-02-08 09:12:44</t>
  </si>
  <si>
    <t>MCY96C2P</t>
  </si>
  <si>
    <t>Vender 58,26 metros cúbicos de madeira serrada sem licença válida outorgada pela autoridade competente, conforme BO/PRF xxx.</t>
  </si>
  <si>
    <t>2021-02-02 17:09:36</t>
  </si>
  <si>
    <t>INDUSTRIA E COMERCIO DE MADEIRAS SAMAUMA EIRELI</t>
  </si>
  <si>
    <t>Rodovia BR 230, km 613</t>
  </si>
  <si>
    <t>2021-03-01 10:00:18</t>
  </si>
  <si>
    <t>B1VTHYGB</t>
  </si>
  <si>
    <t>Deixar de atender às exigências constantes na notificação 6MGYF9EB, recebido em 28/11/2020. O prazo para atendimento expirou em 27/01/2021, a licença ambiental , matrícula do imóvel e o faturamento bruto dos últimos cinco anos não foram apresentados.</t>
  </si>
  <si>
    <t>2021-02-02 17:00:00</t>
  </si>
  <si>
    <t>Corumbá</t>
  </si>
  <si>
    <t>PANTANAL SUL PASSEIOS E TURISMO LTDA</t>
  </si>
  <si>
    <t>Rodovia MS 184, Estrada Parque Km 8,5, Passo do Lontra, Corumbá MS</t>
  </si>
  <si>
    <t>2021-02-08 12:16:07</t>
  </si>
  <si>
    <t>9EYTHAKA</t>
  </si>
  <si>
    <t>Apresentar informação falsa em sistema oficial de controle  -Sistema DOF,  com o recebimento de créditos indevidos de madeira, originados de rota inversa,  conforme Processo Investigatório 02024.002791/2020-11 e Relatório de Constatação xxx.</t>
  </si>
  <si>
    <t>MADEIREIRA PIMENTAO LTDA</t>
  </si>
  <si>
    <t>MAD Pimentão Ltda.</t>
  </si>
  <si>
    <t>2021-02-09 17:11:56</t>
  </si>
  <si>
    <t>T87JSW4X</t>
  </si>
  <si>
    <t>Deixar de atender à condicionante n° 1 estabelecida na Licença Ambiental de Operação n° 16/2020 da SEMMAT (ANAPU-PA).</t>
  </si>
  <si>
    <t>2021-02-02 16:30:14</t>
  </si>
  <si>
    <t>Serraria Santa Maria - Av. Santana, s/n - Bairro Novo Panorama - Anapu</t>
  </si>
  <si>
    <t>2021-02-23 22:28:37</t>
  </si>
  <si>
    <t>66, Inciso II Decreto 6.514/2008.</t>
  </si>
  <si>
    <t>I82VDK3S</t>
  </si>
  <si>
    <t>Apresentar informação falsa em sistema oficial de controle  - Sistema DOF,  com o recebimento de créditos indevidos, originados de rota inversa, conforme Processo Investigatório 02024.002791/2020-11 e Relatório de Constatação (xxx).</t>
  </si>
  <si>
    <t>2021-02-02 16:24:18</t>
  </si>
  <si>
    <t>Coral Madeiras Ltda ME</t>
  </si>
  <si>
    <t>2021-02-02 16:30:16</t>
  </si>
  <si>
    <t>G6WXR45J</t>
  </si>
  <si>
    <t>Deixar de atender às exigências constantes na Notificação n° G0S1PG2C, recebido em 28.11.2020, o prazo para atendimento expirou em 27.01.21. A Licença Ambiental, matrícula do imóvel e faturamento bruto anual dos últimos 5 anos não foram apresentados.</t>
  </si>
  <si>
    <t>2021-02-02 16:00:00</t>
  </si>
  <si>
    <t>Rod. MS 184, Estrada Parque Km O8, Passo do Lontra, Corumbá/MS.</t>
  </si>
  <si>
    <t>2021-02-08 12:16:25</t>
  </si>
  <si>
    <t>ISY8QDYA</t>
  </si>
  <si>
    <t>Apresentar informação falsa em sistema oficial de controle  - Sistema DOF,  com o recebimento de créditos indevidos de madeira,  originados de rota inversa, conforme Processo Investigatório 02024.002791/2020-11 e Relatório de Constatação (xxx).</t>
  </si>
  <si>
    <t>KBC INDUSTRIA, COMERCIO E TRANSPORTE DE MADEIRAS EIRELI - EP</t>
  </si>
  <si>
    <t>KBC Indústria Comércio e Transporte de Madeiras Eireli</t>
  </si>
  <si>
    <t>2021-02-09 10:57:45</t>
  </si>
  <si>
    <t>., . IN Conjunta 02/2029.</t>
  </si>
  <si>
    <t>FH3FK2JE</t>
  </si>
  <si>
    <t>Apresentar informação falsa em sistema oficial de controle - Sistema DOF,  com o recebimento de créditos indevidos de madeira,  conforme Processo Investigatório 02024.002791/2020-11 e Relatório de Constatação (xxx).</t>
  </si>
  <si>
    <t>PANDA INDUSTRIA E COMERCIO DE MADEIRAS LTDA - EPP</t>
  </si>
  <si>
    <t>PANDA Indústria e Comércio de Madeiras Ltda-ME</t>
  </si>
  <si>
    <t>2021-02-09 10:58:03</t>
  </si>
  <si>
    <t>P38EL9K0</t>
  </si>
  <si>
    <t>2021-02-02 15:48:46</t>
  </si>
  <si>
    <t>2021-02-02 15:52:25</t>
  </si>
  <si>
    <t>FDN58IUG</t>
  </si>
  <si>
    <t>Transportar 58,26 metros cúbicos de madeira serrada sem licença válida para todo o tempo de viagem, outorgada pela autoridade competente, conforme BO/PRF xxx.</t>
  </si>
  <si>
    <t>2021-02-02 15:14:33</t>
  </si>
  <si>
    <t>Eugbergh Oliveira dos Reis</t>
  </si>
  <si>
    <t>2021-03-01 08:42:00</t>
  </si>
  <si>
    <t>XQFMNT95</t>
  </si>
  <si>
    <t>Apresentar informação falsa em sistema oficial de controle  - Sistema DOF,  com recebimento de créditos indevidos de madeira,  conforme Processo Investigatório 02024.002791/2020-11 e Relatório de Constatação (xxx).</t>
  </si>
  <si>
    <t>2021-02-02 15:00:00</t>
  </si>
  <si>
    <t>SERRARIA PONTE BONITA EIRELI EPP</t>
  </si>
  <si>
    <t>Serraria Ponte Bonita Eirelli - EPP</t>
  </si>
  <si>
    <t>2021-02-09 10:58:46</t>
  </si>
  <si>
    <t>3I1XPCS1</t>
  </si>
  <si>
    <t>Apresentar informação falsa em sistema oficial de controle - Sistema DOF, com o recebimento de créditos indevidos de madeira de rota inversa, conforme Processo Investigativo 02024.002791/2020-11 e Relatório de Constatação (xxx).</t>
  </si>
  <si>
    <t>WASTE COMPRA E VENDA DE SUCATAS EIRELI</t>
  </si>
  <si>
    <t>Rondomadeiras Ind. Depois. Madeiras Ltda - ME</t>
  </si>
  <si>
    <t>2021-02-09 10:59:22</t>
  </si>
  <si>
    <t>5RATOJDF</t>
  </si>
  <si>
    <t>Apresentar informação falsa em sistema oficial de controle - Sistema DOF, com recebimento de créditos indevidos de madeira, originados de rota inversa, conforme Processo Investigatório 02024.002791/2020-11 e Relatório de Constatação (xxx).</t>
  </si>
  <si>
    <t>Comércio de Madeiras FOX Ltda - ME</t>
  </si>
  <si>
    <t>2021-02-09 11:01:04</t>
  </si>
  <si>
    <t>3MWGJDLZ</t>
  </si>
  <si>
    <t>J. M. PORTAS &amp; PORTAIS LTDA ME</t>
  </si>
  <si>
    <t>J.M. Portas e Portais Ltda</t>
  </si>
  <si>
    <t>2021-02-09 11:17:27</t>
  </si>
  <si>
    <t>YRNCV2XW</t>
  </si>
  <si>
    <t>Ter em depósito 6,636 m3 de madeira serrada nativa, sem licença válida outorgada pela autoridade ambiental competente.</t>
  </si>
  <si>
    <t>2021-02-02 14:55:16</t>
  </si>
  <si>
    <t>Santa Maria Indústria e Comércio e Exportação de Madeiras Eireli</t>
  </si>
  <si>
    <t>2021-02-03 09:04:13</t>
  </si>
  <si>
    <t>GV64Y9UE</t>
  </si>
  <si>
    <t>Transportar 46,199 metros cúbicos de madeiras serradas, originárias da Floresta Amazônica, sem licença ambiental válida, apresentando Guia Florestal falsificada).</t>
  </si>
  <si>
    <t>2021-02-02 14:00:00</t>
  </si>
  <si>
    <t>2021-02-23 17:37:34</t>
  </si>
  <si>
    <t>GPQAZDDG</t>
  </si>
  <si>
    <t>Transportar 40 metros cúbicos de madeira serrada sem licença válida (DOF) para todo o tempo de viagem, outorgada pela autoridade competente, conforme BO/PRF xxx.</t>
  </si>
  <si>
    <t>2021-02-02 13:16:45</t>
  </si>
  <si>
    <t>David Vargas</t>
  </si>
  <si>
    <t>Rodovia BR 319, km 678</t>
  </si>
  <si>
    <t>2021-03-01 08:35:47</t>
  </si>
  <si>
    <t>3K9TIJS6</t>
  </si>
  <si>
    <t>Transportar 50 metros cúbicos de madeira serrada sem licença válida (DOF) para todo o tempo de viagem, outorgada pela autoridade competente, conforme BO/PRF xxx.</t>
  </si>
  <si>
    <t>2021-02-02 13:05:17</t>
  </si>
  <si>
    <t>Marcos Roberto dos Reis Silva</t>
  </si>
  <si>
    <t>2021-03-01 09:49:26</t>
  </si>
  <si>
    <t>6WIN5ULS</t>
  </si>
  <si>
    <t>Deixar de manter registro atualizado de acervo faunístico e movimentação de plantel em sistemas informatizados de controle de fauna.  No caso o interessado movimentou a ave de anilha Ibama 04/05 2,4 043260 de seu plantel para outro criador inscrito no Sispass sem realizar a prega movimentação no sistema</t>
  </si>
  <si>
    <t>2021-02-02 13:00:00</t>
  </si>
  <si>
    <t>ALEXANDRE BERTOLAZZI</t>
  </si>
  <si>
    <t>Criador amador passeriforme Alexandre bertolazzi. Aeroporto internacional de Viracopos</t>
  </si>
  <si>
    <t>2021-02-03 08:46:24</t>
  </si>
  <si>
    <t>73ZDBXTZ</t>
  </si>
  <si>
    <t>Descumprir termo de Embargo n° 1093-C, após devidamente notificado sobre a necessidade de deixar a área embargada em regeneração, conforme Ofício n° xxx.</t>
  </si>
  <si>
    <t>Santa Teresa</t>
  </si>
  <si>
    <t>JOVANY PASOLINI</t>
  </si>
  <si>
    <t>Fazenda Conquista</t>
  </si>
  <si>
    <t>2021-02-10 08:57:46</t>
  </si>
  <si>
    <t>NZ1VKEON</t>
  </si>
  <si>
    <t>Apresentar informação falsa em sistema oficial de controle ao receber o DOF 24167929 ideologicamente falso, objeto de apreensão no BO/PRF xxx.</t>
  </si>
  <si>
    <t>2021-02-02 12:30:25</t>
  </si>
  <si>
    <t>PORTAL MADEIRAS E MATERIAIS PARA CONSTRUCAO LTDA ME</t>
  </si>
  <si>
    <t>2021-03-01 09:42:37</t>
  </si>
  <si>
    <t>82 Decreto 6514; 70 1º Lei 9605; 72 Lei 9605; 3º II Decreto 6514; 3º VI Decreto 6514.</t>
  </si>
  <si>
    <t>D0TROLLV</t>
  </si>
  <si>
    <t>Apresentar informação falsa em sistema oficial de controle ao receber o DOF 24080407 ideologicamente falso, objeto de apreensão no BO/PRF xxx.</t>
  </si>
  <si>
    <t>2021-02-02 12:18:48</t>
  </si>
  <si>
    <t>G M F TRANSPORTES E LIMPEZA DE PISCINAS LTDA ME</t>
  </si>
  <si>
    <t>Rodovia BR 230, km 619</t>
  </si>
  <si>
    <t>2021-03-01 10:07:34</t>
  </si>
  <si>
    <t>ESGG3C61</t>
  </si>
  <si>
    <t>Impedir a regeneração da vegetação nativa da mata atlântica, área especialmente protegida pela Lei 11.428/06, em 05 áreas distintas, totalizando 1,586 hectares na fazenda conquista.</t>
  </si>
  <si>
    <t>2021-02-02 12:00:00</t>
  </si>
  <si>
    <t>Faz. Conquista</t>
  </si>
  <si>
    <t>2021-02-10 09:00:45</t>
  </si>
  <si>
    <t>5°, - Lei 11.428/2006.</t>
  </si>
  <si>
    <t>LUCL6WZS</t>
  </si>
  <si>
    <t>Apresentar informação falsa em sistema oficial de controle ao emitir o DOF 24080407, ideologicamente falso, conforme BO/PRF xxx.</t>
  </si>
  <si>
    <t>2021-02-02 11:27:23</t>
  </si>
  <si>
    <t>M J COM. VAREJISTA DE MADEIRA LTDA</t>
  </si>
  <si>
    <t>2021-03-01 10:42:05</t>
  </si>
  <si>
    <t>8SZPXF66</t>
  </si>
  <si>
    <t>Comercialiar espécimes provenientes da coleta, apanha e pesca proibida 57 kg de caranguejo Guaiamum.</t>
  </si>
  <si>
    <t>2021-02-02 11:25:56</t>
  </si>
  <si>
    <t>Cabedelo</t>
  </si>
  <si>
    <t>GM BAR E RESTAURANTE EIRELE.ME</t>
  </si>
  <si>
    <t>Praia de Camboinha</t>
  </si>
  <si>
    <t>PIR CARCINOS-PB</t>
  </si>
  <si>
    <t>2021-02-02 11:48:57</t>
  </si>
  <si>
    <t>35 III Decreto 6514; 70 1º Lei 9605; 72 Lei 9605; 3º II Decreto 6514; 3º IV Decreto 6514.</t>
  </si>
  <si>
    <t>JBAOCSIP</t>
  </si>
  <si>
    <t>Transportar 34,495 metros cúbicos de madeira serrada sem licença válida para todo o tempo de viagem, outorgada pela autoridade competente  (DOF 24080407 ideologicamente falso), conforme BO/PRF xxx.</t>
  </si>
  <si>
    <t>2021-02-02 10:41:01</t>
  </si>
  <si>
    <t>JOVAIR ALVES DE ARAUJO JUNIOR</t>
  </si>
  <si>
    <t>2021-03-01 08:28:23</t>
  </si>
  <si>
    <t>L78ZZ6W1</t>
  </si>
  <si>
    <t>Apresentar informação falsa em sistema oficial de controle ao emitir o DOF 24167929 ideologicamente falso, conforme BO/PRF xxx.</t>
  </si>
  <si>
    <t>2021-02-02 10:10:08</t>
  </si>
  <si>
    <t>2021-03-01 09:30:18</t>
  </si>
  <si>
    <t>ITQLQ655</t>
  </si>
  <si>
    <t>2021-02-02 10:00:00</t>
  </si>
  <si>
    <t>UNIÃO COMBUSTIVEIS E SERVIÇOS LTDA</t>
  </si>
  <si>
    <t>2021-02-03 14:16:04</t>
  </si>
  <si>
    <t>LBM9EQEU</t>
  </si>
  <si>
    <t>Ter em depósito 400,561 m³ de madeiras, sendo 253,046 m³ em toras de diversas espécies florestais e 147,515 m³ de madeira serrada de diversas espécies florestais, sem a devida autorização do órgão ambiental competente.</t>
  </si>
  <si>
    <t>Marcelândia</t>
  </si>
  <si>
    <t>EVERALDO DALLANOL</t>
  </si>
  <si>
    <t>Av. Colonizador José Bianchini, Km 2,5.</t>
  </si>
  <si>
    <t>SER JOIO I</t>
  </si>
  <si>
    <t>2021-02-05 17:29:04</t>
  </si>
  <si>
    <t>95KO5L8C</t>
  </si>
  <si>
    <t>Deixar de atender à 1ª condicionante estabelecida na licença ambiental de Operação N° 249/2018 da SEMMAT (Anapu-PA).</t>
  </si>
  <si>
    <t>Anapu Com. e Exportação de Madeira Ltda. - Rod. BR 230 - Transamazônica - KM 141 - Zona Rural</t>
  </si>
  <si>
    <t>2021-02-25 09:30:22</t>
  </si>
  <si>
    <t>3 Inc. 2,7 Decreto 6514/2008; 70 § 1 Lei 9605/98; 72 Lei 9605/98.</t>
  </si>
  <si>
    <t>66, II Decreto 6.514/2008.</t>
  </si>
  <si>
    <t>WTNJ8GK0</t>
  </si>
  <si>
    <t>Transportar 22,0056 metros cúbicos de madeira serrada sem licença válida para todo o tempo de viagem, outorgada pela autoridade competente  (DOF 24167929 ideologicamente falso), conforme BO/PRF xxx.</t>
  </si>
  <si>
    <t>2021-02-02 09:56:49</t>
  </si>
  <si>
    <t>Claudinei Morando</t>
  </si>
  <si>
    <t>2021-03-01 08:23:40</t>
  </si>
  <si>
    <t>AN8DQB2D</t>
  </si>
  <si>
    <t>DEIXOU DE ATENDER A NOTIFICAÇÃO N 672912 E.</t>
  </si>
  <si>
    <t>2021-02-02 05:00:00</t>
  </si>
  <si>
    <t>Guaraí</t>
  </si>
  <si>
    <t>LUCIMAR CECONELLO</t>
  </si>
  <si>
    <t>AV PARAÍBA 2100 CENTRO GUARAÍ TO</t>
  </si>
  <si>
    <t>2021-02-02 00:00:00</t>
  </si>
  <si>
    <t>2021-02-02 10:24:01</t>
  </si>
  <si>
    <t>NDFCMVKE</t>
  </si>
  <si>
    <t>Fazer funcionar estabelecimento utilizador de recursos ambientais, sem licença dos órgãos ambientais competentes.</t>
  </si>
  <si>
    <t>2021-02-01 23:09:32</t>
  </si>
  <si>
    <t>Campo Grande</t>
  </si>
  <si>
    <t>JOSÉ ANTÔNIO LUCAS</t>
  </si>
  <si>
    <t>Rua Teodoro Carvalho, 457 - Conjunto José Abrão</t>
  </si>
  <si>
    <t>2021-02-11 19:21:16</t>
  </si>
  <si>
    <t>KDS8DRZX</t>
  </si>
  <si>
    <t>Cortar árvores em 1,43 hectares em área considerada de preservação permanente as margens do Rio São Francisco, no imóvel denominado Chácara Aconchego, município de Piranhas-AL.</t>
  </si>
  <si>
    <t>2021-02-01 23:00:00</t>
  </si>
  <si>
    <t>WASHINGTON LUIZ DAMASCENO FREITAS</t>
  </si>
  <si>
    <t>Chácara Aconchego, município de Piranhas-AL</t>
  </si>
  <si>
    <t>2021-02-05 19:20:01</t>
  </si>
  <si>
    <t>44 Decreto 6514/2008.</t>
  </si>
  <si>
    <t>WYRFCTM8</t>
  </si>
  <si>
    <t>Impedir a regeneração natural de 6,54 hectares de vegetação nativa em Área de Preservação Permanente às margens do Rio São Francisco, no imóvel denominado Chácara Aconchego, Piranhas/AL.</t>
  </si>
  <si>
    <t>2021-02-01 20:00:00</t>
  </si>
  <si>
    <t>Chácara Aconchego</t>
  </si>
  <si>
    <t>2021-02-05 18:58:24</t>
  </si>
  <si>
    <t>47I0U5DJ</t>
  </si>
  <si>
    <t>Pescar 5 kg de Caranguejo-uçá em período no qual a pesca seja proibida.</t>
  </si>
  <si>
    <t>Macau</t>
  </si>
  <si>
    <t>Francisco Ewerton dos Santos</t>
  </si>
  <si>
    <t>Salinor, Alagamar, Macau - RN. Francisco Ewerton.</t>
  </si>
  <si>
    <t>CARCINOS</t>
  </si>
  <si>
    <t>2021-02-09 10:20:23</t>
  </si>
  <si>
    <t>35 Decreto 6514/2008.</t>
  </si>
  <si>
    <t>2°, I - b Portaria SAP/MAPA 325/20.</t>
  </si>
  <si>
    <t>49FNXE5C</t>
  </si>
  <si>
    <t>Pescar 20 kg de Caranguejo-uçá, em período no qual a pesca seja proibida.</t>
  </si>
  <si>
    <t>Francisco Alves da Silva</t>
  </si>
  <si>
    <t>Salinor, Alagamar, Macau - RN</t>
  </si>
  <si>
    <t>2021-02-09 10:21:16</t>
  </si>
  <si>
    <t>VFUPB8E8</t>
  </si>
  <si>
    <t>Comercializar espécimes provenientes da coleta/pesca proibida.</t>
  </si>
  <si>
    <t>2021-02-01 17:53:14</t>
  </si>
  <si>
    <t>Santa Rita</t>
  </si>
  <si>
    <t>Severina Joaquim da Silva</t>
  </si>
  <si>
    <t>Rua Anézio Alves de Miranda S/N, Forte Velho, Santa Rita.</t>
  </si>
  <si>
    <t>2021-02-09 09:19:21</t>
  </si>
  <si>
    <t>3IGNI0P2</t>
  </si>
  <si>
    <t>Dificultar a fiscalização, por exercer a pesca em agosto de 2020, na qualidade de Mestre de Pesca, com a utilização da embarcação traineira "José Augusto I" (TIE 443-009156-1 / RGP RJ 0001249-7) com o Equipamento de Rastreamento por Satélite intencionalmente desligado, por motivo não previsto nas normas, situação na qual foi captuda espécie proibida.</t>
  </si>
  <si>
    <t>2021-02-01 17:00:00</t>
  </si>
  <si>
    <t>Joelson Delfino Joaquim</t>
  </si>
  <si>
    <t>Cais do Porto Pesqueiro de Rio Grande</t>
  </si>
  <si>
    <t>2021-02-03 12:37:08</t>
  </si>
  <si>
    <t>7o , caput INI SEAP-PR / MMA / CM n.o 02/06.</t>
  </si>
  <si>
    <t>SNWFQBIJ</t>
  </si>
  <si>
    <t>Ter em depósito 14,823 m3 de madeira serrada nativa, sem licença válida outorgada pela autoridade ambiental competente.</t>
  </si>
  <si>
    <t>2021-02-01</t>
  </si>
  <si>
    <t>O. T. DE SOUZA INDUSTRIA E COMERCIO DE MADEIRAS EIRELI</t>
  </si>
  <si>
    <t>O.T. DE SOUZA INDUSTRIA E COMÉRCIO DE MADEIRAS EIRELI</t>
  </si>
  <si>
    <t>2021-02-22 12:03:32</t>
  </si>
  <si>
    <t>KDGCXOR5</t>
  </si>
  <si>
    <t>Ter em cativeiro dois espécimes da fauna silvestre nativa (dois Amazona aestiva- papagaio verdadeiro) sem a devida autorização da autoridade ambiental competente.</t>
  </si>
  <si>
    <t>2021-02-01 16:00:00</t>
  </si>
  <si>
    <t>Maria da Conceição Silva</t>
  </si>
  <si>
    <t>Remoto</t>
  </si>
  <si>
    <t>2021-02-09 10:47:05</t>
  </si>
  <si>
    <t>VZQVX061</t>
  </si>
  <si>
    <t>Deixar de atender exigências legais referentes descumprimento do prazo para apresentação da revisão do plano de proteção à fauna e as áreas vulneráveis da área geográfica da Bacia do espírito santo (PPFAV-ES), estabelecido no ofício nº xxx. Conforme Parecer técnico nº xxx,</t>
  </si>
  <si>
    <t>PETROLEO BRASILEIRO SA PETROBRAS - UN-ES</t>
  </si>
  <si>
    <t>Unidade de Operações de Exploração e Produção da Bacia de Sergipe e Alagoas (UO-SEAL)</t>
  </si>
  <si>
    <t>2021-02-12 07:41:54</t>
  </si>
  <si>
    <t>5HJ8ZPFZ</t>
  </si>
  <si>
    <t>Fazer funcionar atividade potencialmente poluidora (CARVOARIA), sem Licença de Operação.</t>
  </si>
  <si>
    <t>Dimas Dias de Oliveira</t>
  </si>
  <si>
    <t>Rod. BR 230 km 142, Vininal do Ajax, Anapu-PA</t>
  </si>
  <si>
    <t>2021-02-18 13:21:15</t>
  </si>
  <si>
    <t>5548WL14</t>
  </si>
  <si>
    <t>Multa diária</t>
  </si>
  <si>
    <t>Deixar de atender a condicionante n° 1 da licença ambiental de Operação n° 13/195558910.</t>
  </si>
  <si>
    <t>2021-02-01 15:14:57</t>
  </si>
  <si>
    <t>Serraria O.T. DE SOUZA INDÚSTRIA E COMÉRCIO DE MADEIRAS EIRELI - Rodovia Transamazônica, km 142,</t>
  </si>
  <si>
    <t>2021-02-23 22:30:25</t>
  </si>
  <si>
    <t>70 1º Lei 9605; 72 Lei 9605; 3º III Decreto 6514; 3º VII Decreto 6514.</t>
  </si>
  <si>
    <t>66, Inciso II Decreto n° 6514/2008..</t>
  </si>
  <si>
    <t>W1YPPXCU</t>
  </si>
  <si>
    <t>Dificultar a ação do Poder Público no exercício de atividades de fiscalização ambiental.</t>
  </si>
  <si>
    <t>2021-02-01 15:00:00</t>
  </si>
  <si>
    <t>SALINOR - SALINAS DO NORDESTE S/A</t>
  </si>
  <si>
    <t>Salinor - Macau RN.</t>
  </si>
  <si>
    <t>2021-02-09 10:21:44</t>
  </si>
  <si>
    <t>2, I - b Portaria Sap/MAPA 325/20.</t>
  </si>
  <si>
    <t>6OWR53DM</t>
  </si>
  <si>
    <t>Deixar de atender a condicionantes 1 da licença de operação  191/186628471 da SEMMAT/ANAPU-PA.</t>
  </si>
  <si>
    <t>SERRARIA PANCIERI INDUSTRIA E COMERCIO DE MADEIRAS EIRELI</t>
  </si>
  <si>
    <t>Rod BR 230 km 142, Vicinal do Ajax km 01 s/n</t>
  </si>
  <si>
    <t>2021-02-25 09:31:38</t>
  </si>
  <si>
    <t>66, inc II Decreto n. 6514/2008.</t>
  </si>
  <si>
    <t>AMVYQLQ2</t>
  </si>
  <si>
    <t>Destruir 14,29 hectares de vegetação nativa do bioma Pantanal (objeto especial de preservação), sem autorização ambiental na fazenda Liberdade,município de Corumbá/MS, referente parecer xxx -ID 1227.</t>
  </si>
  <si>
    <t>2021-02-01 14:06:28</t>
  </si>
  <si>
    <t>CONSTANCIA DOS SANTOS E SOUZA</t>
  </si>
  <si>
    <t>Fazenda Liberdade, Corumbá/MS.</t>
  </si>
  <si>
    <t>2021-02-08 12:38:46</t>
  </si>
  <si>
    <t>31WRGMXO</t>
  </si>
  <si>
    <t>Exercer a pesca da espécie corvina (Micropogonias furnieri) com petrecho proibido para a pesca da espécie (rede de cerco), utilizando a embarcação traineira JOSÉ AUGUSTO I (TIE 443-009156-1 / RGP RJ 0001249-7), na qualidade de mestre de pesca, em agosto de 2020.</t>
  </si>
  <si>
    <t>2021-02-01 14:00:00</t>
  </si>
  <si>
    <t>Cais do Porto Pesqueiro</t>
  </si>
  <si>
    <t>2021-02-03 12:29:17</t>
  </si>
  <si>
    <t>35 Inc. 2 Decreto 6514/2008.</t>
  </si>
  <si>
    <t>1o, caput Portaria IBAMA n.o 43/2007.</t>
  </si>
  <si>
    <t>8VZH5VGB</t>
  </si>
  <si>
    <t>Exercer a pesca de espécie corvina (Micropogonias furnieri) com petrecho proibido para a pesca da espécie (rede de cerco), utilizando a embarcação JOSÉ AUGUSTO I (TIE 443-009156-1 / RGP RJ 0001249-7), na qualidade de proprietário, em agosto de 2020.</t>
  </si>
  <si>
    <t>Dalma De Souza Piaz</t>
  </si>
  <si>
    <t>Cais do Porto Pesqueiro - Rio Grande</t>
  </si>
  <si>
    <t>2021-02-03 18:05:20</t>
  </si>
  <si>
    <t>OBMIENXP</t>
  </si>
  <si>
    <t>Ter em cativeiro um espécime de ave (Golinha) da fauna silvestre nativa, sem a devida permissão, licença ou autorização da autoridade ambiental competente.</t>
  </si>
  <si>
    <t>Lindomar Sales Torres</t>
  </si>
  <si>
    <t>Rua do Meio da Vila U da Salina Salinor. Alagamar.</t>
  </si>
  <si>
    <t>2021-02-09 10:22:10</t>
  </si>
  <si>
    <t>24 § 3 Decreto 6514/2008.</t>
  </si>
  <si>
    <t>KKGB485C</t>
  </si>
  <si>
    <t>Ter em depósito 196,288 metros cúbicos de madeira, sendo 166,249 em toras e 30,039 serradas, sem licença válida outorgada pela autoridade competente.</t>
  </si>
  <si>
    <t>Rod BR 230 KM 142  Vicinall do Ajax km 01 s/n</t>
  </si>
  <si>
    <t>2021-02-25 09:33:40</t>
  </si>
  <si>
    <t>EL8VXTLV</t>
  </si>
  <si>
    <t>Apresentar informação e relatório ambiental falsos no sistema oficial de controle Cadastro Técnico Federal CTF no ano 2020 (Referência Processo de Apuração de Infração Ambiental 02026.0002102021-78).</t>
  </si>
  <si>
    <t>2021-02-01 12:42:31</t>
  </si>
  <si>
    <t>NS IMPORTAÇÃO E COMERCIO LTDA/Divisão Química.</t>
  </si>
  <si>
    <t>2021-02-01 12:48:02</t>
  </si>
  <si>
    <t>EKKRH5O3</t>
  </si>
  <si>
    <t>Apresentar informação e relatório ambiental falsos no sistema oficial de controle Cadastro Técnico Federal CTF no 2019 (Referência Processo de Apuração de Infração Ambiental 02026.0002092021-43).</t>
  </si>
  <si>
    <t>2021-02-01 12:33:45</t>
  </si>
  <si>
    <t>2021-02-01 12:39:59</t>
  </si>
  <si>
    <t>WXZMDC86</t>
  </si>
  <si>
    <t>Apresentar informação e relatório ambiental falsos no sistema oficial de controle Cadastro Técnico Federal CTF no 2018 (Referência Processo de Apuração de Infração Ambiental 02026.0002082021-07)</t>
  </si>
  <si>
    <t>2021-02-01 12:25:01</t>
  </si>
  <si>
    <t>2021-02-01 12:30:56</t>
  </si>
  <si>
    <t>GF4E49KN</t>
  </si>
  <si>
    <t>Apresentar informação e relatório ambiental falsos no sistema oficial de controle Cadastro Técnico Federal CTF no ano 2017 (Referência Processo de Apuração de Infração Ambiental 02026.0002072021-54).</t>
  </si>
  <si>
    <t>2021-02-01 12:14:32</t>
  </si>
  <si>
    <t>2021-02-01 12:22:05</t>
  </si>
  <si>
    <t>RAOJ71FB</t>
  </si>
  <si>
    <t>Comercializar 3 kg de Caranguejo-uça, proveniente de pesca proibida.</t>
  </si>
  <si>
    <t>2021-02-01 12:00:00</t>
  </si>
  <si>
    <t>Francisco de Assis de Lima</t>
  </si>
  <si>
    <t>Barraca Manteiga Eventos. Orla de Macau RN.</t>
  </si>
  <si>
    <t>2021-02-09 10:22:44</t>
  </si>
  <si>
    <t>35 Inc. 3 Decreto 6514/2008.</t>
  </si>
  <si>
    <t>WO5KQ16P</t>
  </si>
  <si>
    <t>Apresentar informação e relatório ambiental falsos no sistema oficial de controle ¿Cadastro Técnico Federal CTF¿ no 2016 (Referência Processo de Apuração de Infração Ambiental 02026.0002062021-18).</t>
  </si>
  <si>
    <t>2021-02-01 11:51:52</t>
  </si>
  <si>
    <t>2021-02-01 12:10:53</t>
  </si>
  <si>
    <t>M27QDQE1</t>
  </si>
  <si>
    <t>Deixar de apresentar os relatórios anuais de atividades poluidoras nos prazos exigidos pela legislação no sistema oficial de controle do IBAMA CTF relativos aos anos 2016/2015, 2017/2016 e 2018/2017.</t>
  </si>
  <si>
    <t>2021-02-01 11:00:00</t>
  </si>
  <si>
    <t>São Pedro do Piauí</t>
  </si>
  <si>
    <t>J. A. SILVA MERCADINHO</t>
  </si>
  <si>
    <t>2021-02-03 14:17:37</t>
  </si>
  <si>
    <t>EEIGU5GB</t>
  </si>
  <si>
    <t>FAZER FUNCIONAR ESTABELECIMENTO QUE EXERCE ATIVIDADES DE COMERCIALIZAÇÃO DE ALIMENTOS E BEBIDAS, POTENCIALMENTE POLUIDORAS, SEM LICENÇA OU AUTORIZAÇÃO DO ÓRGÃO AMBIENTAL COMPETENTE, CONFORME CONTEÚDO DO PROC. 02003.102576/2017-62 (IBAMA).</t>
  </si>
  <si>
    <t>ARIANE SILVA DOS SANTOS</t>
  </si>
  <si>
    <t>BARRACA DA MARIA - Rua Edson Frazão s/n - Lot. Recanto dos Caetés - Barra de São Miguel - AL</t>
  </si>
  <si>
    <t>2021-02-05 19:04:50</t>
  </si>
  <si>
    <t>AWUZSHOC</t>
  </si>
  <si>
    <t>FAZER FUNCIONAR ESTABELECIMENTO QUE EXERCE ATIVIDADES DE COMERCIALIZAÇÃO DE ALIMENTOS E BEBIDAS, POTENCIALMENTE POLUIDORAS, SEM LICENÇA OU AUTORIZAÇÃO DO ÓRGÃO AMBIENTAL COMPETENTE, CONFORME CONTEÚDO DO PROC. 02003.102579/2017-04 (IBAMA).</t>
  </si>
  <si>
    <t>MARIA VERÔNICA DA SILVA LOURENTINO</t>
  </si>
  <si>
    <t>BARRACA DO JONAS - Rua Edson Frazão s/n - Lot. Recanto dos Caetés - Barra de São Miguel - AL.</t>
  </si>
  <si>
    <t>2021-02-05 19:20:29</t>
  </si>
  <si>
    <t>XDEV3KYH</t>
  </si>
  <si>
    <t>Ter em cativeiro 02(duas) aves silvestre da fauna silvestre brasileira, denominadas popularmente de Sanhaço e Encontro de Ouro, sem a devida permissão da autoridade competente.</t>
  </si>
  <si>
    <t>Orla de Macau-RN</t>
  </si>
  <si>
    <t>2021-02-07 00:00:00</t>
  </si>
  <si>
    <t>2021-02-07 15:34:52</t>
  </si>
  <si>
    <t>24 Inc. 1,3, § 1 Decreto 6514/2008.</t>
  </si>
  <si>
    <t>V431Y9XE</t>
  </si>
  <si>
    <t>Deixar de atender a condicionante N°1 estabelecida na Licença Ambiental de Operação n° 140/2018 da SEMMAT/PA - "acondicionar os resíduos em locais apropriados (impermeável, seco e coberto), encaminhar para uma empresa licenciada até o recolhimento periódico dos mesmos para que sejam dados tratamento e destinação final adequados, com o posterior envio a esta SEMMAT da cópia dos documentos comprobatórios referentes a essa coleta por ocasião da entrega do Relatório de Informação Ambiental Anual - RIAA."</t>
  </si>
  <si>
    <t>2021-02-01 10:20:16</t>
  </si>
  <si>
    <t>Rodovia Transamazônica Km 80, S/N - Vicinal do Flamingo, lote 87, Zona Rural</t>
  </si>
  <si>
    <t>2021-02-23 22:31:47</t>
  </si>
  <si>
    <t>66, Inciso II Decreto n° 6.514/2008.</t>
  </si>
  <si>
    <t>1SAEB1GJ</t>
  </si>
  <si>
    <t>Descumprir embargo de area</t>
  </si>
  <si>
    <t>2021-02-01 09:48:39</t>
  </si>
  <si>
    <t>Frei Paulo</t>
  </si>
  <si>
    <t>ELENILSON ANDRADE DE SOUZA</t>
  </si>
  <si>
    <t>fazenda campinas , zona rural, frei paulo-se</t>
  </si>
  <si>
    <t>2021-02-01 10:21:06</t>
  </si>
  <si>
    <t>79 Decreto 6514; 70 1º Lei 9605; 72 Lei 9605; 3º II Decreto 6514; 3º VII Decreto 6514.</t>
  </si>
  <si>
    <t>KFVNNPJ5</t>
  </si>
  <si>
    <t>Desmatar 0,1212 hectares de floresta nativa, mediante o uso do fogo, sem autorização da autoridade competente.</t>
  </si>
  <si>
    <t>2021-02-01 09:27:47</t>
  </si>
  <si>
    <t>Jacaraú</t>
  </si>
  <si>
    <t>Orlando Pereira da Silva</t>
  </si>
  <si>
    <t>Sítio Macêdo, zona rural</t>
  </si>
  <si>
    <t>2021-02-09 09:19:32</t>
  </si>
  <si>
    <t>52 Decreto 6514; 60 Decreto 6514; 70 1º Lei 9605; 72 Lei 9605; 3º II Decreto 6514; 3º VII Decreto 6514.</t>
  </si>
  <si>
    <t>J0PG0AJV</t>
  </si>
  <si>
    <t>Desmatar a corte raso floresta nativa, sem autorização da autoridade competente.</t>
  </si>
  <si>
    <t>2021-02-01 09:06:05</t>
  </si>
  <si>
    <t>José Francisco de Farias Filho</t>
  </si>
  <si>
    <t>Sítio Macedo S/N, zona rural</t>
  </si>
  <si>
    <t>2021-02-09 09:19:44</t>
  </si>
  <si>
    <t>O66RWXEA</t>
  </si>
  <si>
    <t>2021-02-01 09:00:00</t>
  </si>
  <si>
    <t>Mauro Roberto Adolfo</t>
  </si>
  <si>
    <t>Residência do autuado.</t>
  </si>
  <si>
    <t>2021-02-10 09:07:00</t>
  </si>
  <si>
    <t>MS8MJMMH</t>
  </si>
  <si>
    <t>Ter em cativeiro 13 passeriformes da fauna silvestre nativa sem a devida licença ou autorização da autoridade ambiental competente, conforme descrito no Termo Circunstanciado de Ocorrência n° xxx, emitido pela Polícia Rodoviária Federal-PRF.</t>
  </si>
  <si>
    <t>2021-02-01 07:07:17</t>
  </si>
  <si>
    <t>Teotônio Vilela</t>
  </si>
  <si>
    <t>Cícero Reis</t>
  </si>
  <si>
    <t>Rodovia BR 101 km 177</t>
  </si>
  <si>
    <t>2021-02-01 14:43:50</t>
  </si>
  <si>
    <t>24 I Decreto 6514; 24 II Decreto 6514; 24 III Decreto 6514; 70 1º Lei 9605; 72 Lei 9605; 3º II Decreto 6514.</t>
  </si>
  <si>
    <t>A7WUV1BI</t>
  </si>
  <si>
    <t>2021-01-31 18:00:00</t>
  </si>
  <si>
    <t>2021-01-31</t>
  </si>
  <si>
    <t>LUIS BORGES DE OLIVEIRA</t>
  </si>
  <si>
    <t>2021-02-10 09:16:16</t>
  </si>
  <si>
    <t>8KPQ084P</t>
  </si>
  <si>
    <t>MATHIAS FERREIRA DA SILVA</t>
  </si>
  <si>
    <t>2021-02-10 09:21:11</t>
  </si>
  <si>
    <t>PFNX6DDQ</t>
  </si>
  <si>
    <t>Pescar caranguejo uca em período de andada, conforme Portaria 22-R/2020 SEAMA-ES.</t>
  </si>
  <si>
    <t>2021-01-31 16:00:00</t>
  </si>
  <si>
    <t>Lucas Araujo Santos</t>
  </si>
  <si>
    <t>Mangue do Mandoca</t>
  </si>
  <si>
    <t>2021-02-10 14:43:36</t>
  </si>
  <si>
    <t>T71QBN3R</t>
  </si>
  <si>
    <t>Comercializar 07(sete) kg de Caranguejo-uçá proviniente de pesca proibida.</t>
  </si>
  <si>
    <t>2021-01-31 14:00:00</t>
  </si>
  <si>
    <t>Ceará-Mirim</t>
  </si>
  <si>
    <t>Francisca Silvestre da Silva</t>
  </si>
  <si>
    <t>Assentamento Lima, rodovia RN, Natal/Muriu</t>
  </si>
  <si>
    <t>2021-02-09 10:24:24</t>
  </si>
  <si>
    <t>35 Inc. 3, § único Decreto 6514/2008.</t>
  </si>
  <si>
    <t>2°°, I-B Port SAP/MAPA 325/20.</t>
  </si>
  <si>
    <t>LDL5S1EF</t>
  </si>
  <si>
    <t>Comercializar 5(cinco) kg de Caranguejo-uçá, proviniente de pesca proibida (período de defeso).</t>
  </si>
  <si>
    <t>2021-01-31 13:00:00</t>
  </si>
  <si>
    <t>GLAUCIO JOSE DA CAMARA</t>
  </si>
  <si>
    <t>Barraca da Mariza, Lagoa de Jacumã, Extremoz-RN</t>
  </si>
  <si>
    <t>2021-02-09 10:25:29</t>
  </si>
  <si>
    <t>2°, I-B PORT MAPA 325/20.</t>
  </si>
  <si>
    <t>RDD1Z3MV</t>
  </si>
  <si>
    <t>TER EM DEPÓSITO 3,00 KG DE CARANGUEJO UÇÁ, SEM DECLARAÇÃO DE ESTOQUE NO PERÍODO DO DEFESO. NO BAR ENCONTRO DOS PESCADORES.</t>
  </si>
  <si>
    <t>2021-01-31 11:50:39</t>
  </si>
  <si>
    <t>Goiana</t>
  </si>
  <si>
    <t>JOSÉ ANTÔNIO DO NASCIMENTO</t>
  </si>
  <si>
    <t>BEIRA MAR, 01 CARNE DE VACA - GOIANA/PE - CEP 55.900-000</t>
  </si>
  <si>
    <t>2021-02-03 11:01:55</t>
  </si>
  <si>
    <t>35 VI Decreto 6514; 70 1º Lei 9605; 72 Lei 9605; 3º II Decreto 6514; 3º IV Decreto 6514.</t>
  </si>
  <si>
    <t>OEO6G68Z</t>
  </si>
  <si>
    <t>Comercializar 10 kg de Goiamum, proviniente de coleta proibida.</t>
  </si>
  <si>
    <t>2021-01-31 11:00:00</t>
  </si>
  <si>
    <t>Extremoz</t>
  </si>
  <si>
    <t>NISELMA ROCHA DA SILVA</t>
  </si>
  <si>
    <t>Feira de Estivas-Extremoz/RN</t>
  </si>
  <si>
    <t>2021-02-07 15:30:31</t>
  </si>
  <si>
    <t>2, caput IN 445/2014.</t>
  </si>
  <si>
    <t>HL75EJD7</t>
  </si>
  <si>
    <t>Comercializar 20 kg de lagosta inteiras frescas e imaturas, proviniente de pesca proibida (período de defeso).</t>
  </si>
  <si>
    <t>2021-01-31 09:00:00</t>
  </si>
  <si>
    <t>AURÉLIO FRANCISCO COSTA DE OLIVEIRA JUNIOR</t>
  </si>
  <si>
    <t>Avenida Dr. João Medeiros Filho, sn - Natal-RN. Feira ao lado do posto Ale.</t>
  </si>
  <si>
    <t>2021-02-09 10:27:12</t>
  </si>
  <si>
    <t>1, caput IN 206/08.</t>
  </si>
  <si>
    <t>EAFGEUN3</t>
  </si>
  <si>
    <t>Lançar resíduos da indústria madeireira em céu aberto, em desacordo com a Política Nacional de Resíduos Sólidos.</t>
  </si>
  <si>
    <t>2021-01-30 14:00:00</t>
  </si>
  <si>
    <t>2021-01-30</t>
  </si>
  <si>
    <t>Irineu Araújo de Sousa</t>
  </si>
  <si>
    <t>BR 230 - Rodovia Transamazônica - Km 142</t>
  </si>
  <si>
    <t>2021-02-12 12:47:23</t>
  </si>
  <si>
    <t>62, V 6514/2008; 47, II 12.305/2010.</t>
  </si>
  <si>
    <t>17ICR4F0</t>
  </si>
  <si>
    <t>Fazer funcionar atividade madeireira (serraria) sem licença do órgão ambiental competente</t>
  </si>
  <si>
    <t>Rodovia BR 230 Transamazônica km 142</t>
  </si>
  <si>
    <t>2021-02-19 13:00:42</t>
  </si>
  <si>
    <t>0ZK4MEC8</t>
  </si>
  <si>
    <t>Fazer funcionar atividade de carvoaria (2 fornos de produção de carvão) sem licença do órgão ambiental competente</t>
  </si>
  <si>
    <t>2021-01-30 11:00:00</t>
  </si>
  <si>
    <t>LUIZ CARLOS RODRIGUES DE ARAUJO</t>
  </si>
  <si>
    <t>Rodovia BR 230 km 139</t>
  </si>
  <si>
    <t>2021-02-25 09:24:26</t>
  </si>
  <si>
    <t>V44J34GM</t>
  </si>
  <si>
    <t>Deixa de atender à 1° condicionante estabelecidas na licença ambiental n° 44 da SEMMAT/PA - "Acondicionar os resíduos em local apropriado (impermeável, seco e coberto), e encaminhar para uma empresa licenciada até o recolhimento periódico do mesmo para que sejam dados tratamento e destinação final adequados, com posterior envio a esta SEMMAT da cópia dos documentos comprobatórios referentes a essa coleta, por ocasião da entrega do Relatório de Informação Ambiental Anual - RIAA".</t>
  </si>
  <si>
    <t>2021-01-30 09:42:49</t>
  </si>
  <si>
    <t>LUIZ CARLOS RODRIGUES DE ARAUJO INDUSTRIA E COMERCIO DE MADEIRAS EIRELI</t>
  </si>
  <si>
    <t>LuizCarlos Rodrigues de Araújo Ind. e Com 
de Madeiras EIRELI - Rodovia Transamazônica(BR 230), Km 139</t>
  </si>
  <si>
    <t>Artigo 66, Inciso II Decreto 6.514/2008.</t>
  </si>
  <si>
    <t>3P29AUS1</t>
  </si>
  <si>
    <t>Ter em guarda dois espécimes da fauna nativa brasileira ("tatuí ou tatu china") sem a devida permissão da autoridade ambiental competente.</t>
  </si>
  <si>
    <t>2021-01-29 21:00:00</t>
  </si>
  <si>
    <t>2021-01-29</t>
  </si>
  <si>
    <t>LUELIA DE SOUSA BRITO</t>
  </si>
  <si>
    <t>Aeroporto Petrônio Portela
Teresina-PI</t>
  </si>
  <si>
    <t>2021-02-03 14:10:02</t>
  </si>
  <si>
    <t>24 Inc. 1,3, § 3,7 Decreto 6514/2008.</t>
  </si>
  <si>
    <t>5RNL4V4F</t>
  </si>
  <si>
    <t>Efetuar em 24/08/2020, durante operação do ROV a partir da embarcação Sealion Amazônia, a descarga de óleo em condição não aprovada pelo órgão ambiental competente no licenciamento ambiental. Apuração com base no processo 02001.019462/2020-78.</t>
  </si>
  <si>
    <t>2021-01-29 18:27:04</t>
  </si>
  <si>
    <t>Marataízes</t>
  </si>
  <si>
    <t>Campo de Jubarte, Bacia de Campos, Mar territorial.</t>
  </si>
  <si>
    <t>2021-01-29 18:36:25</t>
  </si>
  <si>
    <t>T99PRZ0C</t>
  </si>
  <si>
    <t>FAZER FUNCIONAR ESTABELECIMENTO QUE EXERCE ATIVIDADES DE COMERCIALIZAÇÃO DE ALIMENTOS E BEBIDAS, POTENCIALMENTE POLUIDORAS, SEM LICENÇA OU AUTORIZAÇÃO DO ÓRGÃO AMBIENTAL COMPETENTE, CONFORME CONTEÚDO DO PROC. 02003.102574/2017-73 (IBAMA).</t>
  </si>
  <si>
    <t>2021-01-29 18:00:00</t>
  </si>
  <si>
    <t>PEDRO AMÉRICO CORREIA DE PAULA</t>
  </si>
  <si>
    <t>BARRACA BEACH BARRA - RUA EDSON FRAZÃO S/N - LOTEAMENTO RECANTO DOS CAETÉS - BARRA DE SÃO MIGUEL - A</t>
  </si>
  <si>
    <t>2021-02-05 19:04:20</t>
  </si>
  <si>
    <t>TOQFZYKW</t>
  </si>
  <si>
    <t>Apresentar informação ambiental prevista na Instrução Normativa Ibama n 10/2015 (romaneio de madeira) parcialmente omisso.</t>
  </si>
  <si>
    <t>CEDRAL INDUSTRIA E COMERCIO DE MADEIRAS LTDA</t>
  </si>
  <si>
    <t>Rodovia BR 230 Transamazônica km 142 Zona Rural</t>
  </si>
  <si>
    <t>2021-02-19 12:55:45</t>
  </si>
  <si>
    <t>EHBU67EU</t>
  </si>
  <si>
    <t>Apresentar informação falsa no Sistema Oficial de Controle - DOF, conforme Informação xxx, processo 02007003735/2020-11. Obs.: emissão de DOF inválido (15521041).</t>
  </si>
  <si>
    <t>2021-01-29 17:01:42</t>
  </si>
  <si>
    <t>MADEIRABRAS COMERCIO DE MADEIRAS LTDA - ME</t>
  </si>
  <si>
    <t>Rua Rio Verde, 5174, Centro, Rolim de Moura- RO</t>
  </si>
  <si>
    <t>2021-01-29 19:16:11</t>
  </si>
  <si>
    <t>11BRDXYC</t>
  </si>
  <si>
    <t>Receber 233,9656 metros cúbicos de produto florestal de espécie nativa sem licença válida (descrição de veículos de transporte inconsistente) descrito nos Documentos de Origem Florestal n.º 11818685, 11832299, 11818684, 11838666, 11818687, 11838645, 11917803, 11832126, 11832164 e 11917804).</t>
  </si>
  <si>
    <t>2021-01-29 17:00:00</t>
  </si>
  <si>
    <t>2021-02-03 12:18:42</t>
  </si>
  <si>
    <t>LT58STX7</t>
  </si>
  <si>
    <t>FAZER FUNCIONAR ESTABELECIMENTO QUE EXERCE ATIVIDADES DE COMERCIALIZAÇÃO DE ALIMENTOS E BEBIDAS, POTENCIALMENTE POLUIDORAS, SEM LICENÇA OU AUTORIZAÇÃO DO ÓRGÃO AMBIENTAL COMPETENTE, CONFORME CONTEÚDO DO PROC. 02003.102555/2017-47 (IBAMA).</t>
  </si>
  <si>
    <t>NANCY DA SILA</t>
  </si>
  <si>
    <t>BAR E RESTAURANTE DA NEGA - Rua Edson Frazão s/n - Loteamento Recanto dos Caetés - B. S. Miguel - AL</t>
  </si>
  <si>
    <t>2021-02-05 19:03:52</t>
  </si>
  <si>
    <t>96G76REM</t>
  </si>
  <si>
    <t>Ter em depósito 75,798 metros cúbicos de madeira, sendo 10.769 metros cúbicos de madeira serrada e 65,029 metros quadrados de madeira em tora,  sem licença válida outorgada pela autoridade competente.</t>
  </si>
  <si>
    <t>JOSE CARLOS SOUSA LOPES COMERCIO DE MADEIRAS</t>
  </si>
  <si>
    <t>Rua da Caixa D'água s/n°, Vila Acrolina,</t>
  </si>
  <si>
    <t>2021-02-18 13:58:43</t>
  </si>
  <si>
    <t>6BJEI2I6</t>
  </si>
  <si>
    <t>Apresentar informação falsa no Sistema Oficial de Controle - DOF, conforme Informação xxx, processo 02007003731/2020-24.
Obs.: Emissão de DOF inválido (15496569).</t>
  </si>
  <si>
    <t>2021-01-29 16:27:58</t>
  </si>
  <si>
    <t>Rua Rio Verde, 5174, Centro,  Rolim de Moura - RO</t>
  </si>
  <si>
    <t>2021-01-29 19:16:33</t>
  </si>
  <si>
    <t>S9X4BGWX</t>
  </si>
  <si>
    <t>Deixar de atender a condicionante n.1 da Licença de Operação n. 17/20 da Secretaria Municipal de Meio Ambiente de Anapu/PA.</t>
  </si>
  <si>
    <t>2021-01-29 15:42:37</t>
  </si>
  <si>
    <t>José Carlos Sousa Lopes Comércio de Madeiras</t>
  </si>
  <si>
    <t>2021-02-17 18:44:47</t>
  </si>
  <si>
    <t>AKI0O388</t>
  </si>
  <si>
    <t>Dificultar ação do poder público no exercício da fiscalização ambiental, sendo que no ato da fiscalização foi feito a contagem de 61 toras, e na conferência apresentou apenas 34 toras..</t>
  </si>
  <si>
    <t>2021-01-29 15:38:14</t>
  </si>
  <si>
    <t>Rodovia Transamazônica Km 142.</t>
  </si>
  <si>
    <t>2021-01-29 16:13:20</t>
  </si>
  <si>
    <t>77 Decreto 6514; 70 1º Lei 9605; 72 Lei 9605; 3º II Decreto 6514.</t>
  </si>
  <si>
    <t>BDU5RG0Z</t>
  </si>
  <si>
    <t>Deixar de atender condicionante n°1 estabelecidas na licença ambiental de Operação - "Acondicionar os resíduos em locais apropriados (impermeável, seco e coberto) e encaminhar para uma empresa licenciada até o recolhimento periódico dos mesmos dos mesmos para que seja dado tratamento e destinação final adequados, com o posterior envio e esta SEMMAT da cópia dos documentos comprobatórios referentes a essa coleta, por ocasião da entrega do Relatório Informação Ambiental Anual - RIAA."</t>
  </si>
  <si>
    <t>2021-01-29 15:08:49</t>
  </si>
  <si>
    <t>Rodovia Transamazônica, km 142 - Zona Rural - Cedral Indústria e Comércio de Madeiras Limitadas</t>
  </si>
  <si>
    <t>2021-02-23 22:36:14</t>
  </si>
  <si>
    <t>EHTCD9TO</t>
  </si>
  <si>
    <t>Deixar de inscrever-se no (CTF) Cadastro Técnico Federal de que trata o Artigo 17 da Lei 6.938/1981.</t>
  </si>
  <si>
    <t>2021-01-29 15:00:00</t>
  </si>
  <si>
    <t>CNP Industria de Plásticos LTDA</t>
  </si>
  <si>
    <t>Avenida Goianazes Qd. 13 LTs. 01 ao 32, Galpão 02, Jardim Eldorado.</t>
  </si>
  <si>
    <t>2021-02-04 14:50:14</t>
  </si>
  <si>
    <t>Z5IZXN7Z</t>
  </si>
  <si>
    <t>Deixar de apresentar Relatório referente aos anos 2017/2016, 2018/2017, 2019/2018 e 2020/2019, nós prazos exigido pela Legislação, conforme despacho SEI n° 8879450/2020-NQA-GO/DITEC-GO/SUPES/GO e Proc. SEI-IBAMA n° 02010.001176/2016-61.</t>
  </si>
  <si>
    <t>2021-01-29 14:00:00</t>
  </si>
  <si>
    <t>Cachoeira Alta</t>
  </si>
  <si>
    <t>CENTRAL ENERGÉTICA RIO DOCE AÇUCAR E ALCOOL LTDA -</t>
  </si>
  <si>
    <t>Rodovia GO 206 Km 260, Zona Rural.</t>
  </si>
  <si>
    <t>2021-02-03 17:17:59</t>
  </si>
  <si>
    <t>17, C 6938/1981.</t>
  </si>
  <si>
    <t>RE791QII</t>
  </si>
  <si>
    <t>Comercializar o produto INTEROX DW 50 N.A. em 2019 e 2020, sem registro para uso válido.</t>
  </si>
  <si>
    <t>PEROXIDOS DO BRASIL LTDA.</t>
  </si>
  <si>
    <t>Rua João Lunardelli, n° 1301, Cidade Industrial - Curitiba -PR, CEP. 81.460-100.</t>
  </si>
  <si>
    <t>2021-02-12 07:46:20</t>
  </si>
  <si>
    <t>LT2XPYZQ</t>
  </si>
  <si>
    <t>Desmatar 2,55 hectares de floresta nativa em área de reserva legal, sem autorização do órgão ambiental competente, conforme carta imagem em anexo.</t>
  </si>
  <si>
    <t>2021-01-29 12:37:48</t>
  </si>
  <si>
    <t>Ji-Paraná</t>
  </si>
  <si>
    <t>Adao Ferreira dos Santos</t>
  </si>
  <si>
    <t>Linha 94, Km 08, Gleba Nazaré, Chácara Ferreira  - Ji-Paraná- RO</t>
  </si>
  <si>
    <t>2021-01-29 19:16:23</t>
  </si>
  <si>
    <t>51 Decreto 6514; 70 1º Lei 9605; 72 Lei 9605; 3º II Decreto 6514; 3º VII Decreto 6514.</t>
  </si>
  <si>
    <t>ORH2DYE5</t>
  </si>
  <si>
    <t>Apresentar informação falsa em sistema oficial de controle - Sistema DOF,  sendo o DOF n° 19838634 inválido para o transporte, pois não informou o modal de transbordo.
OBS: Processo Investigatório 02007.0035792020-80.</t>
  </si>
  <si>
    <t>2021-01-29 12:00:00</t>
  </si>
  <si>
    <t>Colorado do Oeste</t>
  </si>
  <si>
    <t>MADEIREIRA MAX MAD EIRELI</t>
  </si>
  <si>
    <t>Madeireira Max Mad Eireli</t>
  </si>
  <si>
    <t>2021-02-01 00:00:00</t>
  </si>
  <si>
    <t>2021-02-01 18:57:13</t>
  </si>
  <si>
    <t>5P528EKE</t>
  </si>
  <si>
    <t>FAZER FUNCIONAR ESTABELECIMENTO QUE EXERCE ATIVIDADES DE COMERCIALIZAÇÃO DE ALIMENTOS E BEBIDAS, POTENCIALMENTE POLUIDORAS, SEM LICENÇA OU AUTORIZAÇÃO DO ÓRGÃO AMBIENTAL COMPETENTE, CONFORME CONTEÚDO DO PROC. 02003.102551/2017-69 (IBAMA).</t>
  </si>
  <si>
    <t>2021-01-29 11:00:00</t>
  </si>
  <si>
    <t>CICERA DE OMENA FEITOSA</t>
  </si>
  <si>
    <t>Bar e Restaurante O CHURRASQUINHO.
Rua Edson Frazão s/n - Lot. Recanto dos Caetés - B. S. Miguel -AL</t>
  </si>
  <si>
    <t>2021-02-03 10:13:18</t>
  </si>
  <si>
    <t>EO9XVH5L</t>
  </si>
  <si>
    <t>Ter em cativeiro espécimes da fauna silvestre brasileira sem autorização do órgão competente.
Foram apreendidos: 04 trinca ferros, 02 tico ticos, 12 coleiros, 03 Catatau.</t>
  </si>
  <si>
    <t>Jerônimo Monteiro</t>
  </si>
  <si>
    <t>Dejenil Bernardino de Paula</t>
  </si>
  <si>
    <t>2021-02-10 09:28:16</t>
  </si>
  <si>
    <t>24 Inc. 1,2,3 Decreto 6514/2008.</t>
  </si>
  <si>
    <t>4ET3EHDJ</t>
  </si>
  <si>
    <t>2021-01-29 10:00:00</t>
  </si>
  <si>
    <t>Ademir Neves Rodrigues</t>
  </si>
  <si>
    <t>Ademir Motos</t>
  </si>
  <si>
    <t>2021-02-10 09:32:39</t>
  </si>
  <si>
    <t>CF3P9H7R</t>
  </si>
  <si>
    <t>Comercializar 08 kg de lagosta vermelha proveniente de pesca proibida sem declaração de estoque previsto para o período do defeso.</t>
  </si>
  <si>
    <t>2021-01-29 09:09:56</t>
  </si>
  <si>
    <t>Alexandre do Camarão</t>
  </si>
  <si>
    <t>Mercado dos Peixes Box 34 Av. Beira Mar.
4771</t>
  </si>
  <si>
    <t>INT ARRASTO I</t>
  </si>
  <si>
    <t>2021-02-08 09:36:13</t>
  </si>
  <si>
    <t>IF5FSE5H</t>
  </si>
  <si>
    <t>2021-01-29 09:00:00</t>
  </si>
  <si>
    <t>CERAMICA POTY LTDA</t>
  </si>
  <si>
    <t>2021-02-03 14:20:18</t>
  </si>
  <si>
    <t>C69901S4</t>
  </si>
  <si>
    <t>Fazer funcionar atividades contrariando sétimo artigo da resolução Conama 306/2002, por não apresentar relatório de auditoria ambiental e do plano de ação da plantaforma PAG-2,PAG- 3,PPE-3,PARB-3 e POUB-2, conforme parecer técnico nº xxx,</t>
  </si>
  <si>
    <t>avenida Eusébio Rocha, 1000 - Cidade Esperança.</t>
  </si>
  <si>
    <t>2021-02-12 07:45:53</t>
  </si>
  <si>
    <t>306/2002, 7 resolução Conama 306 de 2002.</t>
  </si>
  <si>
    <t>NVQQAQC5</t>
  </si>
  <si>
    <t>Comercializar 8,5 kg de lagosta cabo Verde provenientes da pesca proibida</t>
  </si>
  <si>
    <t>Rubens Pereira da Silva</t>
  </si>
  <si>
    <t>Mercado dos peixes, box 36</t>
  </si>
  <si>
    <t>2021-02-19 15:45:41</t>
  </si>
  <si>
    <t>L353BYIU</t>
  </si>
  <si>
    <t>Ter em depósito 73,06 m3 de madeira em tora e 24,911 m3 de madeira serrada, sem licença válida outorgada pela autoridade competente.</t>
  </si>
  <si>
    <t>Empresa Cedral Industria e Comércio de Madeiras ltda</t>
  </si>
  <si>
    <t>2021-02-22 11:59:37</t>
  </si>
  <si>
    <t>7ATL9HBJ</t>
  </si>
  <si>
    <t>Ter em depósito 156,614 m3 de de madeira nativa - sendo  113,603 m3 de madeira em tora e 43,011 m3 de madeira serrada - sem licença válida outorgada perto autoridade competente.</t>
  </si>
  <si>
    <t>2021-01-29 08:54:27</t>
  </si>
  <si>
    <t>Luiz Carlos Rodrigues de Araújo Indústria e Comércio De Madeiras Eireli</t>
  </si>
  <si>
    <t>Carlos Rodrigues de Araújo Indústria e Comércio de Madeiras Eireli</t>
  </si>
  <si>
    <t>2021-02-17 18:44:15</t>
  </si>
  <si>
    <t>70 1º Lei 9605; 72 Lei 9605; 3º II Decreto 6514; 3º IV Decreto 6514; 3º IX Decreto 6514.</t>
  </si>
  <si>
    <t>H1UJOFIE</t>
  </si>
  <si>
    <t>Deixar de atender a exigências legais ou regulamentares quando devidamente notificado pela autoridade ambiental competente, visando a regularização, correção ou adoção de medidas de controle para cessar a degradação ambiental.
OBS: Deixou de atender a notificação - cód. LQUEBOY7.</t>
  </si>
  <si>
    <t>2021-01-29 05:25:23</t>
  </si>
  <si>
    <t>Aral Moreira</t>
  </si>
  <si>
    <t>NABOR BOTH</t>
  </si>
  <si>
    <t>Fazenda Sombrero - Aral Moreira - MS</t>
  </si>
  <si>
    <t>2021-02-11 19:21:47</t>
  </si>
  <si>
    <t>JNT391CS</t>
  </si>
  <si>
    <t>Lançar resíduos líquidos em desacordo com as exigências estabelecidas em leis ou atos normativos.</t>
  </si>
  <si>
    <t>2021-01-28 20:00:00</t>
  </si>
  <si>
    <t>RUMO MALHA SUL S/A</t>
  </si>
  <si>
    <t>SUPES/IBAMA SC</t>
  </si>
  <si>
    <t>2021-02-02 11:38:02</t>
  </si>
  <si>
    <t>62 § 1 Decreto 6514/2008.</t>
  </si>
  <si>
    <t>322UMVR0</t>
  </si>
  <si>
    <t>Vender a volumetria de 24,000 metros cúbicos de resíduo para aproveitamento industrial de espécies diversas, subproduto de origem vegetal, sem licença válida outorgada pela autoridade ambiental competente. Conforme a Informação xxx( DOF 1818424,18180433 e 18180436)</t>
  </si>
  <si>
    <t>2021-01-28 18:00:00</t>
  </si>
  <si>
    <t>Empresa M. Alcino Reis Eireli-ME (Moriá Madeiras e Transporte)</t>
  </si>
  <si>
    <t>2021-02-18 20:34:45</t>
  </si>
  <si>
    <t>44, P. Único IN-IBAMA 21/2014; 48, VI IN-IBAMA 21/2014.</t>
  </si>
  <si>
    <t>3DAG3CO4</t>
  </si>
  <si>
    <t>Destruir 11,80 hectares de vegetação nativa no bioma Pantanal (objeto especial de preservação), no lote 51 , PA Tamarineiro I, Corumbá/MS,sem autorização ambiental de acordo com parecer xxx e parecer técnico xxx.</t>
  </si>
  <si>
    <t>2021-01-28 17:00:00</t>
  </si>
  <si>
    <t>JOSIAS MARTINS DE SATANA</t>
  </si>
  <si>
    <t>Lote 51, PA Tamarineiro I, Corumbá/MS.</t>
  </si>
  <si>
    <t>2021-02-08 12:15:35</t>
  </si>
  <si>
    <t>50 Decreto 6514/2008.</t>
  </si>
  <si>
    <t>YNFZ7UYD</t>
  </si>
  <si>
    <t>Vender a volumetria de 10,000 Metros cúbicos de Madeira serrada da espécie Maçaranduba (Manilkara huberi), e 10,000 metros cúbicos de resíduo para aproveitamento industrial de espécies diversas, subprodutos  de origem vegetal, sem licença válida outorgada pela autoridade ambiental competente. Conforme a informação xxx (DOF 17907517).</t>
  </si>
  <si>
    <t>Empresa M.Alcino Reis-Eireli-ME (Nome Fantasia Moriá Madeiras e Transporte)</t>
  </si>
  <si>
    <t>2021-02-18 20:36:11</t>
  </si>
  <si>
    <t>44, P. Único IN-IBAMA-21/2014; 44, P.Único IN-IBAMA 21/2014.</t>
  </si>
  <si>
    <t>H1BOSLVL</t>
  </si>
  <si>
    <t>Portar motosserra sem licença valida dos órgãos ambiental competente.
A motosserra foi apreendida pela PRF no KM 276 da BR- 226 no Município de Triunfo Potiguar, e entregue ao IBAMA.</t>
  </si>
  <si>
    <t>2021-01-28 16:34:52</t>
  </si>
  <si>
    <t>Triunfo Potiguar</t>
  </si>
  <si>
    <t>FRANCIMAR ELOI DA SILVA</t>
  </si>
  <si>
    <t>Município de Triunfo Potiguar.</t>
  </si>
  <si>
    <t>2021-01-28 17:30:31</t>
  </si>
  <si>
    <t>NF3Z9BLW</t>
  </si>
  <si>
    <t>Destruir 13,08 hectares de vegetação nativa no Bioma Pantanal (objeto de especial preservação), no sítio arara azul lote 182, projeto assentamento Tamarineiro II Sul, Corumbá MS, sem autorização ambiental, de acordo com o parecer xxx e parecer técnico xxx.</t>
  </si>
  <si>
    <t>2021-01-28 16:11:41</t>
  </si>
  <si>
    <t>Lourival Pereira dos Santos</t>
  </si>
  <si>
    <t>Sítio Arara Azul, lote 182, PA Tamarineiro II Sul, Corumbá/MS</t>
  </si>
  <si>
    <t>2021-02-08 12:17:01</t>
  </si>
  <si>
    <t>COXT2UUC</t>
  </si>
  <si>
    <t>Receber, para fins comerciais, 22 m3 de madeira serrada de espécies nativas, em 05/09/2016, sem munir-se de licença válida que deverá acompanhar o produto, sendo que o DOF n° 16386206 não informou os dados do veículo transportador para o trecho fluvial.</t>
  </si>
  <si>
    <t>2021-01-28 14:00:00</t>
  </si>
  <si>
    <t>2021-02-02 09:23:01</t>
  </si>
  <si>
    <t>0EJ0KA3I</t>
  </si>
  <si>
    <t>Receber, para fins comerciais, 27 m3 de madeira serrada de espécies nativas, em 11/07/2016, sem munir-se de licença válida que deverá acompanhar o produto, sendo que o DOF n° 16238679 não informou os dados do veículo transportador para o trecho fluvial.</t>
  </si>
  <si>
    <t>2021-02-02 09:24:07</t>
  </si>
  <si>
    <t>OXA4LZWV</t>
  </si>
  <si>
    <t>Receber, para fins comerciais, 47 m3 de madeira serrada de espécies nativas, em 24/10/2016, sem munir-se de licença válida que deverá acompanhar o produto, sendo que o DOF n° 16749583 não informou os dados do veículo transportador para o trecho fluvial.</t>
  </si>
  <si>
    <t>2021-02-02 09:25:13</t>
  </si>
  <si>
    <t>LAS2J815</t>
  </si>
  <si>
    <t>Receber, para fins comerciais, 32 m3 de madeira serrada de espécies nativas, em 20/09/2016, sem munir-se de licença válida que deverá acompanhar o produto, sendo que o DOF n° 16492794 não informou os dados do veículo transportador para o trecho fluvial.</t>
  </si>
  <si>
    <t>2021-01-28 12:00:00</t>
  </si>
  <si>
    <t>Jaboticatubas</t>
  </si>
  <si>
    <t>ADELCIO RODRIGUES</t>
  </si>
  <si>
    <t>Rua JK, n° 321 - Santo Antônio - Jaboticatubas/MG - CEP 35.830-000</t>
  </si>
  <si>
    <t>2021-02-01 16:24:59</t>
  </si>
  <si>
    <t>CJ6KA92C</t>
  </si>
  <si>
    <t>Deixar de atender exigência legal (Notificação n° 362/2019-NUIP-CE/SUPES-CE e Ofício n° xxx) para apresentar Plano de Recuperação de Área Degradada do local objeto do Auto de Infração n° 479502-D.</t>
  </si>
  <si>
    <t>2021-01-28 11:00:00</t>
  </si>
  <si>
    <t>MUNICIPIO DE ARACATI</t>
  </si>
  <si>
    <t>Prefeitura Municipal de Aracati</t>
  </si>
  <si>
    <t>2021-01-29 00:00:00</t>
  </si>
  <si>
    <t>2021-01-29 14:01:15</t>
  </si>
  <si>
    <t>VRM17IPY</t>
  </si>
  <si>
    <t>Receber, para fins comerciais, 32 m3 de madeira serrada de espécies nativas, em 09/12/2016, sem munir-se de licença válida que deverá acompanhar o produto, sendo que o DOF n° 16926615 não informou os dados do veículo transportador para o trecho fluvial.</t>
  </si>
  <si>
    <t>MADEIRAS VIA DO MINERIO LTDA - EPP</t>
  </si>
  <si>
    <t>Av. Waldir Soeiro Emrich, n° 1991 - Milionários - Belo Horizonte/MG - CEP 30.620-450</t>
  </si>
  <si>
    <t>2021-02-01 16:21:01</t>
  </si>
  <si>
    <t>1VMBN0LI</t>
  </si>
  <si>
    <t>Receber, para fins comerciais, 5 m3 de madeira serrada de espécies nativas, em 18/05/2017, sem munir-se de licença válida que deverá acompanhar o produto, sendo que o DOF n° 17323679 não informou os dados do veículo transportador para o trecho fluvial.</t>
  </si>
  <si>
    <t>João Monlevade</t>
  </si>
  <si>
    <t>JOSE ROQUE SARTORI</t>
  </si>
  <si>
    <t>Av. Isaac Cassemiro Gomes, n° 1381 - Luanda - João Monlevade/MG - CEP 35.930-357</t>
  </si>
  <si>
    <t>2021-02-01 16:22:04</t>
  </si>
  <si>
    <t>RQN84Q47</t>
  </si>
  <si>
    <t>Receber, para fins comerciais, 9 m3 de madeira serrada de espécies nativas, em 30/12/2016, sem munir-se de licença válida que deverá acompanhar o produto, sendo que o DOF n° 17148925 não informou os dados do veículo transportador para o trecho fluvial.</t>
  </si>
  <si>
    <t>Ibirité</t>
  </si>
  <si>
    <t>FAVORITA MADEIRAS E MATERIAL PARA CONSTRUÇÃO LTDA</t>
  </si>
  <si>
    <t>Rodovia Renato Azeredo, n° 95 - Piratininga - Ibirité/MG - CEP 32.400-001</t>
  </si>
  <si>
    <t>2021-02-01 16:23:02</t>
  </si>
  <si>
    <t>BY0H2D2V</t>
  </si>
  <si>
    <t>Receber, para fins comerciais, 22 m3 de madeira serrada de espécies nativas, em 11/11/2016, sem munir-se de licença válida que deverá acompanhar o produto, sendo que o DOF n° 16778339 não informou os dados do veículo transportador para o trecho fluvial.</t>
  </si>
  <si>
    <t>Bela Vista de Minas</t>
  </si>
  <si>
    <t>ALEXSANDRA SOUZA SILVA TORRES - ME</t>
  </si>
  <si>
    <t>Av. Maria Marcelina de Jesus, n° 45 - Maria Marcelina de Jesus - Bela Vista de Minas - CEP 35938000</t>
  </si>
  <si>
    <t>2021-02-01 16:24:01</t>
  </si>
  <si>
    <t>WM6MO0BT</t>
  </si>
  <si>
    <t>Deixar de apresentar o relatório anual de atividades poluidoras no prazo exigido na legislação no sistema oficial de controle do IBAMA CTF relativo ao ano 2019/2018.</t>
  </si>
  <si>
    <t>2021-01-28</t>
  </si>
  <si>
    <t>FRANCISCO ASSIS DE FREITAS FILHO</t>
  </si>
  <si>
    <t>Sede da empresa (Trabalho remoto, inseridas as coordenadas da SUPES-PI).</t>
  </si>
  <si>
    <t>2021-02-03 14:23:12</t>
  </si>
  <si>
    <t>SXTI4W8R</t>
  </si>
  <si>
    <t>Receber, para fins comerciais, 35 m3 de madeira serrada de espécies nativas, em 27/03/2017, sem munir-se de licença válida que deverá acompanhar o produto, sendo que o DOF n° 17355805 não informou os dados do veículo transportador para o trecho fluvial.</t>
  </si>
  <si>
    <t>2021-01-28 10:00:00</t>
  </si>
  <si>
    <t>MADEIREIRA PRINCIPAL LTDA</t>
  </si>
  <si>
    <t>Rodovia Renato Azeredo, n° 73 - Piratininga - Ibirité/MG - CEP 32.400-001</t>
  </si>
  <si>
    <t>2021-02-01 11:02:23</t>
  </si>
  <si>
    <t>H4P2VHNM</t>
  </si>
  <si>
    <t>Receber, para fins comerciais, 35 m3 de madeira serrada de espécies nativas, em 31/05/2017, sem munir-se de licença válida que deverá acompanhar o produto, sendo que o DOF n° 17662894 não informou os dados do veículo transportador para o trecho fluvial.</t>
  </si>
  <si>
    <t>2021-02-01 11:03:18</t>
  </si>
  <si>
    <t>FXLYAFW2</t>
  </si>
  <si>
    <t>Receber, para fins comerciais, 15 m3 de madeira serrada de espécies nativas, em 01/11/2016, sem munir-se de licença válida que deverá acompanhar o produto, sendo que o DOF n° 16698365 não informou os dados do veículo transportador para o trecho fluvial.</t>
  </si>
  <si>
    <t>MADEIREIRA LARA AMARAL LTDA - EPP</t>
  </si>
  <si>
    <t>Rua Imperial, n° 63 - São Sebastião - Belo Horizonte/MG - CEP 30.881-450</t>
  </si>
  <si>
    <t>2021-02-01 16:15:13</t>
  </si>
  <si>
    <t>U7MSWZ2F</t>
  </si>
  <si>
    <t>Receber, para fins comerciais, 18 m3 de madeira serrada de espécies nativas, em 08/03/2017, sem munir-se de licença válida que deverá acompanhar o produto, sendo que o DOF n° 17358179 não informou os dados do veículo transportador para o trecho fluvial.</t>
  </si>
  <si>
    <t>2021-02-01 16:16:25</t>
  </si>
  <si>
    <t>5AKSSYMG</t>
  </si>
  <si>
    <t>Receber, para fins comerciais, 12 m3 de madeira serrada de espécies nativas, em 18/01/2017, sem munir-se de licença válida que deverá acompanhar o produto, sendo que o DOF n° 17162094 não informou os dados do veículo transportador para o trecho fluvial.</t>
  </si>
  <si>
    <t>2021-02-01 16:17:24</t>
  </si>
  <si>
    <t>U28VE5WE</t>
  </si>
  <si>
    <t>Receber, para fins comerciais, 13 m3 de madeira serrada de espécies nativas, em 26/08/2016, sem munir-se de licença válida que deverá acompanhar o produto, sendo que o DOF n° 16340108 não informou os dados do veículo transportador para o trecho fluvial.</t>
  </si>
  <si>
    <t>2021-02-01 16:19:42</t>
  </si>
  <si>
    <t>N1H2Y4CS</t>
  </si>
  <si>
    <t>Receber, para fins comerciais, 32 m3 de madeira serrada de espécies nativas, em 09/01/2017, sem munir-se de licença válida que deverá acompanhar o produto, sendo que o DOF n° 16930929 não informou os dados do veículo transportador para o trecho fluvial.</t>
  </si>
  <si>
    <t>2021-01-28 09:00:00</t>
  </si>
  <si>
    <t>Sarzedo</t>
  </si>
  <si>
    <t>MADEIREIRA VARANDAO EIRELI - ME</t>
  </si>
  <si>
    <t>Via Marginal 02, n° 45 - Santa Rosa - Sarzedo/MG - CEP 32.450-000</t>
  </si>
  <si>
    <t>2021-02-01 10:58:20</t>
  </si>
  <si>
    <t>L52NTHQR</t>
  </si>
  <si>
    <t>Receber, para fins comerciais, 28 m3 de madeira serrada de espécies nativas, em 19/08/2016, sem munir-se de licença válida que deverá acompanhar o produto, sendo que o DOF n° 16457908 não informou os dados do veículo transportador para o trecho fluvial.</t>
  </si>
  <si>
    <t>Brumadinho</t>
  </si>
  <si>
    <t>MADEIREIRA RECANTO DA SERRA LTDA</t>
  </si>
  <si>
    <t>Rua A, n° 1249 - Recanto da Serra - Brumadinho/MG - CEP 35.460-000</t>
  </si>
  <si>
    <t>2021-02-01 10:59:14</t>
  </si>
  <si>
    <t>9DWQK9EJ</t>
  </si>
  <si>
    <t>Receber, para fins comerciais, 32 m3 de madeira serrada de espécies nativas, em 12/12/2016, sem munir-se de licença válida que deverá acompanhar o produto, sendo que o DOF n° 16928329 não informou os dados do veículo transportador para o trecho fluvial.</t>
  </si>
  <si>
    <t>2021-02-01 11:00:40</t>
  </si>
  <si>
    <t>87FG48LI</t>
  </si>
  <si>
    <t>Receber, para fins comerciais, 30 m3 de madeira serrada de espécies nativas, em 19/10/2016, sem munir-se de licença válida que deverá acompanhar o produto, sendo que o DOF n° 16677457 não informou os dados do veículo transportador para o trecho fluvial.</t>
  </si>
  <si>
    <t>2021-02-01 11:01:33</t>
  </si>
  <si>
    <t>RBGXBANT</t>
  </si>
  <si>
    <t>Vender, transportar ou guardar madeira de origem vegetal, sem licença válida para todo o tempo da viagem ou do armazenamento, outorgada pela autoridade competente. Neste ato configurado pelo Documento de Origem Florestal de 48.351m³ de madeiras serradas da espécie florestal nativa Ochroma pyramidale, ou vulgarmente conhecido como madeira Balsa, objeto da nota fiscal eletrônica n° 410, de 10/11/2020, série 001 de saída e da DUE n° 20BR001470404-6.</t>
  </si>
  <si>
    <t>2021-01-28 08:59:40</t>
  </si>
  <si>
    <t>Balsa Mundo Serraria e Plantio Ltda</t>
  </si>
  <si>
    <t>Porto de Santos UT 2 SANTOS IBAMA SP</t>
  </si>
  <si>
    <t>2021-02-23 11:11:03</t>
  </si>
  <si>
    <t>31,   IN IBAMA 21/2014; 36,   ALEI FEDERAL N° 12.651/2012.</t>
  </si>
  <si>
    <t>BSXP9NMJ</t>
  </si>
  <si>
    <t>Receber, para fins comerciais, 34 m3 de madeira serrada de espécies nativas, em 19/10/2016, sem munir-se de licença válida que deverá acompanhar o produto, sendo que o DOF n° 16677454 não informou os dados do veículo transportador para o trecho fluvial.</t>
  </si>
  <si>
    <t>2021-01-28 08:00:00</t>
  </si>
  <si>
    <t>2021-02-01 10:57:20</t>
  </si>
  <si>
    <t>ZTCUFOIP</t>
  </si>
  <si>
    <t>FAZER FUNCIONAR ATIVIDADE POTENCIALMENTE POLUIDORA (SERRARIA) SEM LICENÇA DA AUTORIDADE COMPETENTE</t>
  </si>
  <si>
    <t>2021-01-27 21:35:20</t>
  </si>
  <si>
    <t>Medicilândia</t>
  </si>
  <si>
    <t>E. BELFORT MADEIRAS</t>
  </si>
  <si>
    <t>BR 230 TV 20 ,
AGROVIA UNIÃO DA FLORESTA.</t>
  </si>
  <si>
    <t>ROTINA V</t>
  </si>
  <si>
    <t>2021-01-28 14:18:19</t>
  </si>
  <si>
    <t>XDB3A0OE</t>
  </si>
  <si>
    <t>Destruir 1,69 hectares de floresta em estágio inicial de regeneração,  no bioma mata atlântica, sem autorização do órgão ambiental competente.</t>
  </si>
  <si>
    <t>2021-01-27 19:00:00</t>
  </si>
  <si>
    <t>LUCIANO SIMMER</t>
  </si>
  <si>
    <t>Sítio 2 Irmãos.</t>
  </si>
  <si>
    <t>2021-02-10 10:22:31</t>
  </si>
  <si>
    <t>VTWRGR32</t>
  </si>
  <si>
    <t>Vender, transportar ou guardar madeira de origem vegetal, sem licença válida para todo o tempo da viagem ou do armazenamento, outorgada pela autoridade competente. Neste ato configurado pelo Documento de Origem Florestal de 52,679m³ de madeiras serradas da espécie florestal nativa Ochroma pyramidale, ou vulgarmente conhecido como madeira Balsa, objeto da nota fiscal eletrônica n° 361 19/10/2020, série 001 de saída e da DUE n° 20BR001351744-7.</t>
  </si>
  <si>
    <t>2021-01-27 16:29:24</t>
  </si>
  <si>
    <t>2021-02-23 11:22:15</t>
  </si>
  <si>
    <t>31,   IN IBAMA N° 21/2014; 36,   Lei Federal n° 12.651/2012.</t>
  </si>
  <si>
    <t>G6HD1Z77</t>
  </si>
  <si>
    <t>Vender, transportar ou guardar madeira de origem vegetal, sem licença válida para todo o tempo da viagem ou do armazenamento, outorgada pela autoridade competente. Neste ato configurado pelo Documento de Origem Florestal de 52,487m³ de madeiras serradas da espécie florestal nativa Ochroma pyramidale, ou vulgarmente conhecido como madeira Balsa, objeto da nota fiscal eletrônica n° 353 de 13/10/2020, série 001 de saída e da DUE n° 20BR001311430-0.</t>
  </si>
  <si>
    <t>2021-01-27 16:22:36</t>
  </si>
  <si>
    <t>2021-02-23 11:19:29</t>
  </si>
  <si>
    <t>4N4MAA1G</t>
  </si>
  <si>
    <t>Vender, transportar ou guardar madeira de origem vegetal, sem licença válida para todo o tempo da viagem ou do armazenamento, outorgada pela autoridade competente. Neste ato configurado pelo Documento de Origem Florestal de 52,370m³ de madeiras serradas da espécie florestal nativa Ochroma pyramidale, ou vulgarmente conhecido como madeira Balsa, objeto da nota fiscal eletrônica n° 348 de 05/10/2020, série 001 de saída e da DUE n° 20BR001281379-4.</t>
  </si>
  <si>
    <t>2021-01-27 16:13:30</t>
  </si>
  <si>
    <t>2021-02-23 11:16:46</t>
  </si>
  <si>
    <t>QGADM98A</t>
  </si>
  <si>
    <t>Receber, para fins comerciais, 33 m3 de madeira serrada de espécies nativas, em 28/09/2016, sem munir-se de licença válida que deverá acompanhar o produto, sendo que o DOF n° 16695223 não informou os dados do veículo transportador para o trecho fluvial.</t>
  </si>
  <si>
    <t>2021-01-27 16:00:00</t>
  </si>
  <si>
    <t>MADEIREIRA VILA OLGA LTDA</t>
  </si>
  <si>
    <t>Av. das Indústrias, n° 1856 - Vila Olga - Santa Luzia/MG - CEP 33.040-130</t>
  </si>
  <si>
    <t>2021-01-29 18:08:23</t>
  </si>
  <si>
    <t>3SG9Y1FD</t>
  </si>
  <si>
    <t>Deixar de inscrever-se no Cadastro Técnico Federal, de que trata o art. 17 da Lei 6.938/1981.</t>
  </si>
  <si>
    <t>Indaial</t>
  </si>
  <si>
    <t>MS COMÉRCIO DE LUBRIFICANTE LTDA</t>
  </si>
  <si>
    <t>2021-02-03 12:25:00</t>
  </si>
  <si>
    <t>17, . Lei 6.938/1981.</t>
  </si>
  <si>
    <t>WP0JO3BF</t>
  </si>
  <si>
    <t>Apresentar  Informação Falsa, em Sistema Oficial de Controle, SISFLORA/ SEMA-MT, apresentou informação  falsa de envio de 41,116 m³  de créditos ficticios de produtos florestais por meio da GF3, DVPF3:319, Guia de Transporte 663.</t>
  </si>
  <si>
    <t>2021-01-27 15:34:16</t>
  </si>
  <si>
    <t>Sorriso</t>
  </si>
  <si>
    <t>R. ALVES SILVA COMÉRCIO DE MADEIRAS</t>
  </si>
  <si>
    <t>Posto PRF, POLÍCIA RODOVIÁRIA FEDERAL BR 163, KM 730, SORRISO- MT</t>
  </si>
  <si>
    <t>2021-02-11 10:55:47</t>
  </si>
  <si>
    <t>95R3FO3P</t>
  </si>
  <si>
    <t>Comercializar 100 kg de Caldas de lagostas panulirus argus, (lagosta vermelha), no período de defeso sem documentação de origem e sem declaração de estoque.</t>
  </si>
  <si>
    <t>2021-01-27 15:09:32</t>
  </si>
  <si>
    <t>2021-01-27</t>
  </si>
  <si>
    <t>Antônio Galvão de Almeida</t>
  </si>
  <si>
    <t>Terminal de cargas domésticas aeroporto pinto Martins Galpão da empresa Azul Express.</t>
  </si>
  <si>
    <t>INT ROTINA FLORA</t>
  </si>
  <si>
    <t>2021-01-28 09:06:50</t>
  </si>
  <si>
    <t>35 V Decreto 6514; 35 VI Decreto 6514; 70 1º Lei 9605; 72 Lei 9605; 3º II Decreto 6514; 3º IV Decreto 6514.</t>
  </si>
  <si>
    <t>QEMCBEAK</t>
  </si>
  <si>
    <t>Fazer funcionar atividade utilizadora de recursos ambientais (importação de partes de fauna silvestre exótica: 18 hastes de cornamentas de Dama dama, 74 hastes de cornamentas de Cervus elaphus e 10 unidades de couros de Axis axis), em desacordo com a Licença de Importação Ibama 20BR035090/DF.</t>
  </si>
  <si>
    <t>2021-01-27 15:00:00</t>
  </si>
  <si>
    <t>GOBEX INTERNATIONAL ASSESSORIA COMERCIAL, IMPORTAÇÃO E EXPORTAÇÃO LTDA</t>
  </si>
  <si>
    <t>Aeroporto Internacional de Viracopos. Terminal de Cargas - Importação.</t>
  </si>
  <si>
    <t>2021-01-29 10:48:07</t>
  </si>
  <si>
    <t>MI598F1T</t>
  </si>
  <si>
    <t>Receber, para fins comerciais, 15 m3 de madeira serrada de espécies nativas, em 07/12/2016, sem munir-se de licença válida que deverá acompanhar o produto, sendo que o DOF n° 16905910 não informou os dados do veículo transportador para o trecho fluvial.</t>
  </si>
  <si>
    <t>2021-01-29 18:04:24</t>
  </si>
  <si>
    <t>NBHOHFOI</t>
  </si>
  <si>
    <t>Receber, para fins comerciais, 16 m3 de madeira serrada de espécies nativas, em 18/07/2016, sem munir-se de licença válida que deverá acompanhar o produto, sendo que o DOF n° 16238668 não informou os dados do veículo transportador para o trecho fluvial.</t>
  </si>
  <si>
    <t>2021-01-29 18:05:28</t>
  </si>
  <si>
    <t>I50FT27Y</t>
  </si>
  <si>
    <t>Receber, para fins comerciais, 10 m3 de madeira serrada de espécies nativas, em 24/02/2017, sem munir-se de licença válida que deverá acompanhar o produto, sendo que o DOF n° 17266174 não informou os dados do veículo transportador para o trecho fluvial.</t>
  </si>
  <si>
    <t>2021-01-29 18:06:23</t>
  </si>
  <si>
    <t>S19N5G0A</t>
  </si>
  <si>
    <t>Receber, para fins comerciais, 31 m3 de madeira serrada de espécies nativas, em 27/10/2016, sem munir-se de licença válida que deverá acompanhar o produto, sendo que o DOF n° 16698267 não informou os dados do veículo transportador para o trecho fluvial.</t>
  </si>
  <si>
    <t>2021-01-29 18:07:21</t>
  </si>
  <si>
    <t>DFD7KB3U</t>
  </si>
  <si>
    <t>Receber, para fins comerciais, 32 m3 de madeira serrada nativa, em 19/09/2016, sem munir-se de licença válida que deverá acompanhar o produto, sendo que o DOF n° 16578965 não informou os dados do veículo transportador para o trecho fluvial.</t>
  </si>
  <si>
    <t>2021-01-27 14:00:00</t>
  </si>
  <si>
    <t>Santa Bárbara</t>
  </si>
  <si>
    <t>ORGANIZAÇÕES J F MERCANTIL LTDA</t>
  </si>
  <si>
    <t>Rua da Praia, n° 27 - Prainha - Santa Bárbara/MG - CEP 35.960-000</t>
  </si>
  <si>
    <t>2021-01-29 14:38:59</t>
  </si>
  <si>
    <t>B4OGJ9VC</t>
  </si>
  <si>
    <t>Receber, para fins comerciais, 32,004 m3 de madeira serrada nativa, em 23/02/2017, sem munir-se de licença válida que deverá acompanhar o produto, sendo que o DOF n° 17266326 não informou os dados do veículo transportador para o trecho fluvial.</t>
  </si>
  <si>
    <t>2021-01-29 14:39:55</t>
  </si>
  <si>
    <t>TI3HDJ3T</t>
  </si>
  <si>
    <t>Receber, para fins comerciais, 32 m3 de madeira serrada nativa, em 31/01/2017, sem munir-se de licença válida que deverá acompanhar o produto, sendo que o DOF n° 17162004 não informou os dados do veículo transportador para o trecho fluvial.</t>
  </si>
  <si>
    <t>2021-01-29 14:40:38</t>
  </si>
  <si>
    <t>5QAXBBID</t>
  </si>
  <si>
    <t>Receber, para fins comerciais, 15 m3 de madeira serrada de espécies nativas, em 02/09/2016, sem munir-se de licença válida que deverá acompanhar o produto, sendo que o DOF n° 16477433 não informou os dados do veículo transportador para o trecho fluvial.</t>
  </si>
  <si>
    <t>Rio Piracicaba</t>
  </si>
  <si>
    <t>MARCENÁRIA E SERRARIA CAXAMBÚ LTDA</t>
  </si>
  <si>
    <t>Rua Boanerges Toste Júnior, n° 405 - Louis Ensch - Rio Piracicaba/MG - CEP 35.940-000</t>
  </si>
  <si>
    <t>2021-01-29 18:03:02</t>
  </si>
  <si>
    <t>MSDQ7D9M</t>
  </si>
  <si>
    <t>DEIXAR DE APRESENTAR RELATÓRIOS AMBIENTAIS NOS PRAZOS EXIGIDOS PELA LEGISLAÇÃO OU, NAQUELE DETERMINADO PELA AUTORIDADE AMBIENTAL, NOS ANOS: 2015/2014, 2016/2015, 2017/2016, 2018/2017 e 2019/2018.</t>
  </si>
  <si>
    <t>2021-01-27 13:00:00</t>
  </si>
  <si>
    <t>R.VIEIRA &amp; CIA LTDA</t>
  </si>
  <si>
    <t>R VIEIRA &amp; CIA LTDA
RUA DIOGENES COELHO N° 485
64.260-000 - PIRIPIRI - PIAUÍ</t>
  </si>
  <si>
    <t>2021-02-03 14:30:01</t>
  </si>
  <si>
    <t>H5Q3WKE3</t>
  </si>
  <si>
    <t>Vender, transportar ou guardar madeira de origem vegetal, sem licença válida para todo o tempo da viagem ou do armazenamento, outorgada pela autoridade competente. Neste ato configurado pelo Documento de Origem Florestal de 52,304m³ de madeiras serradas da espécie florestal nativa Ochroma pyramidale, ou vulgarmente conhecido como madeira Balsa, objeto da nota fiscal eletrônica n° 346 de 28/09/2020, série 001 de saída e da DUE n° 20BR001241352-4.</t>
  </si>
  <si>
    <t>2021-01-27 12:38:08</t>
  </si>
  <si>
    <t>2021-02-23 11:14:16</t>
  </si>
  <si>
    <t>E74HAGEU</t>
  </si>
  <si>
    <t>Vender, transportar ou guardar madeira de origem vegetal, sem licença válida para todo o tempo da viagem ou do armazenamento, outorgada pela autoridade competente. Neste ato configurado pelo Documento de Origem Florestal de 52,348m³ de madeiras serradas da espécie florestal nativa Ochroma pyramidale, ou vulgarmente conhecido como madeira Balsa, objeto da nota fiscal eletrônica n° 338 de 21/09/2020, série 001 de saída e da DUE n° o20BR001207671-4.</t>
  </si>
  <si>
    <t>2021-01-27 12:22:34</t>
  </si>
  <si>
    <t>Porto de Santos, UT 2 SANTOS IBAMA/SP</t>
  </si>
  <si>
    <t>2021-02-23 11:33:03</t>
  </si>
  <si>
    <t>31,   IN IBAMA N° 21/2014; 36,   LEI FEDERAL N° 12.651/2012.</t>
  </si>
  <si>
    <t>KY6M4SEQ</t>
  </si>
  <si>
    <t>Vender, transportar ou guardar madeira de origem vegetal, sem licença válida para todo o tempo da viagem ou do armazenamento, outorgada pela autoridade competente. Neste ato configurado pelo Documento de Origem Florestal de 52,878m³ de madeiras serradas da espécie florestal nativa Ochroma pyramidale, ou vulgarmente conhecido como madeira Balsa, objeto da nota fiscal eletrônica n° 331 de 15/09/2020, série 001 de saída e da DUE n° 20BR001168215-7.</t>
  </si>
  <si>
    <t>2021-01-27 11:57:49</t>
  </si>
  <si>
    <t>Porto de Santos, UT 2 SANTOS - IBAMA/SP</t>
  </si>
  <si>
    <t>2021-02-23 11:29:34</t>
  </si>
  <si>
    <t>K7PUTXES</t>
  </si>
  <si>
    <t>Receber, para fins comerciais, 13,964 m3 de madeira serrada nativa, em 18/08/2016, sem munir-se de licença válida que deverá acompanhar o produto, sendo que o DOF n° 16343727 não informou os dados do veículo transportador para o trecho fluvial.</t>
  </si>
  <si>
    <t>2021-01-27 11:00:00</t>
  </si>
  <si>
    <t>2021-01-29 11:09:53</t>
  </si>
  <si>
    <t>QJ68CQK8</t>
  </si>
  <si>
    <t>Receber, para fins comerciais, 16,038 m3 de madeira serrada nativa, em 18/08/2016, sem munir-se de licença válida que deverá acompanhar o produto, sendo que o DOF n° 16340109 não informou os dados do veículo transportador para o trecho fluvial.</t>
  </si>
  <si>
    <t>2021-01-29 11:24:58</t>
  </si>
  <si>
    <t>B76AB3TD</t>
  </si>
  <si>
    <t>Receber, para fins comerciais, 14 m3 de madeira serrada nativa, em 19/09/2016, sem munir-se de licença válida que deverá acompanhar o produto, sendo que o DOF n° 16578742 não informou os dados do veículo transportador para o trecho fluvial.</t>
  </si>
  <si>
    <t>2021-01-29 14:37:55</t>
  </si>
  <si>
    <t>H1QCRIB3</t>
  </si>
  <si>
    <t>DEIXAR DE APRESENTAR RELATÓRIOS AMBIENTAIS NOS PRAZOS EXIGIDOS PELA LEGISLAÇÃO OU, NAQUELE DETERMINADO PELA AUTORIDADE AMBIENTAL, NOS ANOS: 2015/2014, 2016/2015, 2017//2016, 2018/2017 e 2019/2018.</t>
  </si>
  <si>
    <t>Guaribas</t>
  </si>
  <si>
    <t>EDIO FOLHA MAIA ME</t>
  </si>
  <si>
    <t>EDIO FOLHA MAIA
RUA PROJETADA S/N SALA
64.798-000 GUARIBAS - PIAUÍ</t>
  </si>
  <si>
    <t>2021-02-03 14:29:40</t>
  </si>
  <si>
    <t>22ZRGV34</t>
  </si>
  <si>
    <t>APRESENTAR INFORMAÇÃO FALSA NO SISTEMA OFICIAL DE CONTROLE DOF, REFERENTE AO PROCEDIMENTO ADMINISTRATIVO DE RECEBIMENTO DE 25 DOFs IDEOLOGICAMENTE FALSOS, DESCRITOS NA INFORMAÇÃO TÉCNICA N. xxx</t>
  </si>
  <si>
    <t>SINCO - SERVIÇO INDUSTRIA E COMERCIO LTDA</t>
  </si>
  <si>
    <t>MADEIREIRA MAFRENSE</t>
  </si>
  <si>
    <t>2021-02-03 17:30:15</t>
  </si>
  <si>
    <t>JVDM4V1J</t>
  </si>
  <si>
    <t>APRESENTAR INFORMAÇÃO FALSA NO SISTEMA OFICIAL DE CONTROLE DOF, REFERENTE AO PROCEDIMENTO ADMINISTRATIVO DE RECEBIMENTO DE 21 DOFs IDEOLOGICAMENTE FALSOS DESCRITOS NA INFORMAÇÃO TÉCNICA N. xxx</t>
  </si>
  <si>
    <t>V P DA SILVA ME - MADEIREIRA SÃO VICENTE</t>
  </si>
  <si>
    <t>MADEIREIRA SÃO VICENTE</t>
  </si>
  <si>
    <t>2021-02-03 17:31:05</t>
  </si>
  <si>
    <t>TXHC8Q6I</t>
  </si>
  <si>
    <t>Elesbão Veloso</t>
  </si>
  <si>
    <t>BARBOSA E BARBOSA LTDA</t>
  </si>
  <si>
    <t>Sede da empresa (Trabalho remoto, inseridas as coordenadas da SUPES-PI)</t>
  </si>
  <si>
    <t>2021-02-03 17:32:10</t>
  </si>
  <si>
    <t>BRO6N743</t>
  </si>
  <si>
    <t>Receber, para fins comerciais, 25 m3 de madeira serrada nativa, sem munir-se de licença válida que deverá acompanhar o produto, sendo que o DOF  n° 16457903 não informou os dados do veículo transportador para o trecho fluvial.</t>
  </si>
  <si>
    <t>2021-01-27 10:00:00</t>
  </si>
  <si>
    <t>Matozinhos</t>
  </si>
  <si>
    <t>RZ TELHAS E MADEIRAS LTDA</t>
  </si>
  <si>
    <t>Av. Presidente Juscelino Kubitschek, n° 90, lotes 11, 26 e 27bQ1, Presidente</t>
  </si>
  <si>
    <t>2021-01-29 10:17:35</t>
  </si>
  <si>
    <t>0MT48TA4</t>
  </si>
  <si>
    <t>COSME &amp;LAVOR LTDA
RUA PROFESSOR FERNANDO MARQUES N° 1025
64.003-000 TERESINA  PIAUÍ</t>
  </si>
  <si>
    <t>2021-02-03 17:32:36</t>
  </si>
  <si>
    <t>C81DAMN5</t>
  </si>
  <si>
    <t>DEIXAR DE APRESENTAR RELATÓRIOS DE ATIVIDADE POTENCIALMENTE POLUIDORA, REFERENTE AOS EXERCÍCIOS 2015/2014, 2016/2015, 2017/2016, 2018/2017 e 2019/2018, NO PRAZO EXIGIDO PELA LEGISLAÇÃO</t>
  </si>
  <si>
    <t>Nossa Senhora de Nazaré</t>
  </si>
  <si>
    <t>CERAMICA BEN BRASILEIRA LTDA</t>
  </si>
  <si>
    <t>2021-02-03 17:33:46</t>
  </si>
  <si>
    <t>O209DUEN</t>
  </si>
  <si>
    <t>PHACHOS DO BRASIL LTDA</t>
  </si>
  <si>
    <t>PHACHOS DO BRASIL LTDA
RUA ANTÔNIO AMANCIO DA SILVA N° 200
64.600-000 - PICOS - PIAUÍ</t>
  </si>
  <si>
    <t>2021-02-08 17:22:50</t>
  </si>
  <si>
    <t>5DDM3VVI</t>
  </si>
  <si>
    <t>Armazenar 740 kg de pescados sem comprovante de origem legal. Sendo 500 kg de peroá em postas, 120 kg de filé de peroá, 70 kg de bonito em postas e 50 kg de arraia em cubos. Estes pescados foram adquiridos da empresa Fishes Brasil em 20/12/2018 conforme Nota Fiscal de Saída 26904 (anexa).</t>
  </si>
  <si>
    <t>REALMAR DISTRIBUIDORA LTDA</t>
  </si>
  <si>
    <t>2021-02-10 10:31:35</t>
  </si>
  <si>
    <t>2CTTNB6C</t>
  </si>
  <si>
    <t>Ter em depósito 8 (oito) espécimes de animais silvestres em desacordo com a licença (SISPASS), sendo: 5 ausentes, 1 sem anilha, e 2 regulares.</t>
  </si>
  <si>
    <t>2021-01-27 09:20:48</t>
  </si>
  <si>
    <t>Cabo de Santo Agostinho</t>
  </si>
  <si>
    <t>Rodrigo Jose Lima dos Santos</t>
  </si>
  <si>
    <t>Rua 27, 08 Ponte dos Carvalhos - Cabo de Santo Agostinho - PE</t>
  </si>
  <si>
    <t>2021-01-27 09:39:56</t>
  </si>
  <si>
    <t>24 3º I Decreto 6514; 24 3º III Decreto 6514; 24 6º I Decreto 6514; 24 6º III Decreto 6514; 70 1º Lei 9605; 72 Lei 9605; 3º II Decreto 6514; 3º IV Decreto 6514; 3º IX Decreto 6514.</t>
  </si>
  <si>
    <t>DEOT71VY</t>
  </si>
  <si>
    <t>Transportar 41,116 m³de madeira serrada da espécie  Paraju, Manilkara huberi, sem Guia Florestal válida.</t>
  </si>
  <si>
    <t>2021-01-27 08:00:51</t>
  </si>
  <si>
    <t>MARDEMARCOS COMÉRCIO E TRANSPORTES MDM LTDA</t>
  </si>
  <si>
    <t>Posto Polícia Rodoviária Federal  BR 163, km 733, Sorriso</t>
  </si>
  <si>
    <t>2021-02-11 10:53:38</t>
  </si>
  <si>
    <t>47,  § 2° Decreto Federal 6514/2008.</t>
  </si>
  <si>
    <t>MSM4V1ZF</t>
  </si>
  <si>
    <t>Ter em depósito 207,5246 m3 de madeira nativa - sendo 182,0286 m3 de madeira em tora é 25,4960 m3 de madeira serrada - sem licença válida outorgada pela autoridade ambiental competente.</t>
  </si>
  <si>
    <t>2021-01-27 08:00:00</t>
  </si>
  <si>
    <t>KM 142, ao lado do Parque de Exposições de Anapu</t>
  </si>
  <si>
    <t>2021-02-12 13:09:12</t>
  </si>
  <si>
    <t>H38R635W</t>
  </si>
  <si>
    <t>Apresentar informação falsa em sistema oficial de controle - Sistema DOF, ao receber e emitir guias ideologicamente falsas (DOF's n° 18142058 e 18092660), tendo em vista a utilização de créditos indevidos obtidos por meio de fraude.
OBS: Processo Investigatório n° 02026.103746/2017-68.</t>
  </si>
  <si>
    <t>2021-01-26 17:00:00</t>
  </si>
  <si>
    <t>Vilhena</t>
  </si>
  <si>
    <t>EUDISBERG FERRER DE SOUZA</t>
  </si>
  <si>
    <t>Depósito de Madeira e Materiais de Construção  Macedo Ltda.</t>
  </si>
  <si>
    <t>2021-01-27 00:00:00</t>
  </si>
  <si>
    <t>2021-01-27 17:58:25</t>
  </si>
  <si>
    <t>GIWTNKZ7</t>
  </si>
  <si>
    <t>Vender 21,072m³ de madeira beneficiada, tipo Decking, da espécie Handroanthus Impetiginosum  (Ipê), sem licença outorgada pela autoridade ambiental competente.</t>
  </si>
  <si>
    <t>2021-01-26 14:30:33</t>
  </si>
  <si>
    <t>Belém</t>
  </si>
  <si>
    <t>COEXPA COMÉRCIO E EXPORTAÇÃO DE PRODUTOS DA AMAZÔNIA LTDA</t>
  </si>
  <si>
    <t>Estrada do Outeiro n¿ 21</t>
  </si>
  <si>
    <t>2021-01-26 14:55:03</t>
  </si>
  <si>
    <t>MR4U251J</t>
  </si>
  <si>
    <t>Deixar de inscrever-se no Cadastro Técnico Federal de que trata o art. 17  da Lei Federal 6938/1981. (observação: Cadastro Técnico Federal de Atividades Potencialmente Poluidoras ou Utilizadoras de Recursos Ambientais-CTF/APP).</t>
  </si>
  <si>
    <t>2021-01-26 14:00:00</t>
  </si>
  <si>
    <t>Nova Prata</t>
  </si>
  <si>
    <t>Cooperativa Regional Agropecuária de Campos Novos - Coopercampos</t>
  </si>
  <si>
    <t>RS-470,  km 03, Linha Borges de Medeiros, Nova Prata/RS</t>
  </si>
  <si>
    <t>2021-01-26 00:00:00</t>
  </si>
  <si>
    <t>2021-01-26 17:16:30</t>
  </si>
  <si>
    <t>76, V Dec. Federal 6514/2008.</t>
  </si>
  <si>
    <t>85IMDTGM</t>
  </si>
  <si>
    <t>Transportar 40,018 metros cúbicos de madeiras serradas, sem a licença ambiental válida.</t>
  </si>
  <si>
    <t>2021-01-26</t>
  </si>
  <si>
    <t>KM 192.0 da BR-364</t>
  </si>
  <si>
    <t>2021-02-09 17:51:41</t>
  </si>
  <si>
    <t>5LCTX0Q0</t>
  </si>
  <si>
    <t>Transportar 40, 018 metros cúbicos de madeira serrada sem licença válida para todo tempo da viagem.</t>
  </si>
  <si>
    <t>Rodovia  BR 364 Km 192.0</t>
  </si>
  <si>
    <t>2021-02-09 17:52:39</t>
  </si>
  <si>
    <t>RVNCWEYP</t>
  </si>
  <si>
    <t>Apresentar informação falsa em sistema oficial de controle - Sistema DOF,  sendo o DOF n° 19872242 inválido para o transporte, pois não informou o modal de transbordo.
OBS: Processo Investigatório n° 02007.000197/2021-85.</t>
  </si>
  <si>
    <t>2021-01-26 12:00:00</t>
  </si>
  <si>
    <t>Madeireira Max Mad Eireli.</t>
  </si>
  <si>
    <t>2021-01-27 18:00:41</t>
  </si>
  <si>
    <t>OGB14QFU</t>
  </si>
  <si>
    <t>Apresentar informação falsa em sistema oficial de controle - Sistema  DOF, sendo o DOF n° 19886009 inválido para o transporte,  pois não informou o modal de transbordo.
OBS: Processo Investigatório n° 02007.003874/2020-36.</t>
  </si>
  <si>
    <t>2021-01-26 11:00:00</t>
  </si>
  <si>
    <t>2021-01-27 18:01:15</t>
  </si>
  <si>
    <t>ZDCTC44D</t>
  </si>
  <si>
    <t>E. N. CASTRO - ME</t>
  </si>
  <si>
    <t>2021-02-03 15:45:10</t>
  </si>
  <si>
    <t>S78MLWDN</t>
  </si>
  <si>
    <t>DEIXAR DE APRESENTAR RELATÓRIOS AMBIENTAIS NOS PRAZOS EXIGIDOS PELA LEGISLAÇÃO OU, NAQUELE DETERMINADO PELA AUTORIDADE AMBIENTAL, NOS ANOS: 2015/2014, 2016/2015, 2017/2016, 2018/2017, 2019/2018.</t>
  </si>
  <si>
    <t>BIO ALIMENTICIOS LTDA ME</t>
  </si>
  <si>
    <t>BIO ALIMENTOS LTDA
RUA MAGALHÃES FILHO N° 84 LOJA 01
64.001-350 - TERESINA - PIAUÍ</t>
  </si>
  <si>
    <t>2021-02-03 17:28:45</t>
  </si>
  <si>
    <t>XS5H4TQN</t>
  </si>
  <si>
    <t>2021-01-26 10:00:00</t>
  </si>
  <si>
    <t>Arraial</t>
  </si>
  <si>
    <t>J MORAIS LTDA</t>
  </si>
  <si>
    <t>J. MORAIS LTDA
AV. CÂNDIDO MUNIZ S/N CENTRO
64.480-000 - ARRAIAL - PIAUÍ</t>
  </si>
  <si>
    <t>2021-02-08 17:22:19</t>
  </si>
  <si>
    <t>3S3KCGWD</t>
  </si>
  <si>
    <t>Vender 7 (sete) espécimes controlada de origem vegetal v(orquídeas) sem licença válida outorgada pela autoridade competente, DOF- Documento de Origem Florestal.</t>
  </si>
  <si>
    <t>2021-01-26 06:00:00</t>
  </si>
  <si>
    <t>Maria Celina de Oliveira</t>
  </si>
  <si>
    <t>Supes/Palmas/TO</t>
  </si>
  <si>
    <t>2021-01-28 00:00:00</t>
  </si>
  <si>
    <t>2021-01-28 17:28:31</t>
  </si>
  <si>
    <t>Art. 32, parágrafo unico IN IBAMA N. 21/2014.</t>
  </si>
  <si>
    <t>WLCXY2EP</t>
  </si>
  <si>
    <t>Destruir 158,16 hectares de vegetação nativa no bioma Pantanal (objeto especial de preservação), na Fazenda Lucas do Monjolo,município de Corumbá MS, sem autorização ambiental,de acordo com Parecer xxx, Informação técnica xxx.</t>
  </si>
  <si>
    <t>2021-01-25 21:00:00</t>
  </si>
  <si>
    <t>MARCELO GATTASS</t>
  </si>
  <si>
    <t>Fazenda Lucas do Monjolo, Corumbá-MS.</t>
  </si>
  <si>
    <t>2021-02-08 12:19:32</t>
  </si>
  <si>
    <t>2HW5VFHC</t>
  </si>
  <si>
    <t>Destruir 298,69 hectares de vegetação nativa no bioma Pantanal (objeto especial de preservação), sem autorização do órgão ambiental competente, conforme parecer xxx -ID 1870, Parecer Técnico xxx e Manifestação Técnica xxx, localizado na  Fazenda Conceição, no município de Corumbá/MS.</t>
  </si>
  <si>
    <t>2021-01-25 20:00:00</t>
  </si>
  <si>
    <t>JORGE ABDUL AHAD</t>
  </si>
  <si>
    <t>Fazenda Conceição, Corumbá-MS</t>
  </si>
  <si>
    <t>2021-02-08 12:15:16</t>
  </si>
  <si>
    <t>EYSRYG6I</t>
  </si>
  <si>
    <t>Destruir 171,58 hectares de vegetação nativa no bioma Pantanal (objeto especial de preservação) sem autorização ambiental, conforme parecer xxx -ID 1535, Pareceres Técnicos xxx e xxx, localizado na Fazenda casa Branca, em Aquidauana MS.</t>
  </si>
  <si>
    <t>Aquidauana</t>
  </si>
  <si>
    <t>Guilherme Alves Correa de Lima</t>
  </si>
  <si>
    <t>Fazenda Casa Branca, Aquidauana/MS.</t>
  </si>
  <si>
    <t>2021-02-08 12:15:53</t>
  </si>
  <si>
    <t>PS2ZJXK2</t>
  </si>
  <si>
    <t>TER EM CATIVEIRO, 01 (UM) ESPÉCIME (INDIVÍDUO) DA FAUNA SILVESTRE NATIVA, CONHECIDO, POPULARMENTE, POR PAPAGAIO VERDADEIRO, DA ESPÉCIE AMAZONA AESTIVA (NOME CIENTÍFICO), QUE SE ENCONTRAVA NA RESIDÊNCIA DO AUTUADO, SEM A DEVIDA AUTORIZAÇÃO OU LICENÇA DA AUTOTIDADE AMBIENTAL COMPETENTE, CONFORME CONTEÚDO DO BOLETIM DE OCORRÊNCIA Nº xxx E TCO Nº xxx, APENSADO AO PROC. 02003.001558/2018-45.</t>
  </si>
  <si>
    <t>2021-01-25 18:00:00</t>
  </si>
  <si>
    <t>Maceió</t>
  </si>
  <si>
    <t>JOSEMAR FAUSTINO DOS SANTOS</t>
  </si>
  <si>
    <t>Rua São Sebastião nº 80-A - Bairro Pontal da Barra - Maceió - AL.</t>
  </si>
  <si>
    <t>2021-02-03 10:12:46</t>
  </si>
  <si>
    <t>Z89UZN8O</t>
  </si>
  <si>
    <t>Apresentar informação falsa em sistema oficial de controle - Sistema DOF,  sendo os DOFs n° 19836062; 19836328 e 19899408 inválidos para o transporte, pois não informaram o modal de transbordo.
OBS: Processo Investigatório n° 02007.003560/2020-33.</t>
  </si>
  <si>
    <t>2021-01-25 16:00:00</t>
  </si>
  <si>
    <t>2021-01-27 18:02:21</t>
  </si>
  <si>
    <t>., . IN Conjunta n° 02/2020.</t>
  </si>
  <si>
    <t>KPJY62RA</t>
  </si>
  <si>
    <t>Deixar de apresentar o relatório anual de atividades poluidoras no prazo exigido pela legislação no sistema oficial de controle do IBAMA CTF relativo ao ano de 2016/2015.</t>
  </si>
  <si>
    <t>2021-01-25 12:00:00</t>
  </si>
  <si>
    <t>2021-01-25</t>
  </si>
  <si>
    <t>L. H. PETROLEO LTDA</t>
  </si>
  <si>
    <t>2021-01-25 00:00:00</t>
  </si>
  <si>
    <t>2021-01-25 13:44:06</t>
  </si>
  <si>
    <t>Z18VVPJL</t>
  </si>
  <si>
    <t>Autorizar a condução de veículo automotor, placa MKQ-2024, em desacordo com as exigências ambientais previstas na legislação: abastecimento e uso de Diesel S500 ao invés do S10, e sem utilizar o Arla 32, conforme TCO da PRF no processo 02010.002214/2020-89.</t>
  </si>
  <si>
    <t>Transportes Nilton F. Rossi Ltda</t>
  </si>
  <si>
    <t>Posto da PRF na BR-364 em Jataí/GO</t>
  </si>
  <si>
    <t>2021-02-01 14:38:14</t>
  </si>
  <si>
    <t>68 Decreto 6514/2008.</t>
  </si>
  <si>
    <t>YMUUZSGC</t>
  </si>
  <si>
    <t>Permitir a condução do veículo Scania, placa MKY 4725, ano 2013, em desacordo com os limites e as exigências previstos na legislação, com a utilização do produto ARLA 32 fora dos padrões técnicos.</t>
  </si>
  <si>
    <t>2021-01-25 11:49:33</t>
  </si>
  <si>
    <t>Lavrinhas</t>
  </si>
  <si>
    <t>Jadimil Locações Automotivas Eireli</t>
  </si>
  <si>
    <t>Rodovia BR 116, KM 18.</t>
  </si>
  <si>
    <t>2021-02-08 11:04:31</t>
  </si>
  <si>
    <t>68 Decreto 6514; 70 1º Lei 9605; 72 Lei 9605; 3º II Decreto 6514.</t>
  </si>
  <si>
    <t>HBXE6B4E</t>
  </si>
  <si>
    <t>Alterar ítem no veículo Scania, Placa MKY 4725, com a instalação de emulador no Sistema SCR, que provoque alterações nós limites e exigências previstos na legislação.</t>
  </si>
  <si>
    <t>2021-01-25 11:41:30</t>
  </si>
  <si>
    <t>Rodovia BR 116, Km 18</t>
  </si>
  <si>
    <t>2021-02-08 11:04:50</t>
  </si>
  <si>
    <t>71 Decreto 6514; 70 1º Lei 9605; 72 Lei 9605; 3º II Decreto 6514.</t>
  </si>
  <si>
    <t>4FSFFMWN</t>
  </si>
  <si>
    <t>Permitir a condução do veículo Scania, placa MKY 4725, Ano 2013, em desacordo com os limites e exigências previstos na legislação, com a utilização do produto ARLA 32 fora dos padrões técnicos.</t>
  </si>
  <si>
    <t>2021-01-25 11:05:01</t>
  </si>
  <si>
    <t>Jadimil Transportes de Cargas Ltda</t>
  </si>
  <si>
    <t>Rodovia BR 116, Km 18.</t>
  </si>
  <si>
    <t>2021-01-25 11:10:24</t>
  </si>
  <si>
    <t>2V89P2MQ</t>
  </si>
  <si>
    <t>APRESENTAR INFORMAÇÃO FALSA NO SISTEMA OFICIAL DE CONTROLE DOF REFERENTE AO PROCEDIMENTO ADMINISTRATIVO DE RECEBIMENTO DE 5 DOFs IDEOLOGICAMENTE FALSOS DESCRITOS NA INFORMAÇÃO TÉCNICA N. xxx</t>
  </si>
  <si>
    <t>2021-01-25 11:00:00</t>
  </si>
  <si>
    <t>Floriano</t>
  </si>
  <si>
    <t>FRANCISCO EVANGELISTA DE SOUZA ME - MADEIREIRA SAO GERALDO</t>
  </si>
  <si>
    <t>MADEIREIRA SÃO GERALDO</t>
  </si>
  <si>
    <t>2021-01-25 13:44:38</t>
  </si>
  <si>
    <t>H4JJQKFG</t>
  </si>
  <si>
    <t>Autorizar a condução de veículo automotor ,placa ONR-9940, em desacordo com as exigências ambientais previstas na legislação: ausência do fusível do sistema SCR instalado (Arla 32) e LIM acesa no painel, conforme TCO da PRF no processo 02010.002214/2020-89.</t>
  </si>
  <si>
    <t>Vicentinópolis</t>
  </si>
  <si>
    <t>JR Comércio e Transporte de Produtos Agrícolas Ltda</t>
  </si>
  <si>
    <t>JR GRÃOS E LOGÍSTICA</t>
  </si>
  <si>
    <t>2021-02-01 17:15:54</t>
  </si>
  <si>
    <t>NNQ1P7OB</t>
  </si>
  <si>
    <t>Alterar ítem no veículo Scania, Placa MKY 4725, com a instalação de emulador no Sistema SCR, que provoque alterações nos limites e exigências ambientais previstas na legislação.</t>
  </si>
  <si>
    <t>2021-01-25 10:55:03</t>
  </si>
  <si>
    <t>2021-01-25 11:02:44</t>
  </si>
  <si>
    <t>A42OH0LE</t>
  </si>
  <si>
    <t>Apresentar informação falsa em sistema oficial de controle - Sistema DOF, sendo os DOF's n° 21018134 e 21018186 inválidos para o transporte, pois não informou o modal de transbordo.
OBS: Processo Investigatório n° 02007.003881/2020-38.</t>
  </si>
  <si>
    <t>2021-01-25 10:00:00</t>
  </si>
  <si>
    <t>MADEINBRAZIL COMERCIO DE MADEIRAS LTDA</t>
  </si>
  <si>
    <t>UT-VILHENA</t>
  </si>
  <si>
    <t>2021-01-27 18:01:53</t>
  </si>
  <si>
    <t>RVIAHALJ</t>
  </si>
  <si>
    <t>Ter em cativeiro duas espécimes da fauna silvestre brasileira (Arara Vermelha) sem autorização do órgão ambiental competente.</t>
  </si>
  <si>
    <t>2021-01-25 09:30:49</t>
  </si>
  <si>
    <t>Jean Louis Huber</t>
  </si>
  <si>
    <t>Rua Vladimir Diógenes 45 Dunas Praia do Futuro</t>
  </si>
  <si>
    <t>2021-02-08 09:36:28</t>
  </si>
  <si>
    <t>24 3º II Decreto 6514; 70 1º Lei 9605; 72 Lei 9605; 3º II Decreto 6514; 3º IV Decreto 6514.</t>
  </si>
  <si>
    <t>EVPES7W5</t>
  </si>
  <si>
    <t>Guardar 27 caudas de Tatú, produto oriundo da fauna silvestre brasileira, sem a devida permissão da autoridade ambiental competente.</t>
  </si>
  <si>
    <t>2021-01-25 07:21:02</t>
  </si>
  <si>
    <t>Jardim do Seridó</t>
  </si>
  <si>
    <t>Felipe Moisés Fonseca da Silva</t>
  </si>
  <si>
    <t>Rua Antônio da Cunha, 862 - Bairro São João, Jardim do Seridó/RN</t>
  </si>
  <si>
    <t>2021-01-25 07:47:20</t>
  </si>
  <si>
    <t>24 3º I Decreto 6514; 24 3º III Decreto 6514; 70 1º Lei 9605; 72 Lei 9605; 3º II Decreto 6514.</t>
  </si>
  <si>
    <t>LS5DJWMD</t>
  </si>
  <si>
    <t>Utilizar 05 espécimes da fauna silvestre nativa em desacordo com a licença de Criador Amadorista de Passeriformes, conforme Informação n° xxx.</t>
  </si>
  <si>
    <t>2021-01-22 14:00:00</t>
  </si>
  <si>
    <t>2021-01-22</t>
  </si>
  <si>
    <t>Rio Largo</t>
  </si>
  <si>
    <t>GERALDO JOSÉ DE AMORIN FILHO</t>
  </si>
  <si>
    <t>Rua Nova, 06, Alto São Miguel, Rio Largo-AL</t>
  </si>
  <si>
    <t>2021-02-03 10:20:51</t>
  </si>
  <si>
    <t>24 Inc. 1 Decreto 6514/2008.</t>
  </si>
  <si>
    <t>Y1PYE8B5</t>
  </si>
  <si>
    <t>Vender 27,000 metros cúbicos de madeira serrada da essência Cariniana micrantha (Jequitibá), sem a devida autorização do órgão ambiental competente (sem apresentação da Guia Florestal SEMAS/PA).</t>
  </si>
  <si>
    <t>2021-01-22 13:00:00</t>
  </si>
  <si>
    <t>Sinop</t>
  </si>
  <si>
    <t>A TREVISAN MADEIRAS</t>
  </si>
  <si>
    <t>Rua Dirson José Martini.</t>
  </si>
  <si>
    <t>2021-01-25 12:34:11</t>
  </si>
  <si>
    <t>ANTVGDH1</t>
  </si>
  <si>
    <t>comercializar 2 objetos que impliquem na apanha de espécime da fauna silvestre.</t>
  </si>
  <si>
    <t>LA de Souza Espindola Petshop terra</t>
  </si>
  <si>
    <t>Pet stop terra</t>
  </si>
  <si>
    <t>2021-02-12 07:39:12</t>
  </si>
  <si>
    <t>28 Decreto 6514/2008.</t>
  </si>
  <si>
    <t>DNOJ155L</t>
  </si>
  <si>
    <t>Ter em cativeiro 07 espécimes da fauna silvestre nativa (02 Sicalis flaveola, 01 Paroaria dominicana, 01 Paroaria coronata, 02 Brotogeris chiriri, 01 Icterus jamacaii) sem autorização da autoridade competente.</t>
  </si>
  <si>
    <t>2021-01-22 12:00:00</t>
  </si>
  <si>
    <t>Poliana Santana da Silva</t>
  </si>
  <si>
    <t>Residência do infrator</t>
  </si>
  <si>
    <t>2021-01-25 10:38:36</t>
  </si>
  <si>
    <t>24 Inc. 3, § 3 Decreto 6514/2008; 24 Inc. 1,2 Decreto 6514/2008.</t>
  </si>
  <si>
    <t>57WWNK54</t>
  </si>
  <si>
    <t>transportar um espécime de espécie da fauna silvestre nativa sem a devida licença ou autorização da autoridade ambiental competente</t>
  </si>
  <si>
    <t>2021-01-22 11:03:31</t>
  </si>
  <si>
    <t>wilson da Conceição</t>
  </si>
  <si>
    <t>Morro da cruz</t>
  </si>
  <si>
    <t>2021-01-22 11:09:15</t>
  </si>
  <si>
    <t>V91HAQNF</t>
  </si>
  <si>
    <t>Ter em cativeiro 02 espécimes da fauna silvestre nativa (Brotogeris chiriri - periquito de encontro amarelo) sem autorização da autoridade competente.</t>
  </si>
  <si>
    <t>2021-01-22 11:00:00</t>
  </si>
  <si>
    <t>Geovane Canzi da Silva</t>
  </si>
  <si>
    <t>2021-01-25 10:38:52</t>
  </si>
  <si>
    <t>24 Inc. 3, § 3 Decreto 6514/2008; 24 Inc. 2 Decreto 6514/2008.</t>
  </si>
  <si>
    <t>8ZSTE4VV</t>
  </si>
  <si>
    <t>Deixar de apresentar o relatório anual de atividades poluidoras no prazo exigido pela legislação no sistema oficial de controle do IBAMA CTF relativo ao ano de 2019/2018.</t>
  </si>
  <si>
    <t>2021-01-22 10:00:00</t>
  </si>
  <si>
    <t>Bom Jesus</t>
  </si>
  <si>
    <t>J DE SOUSA ALVES</t>
  </si>
  <si>
    <t>Sede da empresa (trabalho remoto, inseridas as coordenadas da SUPES-PI)</t>
  </si>
  <si>
    <t>2021-01-22 00:00:00</t>
  </si>
  <si>
    <t>2021-01-22 10:07:27</t>
  </si>
  <si>
    <t>NUICBNV1</t>
  </si>
  <si>
    <t>Efetuar descarga ao mar de 0,001 m3 (1 L) de PETRÓLEO BRUTO, em desacordo com a legislação e com o autorizado no processo de licenciamento ambiental. Referente ao incidente ocorrido no dia 30/01/2015, na Plataforma/Embarcação NS-30 (Vitória 10.000), conforme relatado na Comunicação Inicial de Incidente E&amp;P-CPM/CMP-SPO-xxx e no Comunicado SIEMA n. xxx - ambos registrados inicialmente no Processo 02001.005898/2015-12.</t>
  </si>
  <si>
    <t>2021-01-21 22:20:49</t>
  </si>
  <si>
    <t>Plataforma/Embarcação NS-30 (Vitória 10.000) - local do incidente com vazamento de substância oleo</t>
  </si>
  <si>
    <t>2021-01-21 22:25:23</t>
  </si>
  <si>
    <t>36, caput Decreto 4.136/2002.</t>
  </si>
  <si>
    <t>4EGX6GSN</t>
  </si>
  <si>
    <t>Efetuar descarga ao mar de 0,040 m3 (40 L) de PETRÓLEO BRUTO, em desacordo com a legislação e com o autorizado no processo de licenciamento ambiental. Referente ao incidente ocorrido no dia no dia 22/01/2012, na instalação na Plataforma SS-77 (Semi-submersível "Ocean Valor"), conforme relatado na Comunicação Inicial de Incidente e no Comunicado ao SIEMA - ambos registrados inicialmente no Processo 02001.005763/2015-57.</t>
  </si>
  <si>
    <t>2021-01-21 20:00:00</t>
  </si>
  <si>
    <t>Plataforma SS-77 (Semi-submersível "Ocean Valor") - local do incidente com vazamento de substância</t>
  </si>
  <si>
    <t>2021-02-25 18:21:01</t>
  </si>
  <si>
    <t>KDE86FNC</t>
  </si>
  <si>
    <t>Deixar de apresentar os relatórios anuais de atividades poluidoras nos prazos exigidos pela legislação no sistema oficial de controle IBAMA CTF relativos aos anos de 2016/2015, 2017/2016, 2018/2017 e 2019/2018.</t>
  </si>
  <si>
    <t>2021-01-21 18:00:00</t>
  </si>
  <si>
    <t>2021-01-21</t>
  </si>
  <si>
    <t>Pau D'Arco do Piauí</t>
  </si>
  <si>
    <t>AUTO POSTO ALTOS III LTDA</t>
  </si>
  <si>
    <t>2021-01-22 11:05:29</t>
  </si>
  <si>
    <t>T3BHZQ6G</t>
  </si>
  <si>
    <t>Deixar de inscrever-se no Cadastro Técnico Federal de que trata o inciso II do art. 17 da Lei 6938/1981.</t>
  </si>
  <si>
    <t>2021-01-21 16:00:00</t>
  </si>
  <si>
    <t>Palmeira das Missões</t>
  </si>
  <si>
    <t>Floema Comércio de Insumos Agrícolas Eireli</t>
  </si>
  <si>
    <t>Av. Independência 86, Vila Velha, Palmeira das Missões/RS.</t>
  </si>
  <si>
    <t>2021-01-26 17:11:43</t>
  </si>
  <si>
    <t>10KMB38W</t>
  </si>
  <si>
    <t>Efetuar descarga ao mar de 0,0003 m3 (300 mL) de ÓLEO DIESEL, em desacordo com a legislação e com o autorizado no processo de licenciamento ambiental. Referente ao incidente ocorrido no dia 28/06/2013, na instalação SS-84 (Amazônia), conforme relatado na Comunicação Inicial de Incidente xxx e no Comunicado SIEMA - ambos registrados inicialmente no Processo 02001.005529/2015-20.</t>
  </si>
  <si>
    <t>Instalação SS-84 (Amazônia) - Local do incidente com vazamento de substancia oleosa</t>
  </si>
  <si>
    <t>2021-02-26 20:55:14</t>
  </si>
  <si>
    <t>70 §  1 72 Lei 9605/98; 3 II Decreto 6514/2008; 27 II Lei 9966/00.</t>
  </si>
  <si>
    <t>3IO5S91R</t>
  </si>
  <si>
    <t>Vender 25,067m³ de madeira beneficiada, tipo Decking, da espécie Hymenaea Courbaril L. (Jabotá), sem licença outorgada pela autoridade ambiental competente.</t>
  </si>
  <si>
    <t>2021-01-21 15:46:29</t>
  </si>
  <si>
    <t>Marituba</t>
  </si>
  <si>
    <t>IPEX COMERCIO DE MADEIRAS LTDA</t>
  </si>
  <si>
    <t>Rodovia BR 316, Km 16 s/n¿</t>
  </si>
  <si>
    <t>2021-01-21 16:00:40</t>
  </si>
  <si>
    <t>PP3XF11E</t>
  </si>
  <si>
    <t>Prestar informação falsa no Cadastro Técnico Federal do IBAMA, CTF / SICAFI, referente ao porte da empresa, conforme processo 02010.002325/2020-95.</t>
  </si>
  <si>
    <t>2021-01-21 14:00:00</t>
  </si>
  <si>
    <t>Rio Verde</t>
  </si>
  <si>
    <t>COOP AGROINDUSTRIAL DOS PROD RURAIS SUD GOIANO</t>
  </si>
  <si>
    <t>COMIGO</t>
  </si>
  <si>
    <t>2021-01-28 11:04:49</t>
  </si>
  <si>
    <t>DGUJPNG4</t>
  </si>
  <si>
    <t>Apresentar informação falsa no Sistema SICAFI  (CTF-IBAMA), porte econômico de médio porte para porte Grande, nos períodos 2012, 2013, 2014, 2015, 2016 e 2017, conforme processo SEI-IBAMA n° 02010.102525/2017-41.</t>
  </si>
  <si>
    <t>2021-01-21 13:00:00</t>
  </si>
  <si>
    <t>MAKRO ATACADISTA S/A</t>
  </si>
  <si>
    <t>Rod. BR 153 KM 506, Qd. CHC Lt. 18, Bairro Vila Nossa Senhora de Lourdes.</t>
  </si>
  <si>
    <t>2021-01-28 10:52:28</t>
  </si>
  <si>
    <t>1KL0ILGZ</t>
  </si>
  <si>
    <t>Utilizar 19 espécimes da fauna silvestre nativa em desacordo com a licença de criador amadorismo de passeriformes (SISPASS). Conforme informações do relatório de fiscalização contido no processo 02003.000508/2020-65.</t>
  </si>
  <si>
    <t>CIRO JOSE DE LEMOS PONTES</t>
  </si>
  <si>
    <t>Conjunto Residencial Prefeito Antônio Lins de Souza, Quadra 55, Lote 39, Mata do Rolo, Rio Largo/AL</t>
  </si>
  <si>
    <t>2021-02-03 10:19:50</t>
  </si>
  <si>
    <t>AGQGI0U8</t>
  </si>
  <si>
    <t>Matar espécime da fauna Silvestre, Marlin azul (macaíra nigricans), espécie presente na "Lista Nacional Oficial de Espécies da Fauna Ameaçadas de Extinção- Peixes e Invertebrados Aquáticos" na categoria EM - Em Perigo, sem a devida autorização permissão ou licença da autoridade competente.</t>
  </si>
  <si>
    <t>Itapemirim</t>
  </si>
  <si>
    <t>Amós Fernandes dos Santos</t>
  </si>
  <si>
    <t>Itaipava, Itapemirim/ES</t>
  </si>
  <si>
    <t>2021-02-03 12:17:50</t>
  </si>
  <si>
    <t>24 Inc. 2, § 1,7 Decreto 6514/2008.</t>
  </si>
  <si>
    <t>2º, Caput Portaria MMA 445/2014.</t>
  </si>
  <si>
    <t>TSVJISNH</t>
  </si>
  <si>
    <t>Transportar 248 kg de carne de queixada sem autorização da autoridade ambiental competente.</t>
  </si>
  <si>
    <t>2021-01-21 12:00:00</t>
  </si>
  <si>
    <t>Manaus</t>
  </si>
  <si>
    <t>DIONE MENEZES DA SILVA</t>
  </si>
  <si>
    <t>R. Guatemala n13 Cj Beija-Flor B. Flores 13</t>
  </si>
  <si>
    <t>2021-01-25 10:41:34</t>
  </si>
  <si>
    <t>7ZYH2QFX</t>
  </si>
  <si>
    <t>Transportar 23 Quelônios vivos sem autorização da autoridade ambiental competente.</t>
  </si>
  <si>
    <t>Rua Guatemala, n13, Cj Beija-Flor B. Flores</t>
  </si>
  <si>
    <t>2021-01-25 10:41:56</t>
  </si>
  <si>
    <t>OHE2L2VC</t>
  </si>
  <si>
    <t>APRESENTAR INFORMAÇÃO FALSA NO SISTEMA OFICIAL DE CONTROLE DOF REFERENTE AO PROCEDIMENTO ADMINISTRATIVO DE RECEBIMENTO DE UM DOF IDEOLOGICAMENTE FALSO DESCRITO NA INFORMAÇÃO TÉCNICA N. xxx</t>
  </si>
  <si>
    <t>J P DA SILVA INDUSTRIA DE MADEIRAS</t>
  </si>
  <si>
    <t>J. P. DA SILVA INDUSTRIA DE MADEIRAS</t>
  </si>
  <si>
    <t>2021-01-25 10:46:16</t>
  </si>
  <si>
    <t>U3PLE6CD</t>
  </si>
  <si>
    <t>Apresentar informação falsa no sistema oficial de controle DOF referente ao volume de madeira serrada que não foi constatado em estoque na data da fiscalização.</t>
  </si>
  <si>
    <t>MARIA L. S. SOUSA</t>
  </si>
  <si>
    <t>Av Frutuoso Pacheco, n 209, Bairro Centro, Floriano/PI</t>
  </si>
  <si>
    <t>2021-01-25 16:35:44</t>
  </si>
  <si>
    <t>HU1F54WX</t>
  </si>
  <si>
    <t>Ter em depósito 5,1477 m³ de madeira serrada sem licença ambiental outorgada pela autoridade competente.</t>
  </si>
  <si>
    <t>Rua Frutuoso Pacheco, n 209, Floriano/PI</t>
  </si>
  <si>
    <t>2021-01-25 16:36:12</t>
  </si>
  <si>
    <t>0H06RHM1</t>
  </si>
  <si>
    <t>Transportar um espécime de passeriforme da fauna silvestre nativa,  (Rolinha Fogo Apagou "Columbina Squammata") sem a devida licença ou autorização da Autoridade Ambiental competente, conforme descrito no Termo Circunstanciado de Ocorrência n° xxx emitido pela Polícia Rodoviária Federal-PRF.</t>
  </si>
  <si>
    <t>Satuba</t>
  </si>
  <si>
    <t>Agricio Macena da Silva</t>
  </si>
  <si>
    <t>Rodovia BR 316 km 262</t>
  </si>
  <si>
    <t>2021-02-03 10:18:47</t>
  </si>
  <si>
    <t>RK5MRTBR</t>
  </si>
  <si>
    <t>APRESENTAR INFORMAÇÃO FALSA NO SISTEMA OFICIAL DE CONTROLE DOF, REFERENTE AO PROCEDIMENTO ADMINISTRATIVO DE RECEBIMENTO DE 15 DOFs IDEOLOGICAMENTE FALSOS, DESCRITOS NA INFORMAÇÃO TÉCNICA N. xxx</t>
  </si>
  <si>
    <t>2021-01-21 11:00:00</t>
  </si>
  <si>
    <t>M &amp; M CAVALCANTE OLIVEIRA LTDA</t>
  </si>
  <si>
    <t>2021-01-25 10:46:57</t>
  </si>
  <si>
    <t>N8A5SN3V</t>
  </si>
  <si>
    <t>Deixar de apresentar declaração de estoque referente a filé de pargo</t>
  </si>
  <si>
    <t>CAIX COMERCIAL DE ALIMENTOS IND. E EXPORTAÇÃO LTDA</t>
  </si>
  <si>
    <t>Travessa Ismênia, 21</t>
  </si>
  <si>
    <t>2021-01-28 10:21:01</t>
  </si>
  <si>
    <t>35 Inc. 6, § único Decreto 6514/2008.</t>
  </si>
  <si>
    <t>OD61YIAH</t>
  </si>
  <si>
    <t>Apresentar informação falsa em sistema oficial de controle (Sistema DOF) ao realizar conversão de toras sem ter as mesmas no pátio físico.</t>
  </si>
  <si>
    <t>2021-01-21 10:00:00</t>
  </si>
  <si>
    <t>Irati</t>
  </si>
  <si>
    <t>INDUSTRIA COMERCIO OLEOS IRATI LTDA</t>
  </si>
  <si>
    <t>Rua Alfredo Nunes do Nascimento., 406</t>
  </si>
  <si>
    <t>2021-01-25 11:16:52</t>
  </si>
  <si>
    <t>YO0NB3N9</t>
  </si>
  <si>
    <t>DEIXAR DE APRESENTAR RELATÓRIÓ NOS PRAZOS EXIGIDOS PELA LEGISLAÇÃO DA LEI 10.165 REFERENTE AOS ANOS 2013/2012, 2014/2013, 2015/2014, 2016/2015, 2017/2016 E 2018/2017 NÃO FORAM ENTREGUES, CONFORME A CONSULTA IMPEDITIVOS SICAFI (SEI xxx).</t>
  </si>
  <si>
    <t>CULTIVAR AGROBUSINESS LTDA</t>
  </si>
  <si>
    <t>AV. ADEMAR DIÓGENES, 252, BAIRRO SÃO PEDRO, MUNICÍPIO DE BOM JESUS-PI, CEP: 64.900-000, OBS: ESTA CO</t>
  </si>
  <si>
    <t>2021-01-29 09:39:38</t>
  </si>
  <si>
    <t>7IA5CIPH</t>
  </si>
  <si>
    <t>Deixar de apresentar relatório anual RAPP (Lei 6.938/1981: artigo 17-C) o relatório da Lei 10.165 /2000, junto ao Cadastro Técnico Federal-CTF do Ibama, referente ao ano de 2019/2018 não foi entregue no prazo exigido pela legislação. (Processo 02285.000100419/2017-01).</t>
  </si>
  <si>
    <t>2021-01-21 09:57:29</t>
  </si>
  <si>
    <t>BELTECH INDUSTRIA E COMERCIO LTDA</t>
  </si>
  <si>
    <t>Terminal de Cargas do Aeroporto Internacional de Viracopos, Rod. Santos Dumont, Km-66.</t>
  </si>
  <si>
    <t>2021-01-21 10:18:50</t>
  </si>
  <si>
    <t>H39HWKAH</t>
  </si>
  <si>
    <t>Comercializar pescado (1810 kg de pargo) conforme nota fiscal DANFE N. 8709 série 001, sem comprovação de origem.</t>
  </si>
  <si>
    <t>2021-01-21 09:55:41</t>
  </si>
  <si>
    <t>Brazex Comercial Exportadora LTDA</t>
  </si>
  <si>
    <t>Escritório Brazex Comercial Exportadora LTDA, Avenida Professor Euclides César 70 bairro Dunas</t>
  </si>
  <si>
    <t>2021-02-08 09:36:37</t>
  </si>
  <si>
    <t>CMWV0TOL</t>
  </si>
  <si>
    <t>Deixar de cumprir a reposição florestal obrigatória referente ao quantitativo de
1.847,863 m3 de madeira em toras.
Processo 02018.001182/2007-57.</t>
  </si>
  <si>
    <t>2021-01-21 08:43:24</t>
  </si>
  <si>
    <t>Tomé-Açu</t>
  </si>
  <si>
    <t>ETZ ELGRABLY INDÚSTRIA E EXPORTAÇÃO DE MADEIRAS LTDA</t>
  </si>
  <si>
    <t>Rodovia PA 140, km 83, Tomé-Açu/PA</t>
  </si>
  <si>
    <t>2021-01-21 11:11:27</t>
  </si>
  <si>
    <t>53 Decreto 6514; 70 1º Lei 9605; 72 Lei 9605; 3º II Decreto 6514; 3º IX Decreto 6514.</t>
  </si>
  <si>
    <t>JKCP9217</t>
  </si>
  <si>
    <t>Receber para fins comerciais madeira serrada nativa da espécie Ochrqna Pyramidale (madeira Balsa) sem exibir licença (DOF) outorgada pela autoridade competente.</t>
  </si>
  <si>
    <t>2021-01-21 08:00:00</t>
  </si>
  <si>
    <t>Trabiju</t>
  </si>
  <si>
    <t>Matriz empresa Balsa Mundo LTDA</t>
  </si>
  <si>
    <t>2021-02-08 11:23:22</t>
  </si>
  <si>
    <t>35,   Lei 12.651/2012; 31,   Instrução Normativa 21/2014.</t>
  </si>
  <si>
    <t>GFGGMIRB</t>
  </si>
  <si>
    <t>Realizar operação de comercialização de 18.140 kg de pescados, sendo 11.140 kg de corvina e 7000 kg de tainha, por meio da Nota Fiscal de Produtor NP P 165 646329, no dia 20/01/2021, invalida, com a totalidade da carga sem origem legal.</t>
  </si>
  <si>
    <t>2021-01-21 07:00:00</t>
  </si>
  <si>
    <t>São Lourenço do Sul</t>
  </si>
  <si>
    <t>D. DA ROSA</t>
  </si>
  <si>
    <t>São Lourenço do Sul - Porto Pesqueiro</t>
  </si>
  <si>
    <t>2021-02-03 10:36:12</t>
  </si>
  <si>
    <t>KRX82AY8</t>
  </si>
  <si>
    <t>Transportar 18.140 kg de pescados com os veículos LYU 4655 e MCA 2094, sendo 11.140 kg de corvina e 7.000 kg de tainha, no dia 20/01/2021, em São Lourenço do Sul/RS, por meio da Nota Fiscal de Produtor NP P 165 646329, inválida, com a totalidade da carga sem origem legal.</t>
  </si>
  <si>
    <t>2021-01-21 05:00:00</t>
  </si>
  <si>
    <t>ROBSON DA SILVA - MEi</t>
  </si>
  <si>
    <t>Estrada Passo dos Balaios SLS 060</t>
  </si>
  <si>
    <t>2021-02-03 10:48:18</t>
  </si>
  <si>
    <t>LYAUYMIF</t>
  </si>
  <si>
    <t>Deixar de apresentar os relatórios anuais de atividades poluidoras nos prazos exigidos pela legislação no sistema oficial do IBAMA CTF relativos aos anos de 2018/2017 e 2019/2018.</t>
  </si>
  <si>
    <t>2021-01-20 17:00:00</t>
  </si>
  <si>
    <t>2021-01-20</t>
  </si>
  <si>
    <t>GAS PETROLEOS E DERIVADOS LTDA</t>
  </si>
  <si>
    <t>2021-01-22 11:06:02</t>
  </si>
  <si>
    <t>XMEW9WBV</t>
  </si>
  <si>
    <t>Transportar 27,000 metros cúbicos de madeira serrada, da espécie Cariniana micrantha (Jequitibá), sem a devida autorização do órgão ambiental competente (sem apresentação da Guia Florestal SEMA/PA no ato da fiscalização)</t>
  </si>
  <si>
    <t>MARIA MADALENA BECKER DUARTE</t>
  </si>
  <si>
    <t>Rua Dirson José Martini - Depósito do IBAMA</t>
  </si>
  <si>
    <t>2021-01-25 12:46:05</t>
  </si>
  <si>
    <t>102, . Decreto Federal 6.514/08.</t>
  </si>
  <si>
    <t>LFYRQQXA</t>
  </si>
  <si>
    <t>2021-01-20 16:00:00</t>
  </si>
  <si>
    <t>Nonoai</t>
  </si>
  <si>
    <t>AJS COMÉRCIO DE INSUMOS E EQUIPAMENTOS AGRÍCOLAS SA</t>
  </si>
  <si>
    <t>Estrada Linha Invernada Seca RS-406, km 18, Nonoai/RS.</t>
  </si>
  <si>
    <t>2021-01-26 17:08:47</t>
  </si>
  <si>
    <t>MHJDI3E8</t>
  </si>
  <si>
    <t>TRANSPORTAR 01 (UM) ESPÉCIME  DE PASSERIFORME DA FAUNA SILVESTRE NATIVA, CONHECIDO VULGARMENTE POR CANÁRIO DA TERRA E DE NOME CIENTÍFICO SICALIS FLAVEOLA, SEM A DEVIDA LICENÇA OU AUTORIZAÇÃO DA AUTORIDADE AMBIENTAL COMPETENTE, CONFORME CONTEÚDO DO TCO - TERMO CIRCUNSTANCIADO DE OCORRÊNCIA Nº xxx LAVRADO PELA PRF - POLÍCIA RODOVIÁRIA FEDERAL, APENSADO AO PROC.02003.000051/3031-70.</t>
  </si>
  <si>
    <t>EXPEDITO DA SILVA SANTOS</t>
  </si>
  <si>
    <t>Rua Pro. Vitor Grandin an - Zona Rural - São Miguel dos Campos - AL. (Via de Acesso à Usina Caeté).</t>
  </si>
  <si>
    <t>2021-02-03 10:12:08</t>
  </si>
  <si>
    <t>I7PG2O61</t>
  </si>
  <si>
    <t>2021-01-20 15:23:33</t>
  </si>
  <si>
    <t>ROBSON DA SILVA - MEI</t>
  </si>
  <si>
    <t>Estrada Passo dos Baios SLS 060</t>
  </si>
  <si>
    <t>2021-01-20 17:24:27</t>
  </si>
  <si>
    <t>1o, Paragrafo Único INI MPA/MMA n.o 04/2014.</t>
  </si>
  <si>
    <t>LIFGO9J7</t>
  </si>
  <si>
    <t>Transportar 23,6 m3 de madeira serrada (vigas, sarrafos e ripas) sem licença válida para todo o tempo da viagem, outorgada pela autoridade competente, conforme descrito no TCO N°. xxx.</t>
  </si>
  <si>
    <t>2021-01-20 15:00:00</t>
  </si>
  <si>
    <t>Corrente</t>
  </si>
  <si>
    <t>ANTONIO CARLOS PEREIRA DE SOUZA</t>
  </si>
  <si>
    <t>KM 553, BR 165.
Corrente-PI</t>
  </si>
  <si>
    <t>2021-01-21 00:00:00</t>
  </si>
  <si>
    <t>2021-01-21 15:52:02</t>
  </si>
  <si>
    <t>C881OLKM</t>
  </si>
  <si>
    <t>Vender para o exterior (exportação) 43,1870 m³ de madeira de virola, sem a autorização de exportação prevista na IN 15/2011.</t>
  </si>
  <si>
    <t>2021-01-20 14:14:48</t>
  </si>
  <si>
    <t>EXPORTAÇÃO DE MATERIAIS E ALIMENTOS DO PARA LTDA</t>
  </si>
  <si>
    <t>Travessa Lomas Valentinas, 907, Pedreira, Belém, Pará.</t>
  </si>
  <si>
    <t>2021-01-20 16:40:24</t>
  </si>
  <si>
    <t>2HUDDBGO</t>
  </si>
  <si>
    <t>DEIXAR DE APRESENTAR RELATÓRIOS DE ATIVIDADE POTENCIALMENTE POLUIDORA REFERENTE AOS EXERCÍCIOS 2018/2017 E 2019/2018, NO PRAZO EXIGIDO PELA LEGISLAÇÃO.</t>
  </si>
  <si>
    <t>2021-01-20 14:00:00</t>
  </si>
  <si>
    <t>POSTO MARTINEZ LTDA.</t>
  </si>
  <si>
    <t>POSTO MARTINEZ LTDA - ME</t>
  </si>
  <si>
    <t>2021-01-22 11:07:18</t>
  </si>
  <si>
    <t>RJLIO4IO</t>
  </si>
  <si>
    <t>Apresentar informação parcialmente omissa em sistema oficial de controle. A MD Dantas Carvão não declarou a atividade "Silvicultura - Lei n. 12.651/2012: ART. 35, parágrafo 1" no cadastro técnico federal.</t>
  </si>
  <si>
    <t>2021-01-20 11:13:48</t>
  </si>
  <si>
    <t>Guaíra</t>
  </si>
  <si>
    <t>MD DANTAS CARVÃO ME</t>
  </si>
  <si>
    <t>propriedade rural denominada Santa Cecília, Rodovia Guaíra-Barretos, s/n, Km 02,</t>
  </si>
  <si>
    <t>2021-02-08 11:04:57</t>
  </si>
  <si>
    <t>10, I IN 06/2013; 45, caput IN 06/2013.</t>
  </si>
  <si>
    <t>4RCY6DIC</t>
  </si>
  <si>
    <t>Ter em cativeiro 7 (sete) espécimes da fauna silvestre sem a devida permissão da autoridade ambiental competente, conforme relatado no Processo 02020.002715/2019-11.</t>
  </si>
  <si>
    <t>2021-01-20 11:00:00</t>
  </si>
  <si>
    <t>Miguel Alves</t>
  </si>
  <si>
    <t>Jose Richelly Carvalho</t>
  </si>
  <si>
    <t>Rua Eutique Borges, n. 645. Bairro Beira Rio. Miguel Alves - PI</t>
  </si>
  <si>
    <t>2021-01-21 15:54:16</t>
  </si>
  <si>
    <t>3V1MT9HG</t>
  </si>
  <si>
    <t>Vender 19, 147 m³ de madeira em Decking da Espécie Tabebuia Impetiginosa (Mart. ex DC) Standi. (Ipê Roxo) sem licença outorgada pela autoridade ambiental competente.</t>
  </si>
  <si>
    <t>2021-01-20 10:50:04</t>
  </si>
  <si>
    <t>STAR TIMBER COMÉRCIO DE MADEIRAS E EXPORTAÇÃO LTDA</t>
  </si>
  <si>
    <t>Avenida Arthur Bernardes, 2342</t>
  </si>
  <si>
    <t>2021-01-20 10:59:31</t>
  </si>
  <si>
    <t>IUNMN3RR</t>
  </si>
  <si>
    <t>Ter em cativeiro 03 espécimes da fauna silvestre nativa (01 Amazona aestiva e 02 Sicalis flaveola) sem autorização da autoridade competente.</t>
  </si>
  <si>
    <t>2021-01-20 10:00:00</t>
  </si>
  <si>
    <t>Jaime de Almeida Barros</t>
  </si>
  <si>
    <t>2021-01-25 10:39:46</t>
  </si>
  <si>
    <t>DCYBRPLV</t>
  </si>
  <si>
    <t>Desmatar, a corte raso,  0,470 hectares de vegetação nativa, Bioma Cerrado, fora da reserva legal, sem autorização da autoridade competente, conforme Parecer n° xxx.</t>
  </si>
  <si>
    <t>2021-01-20 09:00:00</t>
  </si>
  <si>
    <t>Dourados</t>
  </si>
  <si>
    <t>DILCAR ANTONIO DURIGON</t>
  </si>
  <si>
    <t>Fazenda Digillu</t>
  </si>
  <si>
    <t>2021-02-08 10:51:56</t>
  </si>
  <si>
    <t>QJ1NDTNO</t>
  </si>
  <si>
    <t>Desmatar a corte raso 3,302 hectares de vegetação nativa, fora da área de reserva legal, sem licença  da autoridade ambiental competente.</t>
  </si>
  <si>
    <t>2021-01-20 08:00:00</t>
  </si>
  <si>
    <t>Olho D'Água do Piauí</t>
  </si>
  <si>
    <t>Gilson Mendes Leal</t>
  </si>
  <si>
    <t>Localidade boca do brejo/São Bento</t>
  </si>
  <si>
    <t>2021-01-25 10:47:57</t>
  </si>
  <si>
    <t>FDDKKTWV</t>
  </si>
  <si>
    <t>Efetuar descarga ao mar de 0,020 m3 (20 L) de ÓLEO DIESEL, em desacordo com a legislação e com o autorizado no processo de licenciamento ambiental. Referente ao incidente ocorrido no dia 28/07/2012, na instalação FPSO OSX-1, conforme relatado na Comunicação Inicial de Incidente e na RESPOSTA À NOTIFICAÇÃO - ambos registrados inicialmente no Processo 02001.005514/2015-61.</t>
  </si>
  <si>
    <t>2021-01-19 20:00:00</t>
  </si>
  <si>
    <t>DOMMO ENERGIA S.A.</t>
  </si>
  <si>
    <t>Instalação FPSO OSX-1</t>
  </si>
  <si>
    <t>2021-02-25 17:58:49</t>
  </si>
  <si>
    <t>70 § 1 72 Lei 9605/98; 3 II 27 II Decreto 6514/2008; 36 caput Decreto 4136/2002.</t>
  </si>
  <si>
    <t>XT0F25J7</t>
  </si>
  <si>
    <t>Ter em cativeiro 01 espécime da fauna silvestre nativa (Brotogeris chiriri - periquito de encontro amarelo) sem autorização da autoridade competente.</t>
  </si>
  <si>
    <t>2021-01-19 19:00:00</t>
  </si>
  <si>
    <t>José Rodrigues de Lima Filho</t>
  </si>
  <si>
    <t>2021-01-25 10:39:10</t>
  </si>
  <si>
    <t>VPC808M9</t>
  </si>
  <si>
    <t>Manter em cativeiro 8 pássaros  oriundos da fauna silvestre, sem autorização do órgão ambiental competente.</t>
  </si>
  <si>
    <t>2021-01-19 18:00:00</t>
  </si>
  <si>
    <t>2021-01-19</t>
  </si>
  <si>
    <t>ARNALDO FIGUEIRA DA SILVA</t>
  </si>
  <si>
    <t>Rua Marginal A, 000,40A B.São José Operário</t>
  </si>
  <si>
    <t>2021-01-25 10:42:16</t>
  </si>
  <si>
    <t>W8G7MJ5G</t>
  </si>
  <si>
    <t>Desmatar, a corte raso,  1,61 hectares de vegetação nativa, Bioma Cerrado, fora da reserva legal, sem autorização da autoridade competente, conforme Parecer n° xxx
OBS: Foi emitida a Notificação n° Q5GNOS6J, em nome da proprietária, Sra. Jovina Braz. F. Escobar, que informou que a fazenda está de posse do Parceiro Outorgado, Sr. Ilson Portela.</t>
  </si>
  <si>
    <t>2021-01-19 16:00:00</t>
  </si>
  <si>
    <t>ILSON PORTELA</t>
  </si>
  <si>
    <t>Fazenda Santa Maria (parte).</t>
  </si>
  <si>
    <t>2021-02-08 12:15:02</t>
  </si>
  <si>
    <t>TSA796PT</t>
  </si>
  <si>
    <t>Desmatar, a corte raso,  9,64 hectares de vegetação nativa, Bioma Cerrado, fora da reserva legal, sem autorização da autoridade competente, conforme Parecer n° xxx.</t>
  </si>
  <si>
    <t>2021-01-19 15:00:00</t>
  </si>
  <si>
    <t>Bonito</t>
  </si>
  <si>
    <t>TERRAS EMPREENDIMENTOS IMOBILIARIOS SPE 05 LTDA</t>
  </si>
  <si>
    <t>Fazenda Barra Bonita</t>
  </si>
  <si>
    <t>2021-02-08 10:38:32</t>
  </si>
  <si>
    <t>1CKIGLA1</t>
  </si>
  <si>
    <t>Vender  19,147m³ se madeira em Decking da Espécie Tabebuia Impetiginosa (Mart. ex DC) Standi. (Ipê Roxo) sem licença outorgada pela autoridade ambiental competente.</t>
  </si>
  <si>
    <t>2021-01-19 14:48:23</t>
  </si>
  <si>
    <t>Avenida Arthur Bernardes n¿ 2342</t>
  </si>
  <si>
    <t>2021-01-19 15:03:49</t>
  </si>
  <si>
    <t>JAW89DBR</t>
  </si>
  <si>
    <t>Deixar de apresentar os relatórios anuais de atividades poluidoras nos prazos exigidos pela legislação no sistema oficial de controle do IBAMA CTF relativos aos anos 2016/2015, 2017/2016, 2018/2017 e 2019/2018.</t>
  </si>
  <si>
    <t>2021-01-19 13:00:00</t>
  </si>
  <si>
    <t>CARLA MICHELLY CARVALHO CAMPOS</t>
  </si>
  <si>
    <t>2021-01-22 11:08:25</t>
  </si>
  <si>
    <t>MSXUSEA2</t>
  </si>
  <si>
    <t>Deixar de apresentar os relatórios anuais de atividades poluidoras nos prazos exigidos pela legislação no sistema oficial de controle do IBAMA CTF relativos aos anos 2015/2016, 2016/2015, 2017/2016, 2018/2017 e 2019/2018.</t>
  </si>
  <si>
    <t>2021-01-19 12:09:38</t>
  </si>
  <si>
    <t>2021-01-19 12:19:57</t>
  </si>
  <si>
    <t>T8UOZ4QL</t>
  </si>
  <si>
    <t>APRESENTAR INFORMAÇÃO FALSA NO SISTEMA OFICIAL DE CONTROLE DOF REFERENTE AO PROCEDIMENTO ADMINISTRATIVO DE RECEBIMENTO DE 08 DOCUMENTOS DE ORIGEM FLORESTAL IDEOLOGICAMENTE FALSOS, (RESÍDUO PARA APROVEITAMENTO INDUSTRIAL, ANO 2016), CONFORME INFORMAÇÃO TÉCNICA xxx SEI xxx, VOLUME TOTAL DE 25,3896 M³ DE MADEIRA SERRADA.</t>
  </si>
  <si>
    <t>2021-01-19 12:00:00</t>
  </si>
  <si>
    <t>Oeiras</t>
  </si>
  <si>
    <t>DOMINGO PEREIRA DA SILVA MADEIREIRA</t>
  </si>
  <si>
    <t>AV. TRANSAMAZÔNICA, 33, BAIRRO CENTRO MUNICÍPIO DE OEIRAS PI, CEP: 64.500-000, OBSERVAÇÃO ESSAS COND</t>
  </si>
  <si>
    <t>2021-01-21 16:05:34</t>
  </si>
  <si>
    <t>X4TGZURI</t>
  </si>
  <si>
    <t>APRESENTAR INFORMAÇÃO FALSA NO SISTEMA OFICIAL DE CONTROLE DOF REFERENTE AO PROCEDIMENTO ADMINISTRATIVO DE RECEBIMENTO DE 192,377 m3 DE MADEIRA SERRADA ATRAVÉS DE 28 DOFs IDEOLOGICAMENTE FALSOS, DESCRITOS NA INFORMAÇÃO TÉCNICA N. xxx</t>
  </si>
  <si>
    <t>RICARDO LEAL MOURA FE</t>
  </si>
  <si>
    <t>RICARDO LEAL MOURA FÉ</t>
  </si>
  <si>
    <t>2021-01-22 11:11:33</t>
  </si>
  <si>
    <t>BMADCPFF</t>
  </si>
  <si>
    <t>APRESENTAR INFORMAÇÃO FALSA NO SISTEMA OFICIAL DE CONTROLE DOF, REFERENTE AO PROCEDIMENTO ADMINISTRATIVO DE RECEBIMENTO DE 75,43 m3 DE MADEIRA SERRADA ATRAVÉS DE 14 DOFs IDEOLOGICAMENTE FALSOS, DESCRITOS NA INFORMAÇÃO TÉCNICA N. xxx</t>
  </si>
  <si>
    <t>2021-01-19 11:00:00</t>
  </si>
  <si>
    <t>José de Freitas</t>
  </si>
  <si>
    <t>CASER &amp; CASER LTDA - ME</t>
  </si>
  <si>
    <t>CASER &amp; CASER LTDA</t>
  </si>
  <si>
    <t>2021-01-22 11:13:35</t>
  </si>
  <si>
    <t>R4UATZIG</t>
  </si>
  <si>
    <t>APRESENTAR INFORMAÇÃO FALSA NO SISTEMA OFICIAL DE CONTROLE DOF, REFERENTE AO PROCEDIMENTO ADMINISTRATIVO DE RECEBIMENTO DE 12,39 m3 DE MADEIRA SERRADA ATRAVÉS DE 2 (DOIS) DOFs IDEOLOGICAMENTE FALSOS, DESCRITOS NA INFORMAÇÃO TÉCNICA N. xxx</t>
  </si>
  <si>
    <t>2021-01-19 10:00:00</t>
  </si>
  <si>
    <t>Simões</t>
  </si>
  <si>
    <t>M. DE JUSUS CARVALHO - ME</t>
  </si>
  <si>
    <t>M DE JESUS CARVALHO</t>
  </si>
  <si>
    <t>2021-01-19 00:00:00</t>
  </si>
  <si>
    <t>2021-01-19 10:05:51</t>
  </si>
  <si>
    <t>K0IM3ZAU</t>
  </si>
  <si>
    <t>Deixar de cumprir a reposição florestal obrigatória de 54,16 metros cúbicos, referente o Despacho SEI n° 6307830/2019-NUBIO-GO/DITEC-GO/SUPES-GO de 31/10/2019, conforme processo no SEI-IBAMA n° 02010.000334/2016-65.</t>
  </si>
  <si>
    <t>2021-01-19 09:00:00</t>
  </si>
  <si>
    <t>Alto Paraíso de Goiás</t>
  </si>
  <si>
    <t>FENIX COMERCIO DE MATERIAIS DE CONSTRUÇÃO LTDA</t>
  </si>
  <si>
    <t>Rua Pouso Alto n° 17, Bairro, Paraisinho.</t>
  </si>
  <si>
    <t>2021-02-03 17:24:21</t>
  </si>
  <si>
    <t>53 § único Decreto 6514/2008.</t>
  </si>
  <si>
    <t>FIMOBDU0</t>
  </si>
  <si>
    <t>Fazer Funcionar atividades considerados efetiva ou potencialmente poluidores, contrariando as normas legais e regulamentos pertinentes. (desenquadramento do DBO conforme o 21° artigo, alínea D, da Resolução Conama 430/2011).</t>
  </si>
  <si>
    <t>2021-01-19 08:00:00</t>
  </si>
  <si>
    <t>Av. Elias Agostinho, 665, Imbetiba, Macaé/RJ</t>
  </si>
  <si>
    <t>2021-01-25 10:39:26</t>
  </si>
  <si>
    <t>CGN6IBQF</t>
  </si>
  <si>
    <t>Deixar de atender a exigências legais ou regulamentares quando devidamente notificado pela autoridade ambiental competente no prazo concedido, visando a regularização, correção ou adoção de medidas de controle para cessar a degradação ambiental.
OBS: deixou de atender a notificação - cód. DW57LBXJ.</t>
  </si>
  <si>
    <t>2021-01-19 05:00:00</t>
  </si>
  <si>
    <t>Ponta Porã</t>
  </si>
  <si>
    <t>ELIANE BARBOSA DE SOUZA DEL NERO</t>
  </si>
  <si>
    <t>Fazenda São Jorge - Ponta Porã - MS</t>
  </si>
  <si>
    <t>2021-02-11 19:21:07</t>
  </si>
  <si>
    <t>P2ONZY7Z</t>
  </si>
  <si>
    <t>Deixar de atender a exigências legais ou regulamentares quando devidamente notificado pela autoridade ambiental competente no prazo concedido, visando a regularização, correção ou adoção de medidas de controle para cessar a degradação.
OBS: deixou de atender a notificação - cód. IPXIUZ5C.</t>
  </si>
  <si>
    <t>2021-01-19 04:00:00</t>
  </si>
  <si>
    <t>Porto Murtinho</t>
  </si>
  <si>
    <t>CLAUDIO HARUO OKUYAMA</t>
  </si>
  <si>
    <t>Fazenda Nossa Senhora Aparecida do Rio Branco - Porto Murtinho - MS</t>
  </si>
  <si>
    <t>2021-02-08 12:44:35</t>
  </si>
  <si>
    <t>RO9ZBV4W</t>
  </si>
  <si>
    <t>Autorizar a condução de veículo automotor 
( caminhão FORD/CARGO 1119 K, de placa MLR 9287) em desacordo com os limites e exigências Ambientais previstos na legislação (Instrução Normativa Ibama 23/2009).</t>
  </si>
  <si>
    <t>2021-01-18 19:00:00</t>
  </si>
  <si>
    <t>Erechim</t>
  </si>
  <si>
    <t>CBS TRANSPORTES E COMERCIO DE PLANTAS LTDA</t>
  </si>
  <si>
    <t>Br 153 Km 38.7 Erechim RS</t>
  </si>
  <si>
    <t>2021-01-19 09:10:14</t>
  </si>
  <si>
    <t>VZOVV4PX</t>
  </si>
  <si>
    <t>Ter em cativeiro 01 espécime da fauna silvestre nativa (Sicalis flaveola - canário da terra) sem autorização da autoridade competente.</t>
  </si>
  <si>
    <t>Francielio da Silva Ferreira</t>
  </si>
  <si>
    <t>2021-01-25 10:38:19</t>
  </si>
  <si>
    <t>24 Inc. 3, § 3 Decreto 6514/2008; 24 Inc. 1 Decreto 6514/2008.</t>
  </si>
  <si>
    <t>6QCBAGB8</t>
  </si>
  <si>
    <t>Deixar de apresentar relatório anual de atividades, referente ao período 2016/2017, no prazo exigido pela Legislação. Referência Processo IBAMA nº 02026.000114/2021-20.</t>
  </si>
  <si>
    <t>Ipiranga Produtos de Petróleo S.A.</t>
  </si>
  <si>
    <t>2021-01-26 08:06:26</t>
  </si>
  <si>
    <t>17-C, Caput e §1° 10165/2000.</t>
  </si>
  <si>
    <t>7ZOXX2YZ</t>
  </si>
  <si>
    <t>Deixar de apresentar relatório anual de atividades, referente ao período 2019/2020, no prazo exigido pela Legislação. Referência Processo IBAMA nº 02026.000117/2021-63.</t>
  </si>
  <si>
    <t>2021-01-26 08:07:07</t>
  </si>
  <si>
    <t>Art. 17-C, Caput e §1° Lei 10.165/2000.</t>
  </si>
  <si>
    <t>3OUSPN6M</t>
  </si>
  <si>
    <t>Deixar de apresentar relatório anual de atividades, referente ao período 2017/2018, no prazo exigido pela Legislação. Referência Processo IBAMA nº 02026.000115/2021-74.</t>
  </si>
  <si>
    <t>2021-01-26 08:07:42</t>
  </si>
  <si>
    <t>Art. 17-C. , Caput e §1° Lei 10.165/2000.</t>
  </si>
  <si>
    <t>OQLTS9JB</t>
  </si>
  <si>
    <t>Deixar de apresentar relatório anual de atividades, referente ao período 2018/2019, no prazo exigido pela Legislação. Referência Processo IBAMA nº 02026.000116/2021-19.</t>
  </si>
  <si>
    <t>2021-01-26 08:08:29</t>
  </si>
  <si>
    <t>ZRJQE9CS</t>
  </si>
  <si>
    <t>Deixar de apresentar relatórios anuais no Cadastro Técnico Federal-CTF, o relatório da Lei 10.165/2000, referentes aos anos de 2018/2017 e 2019/2018, não foram entregues no prazo exigido pela legislação. Processo SEI 02285.000002/2021-18.</t>
  </si>
  <si>
    <t>2021-01-18 18:00:00</t>
  </si>
  <si>
    <t>2021-01-18</t>
  </si>
  <si>
    <t>NÉCTAR FARMACÊUTICA LTDA</t>
  </si>
  <si>
    <t>Terminal de Cargas (TECA) do Aeroporto Internacional de Viracopos</t>
  </si>
  <si>
    <t>2021-01-18 00:00:00</t>
  </si>
  <si>
    <t>2021-01-18 18:43:52</t>
  </si>
  <si>
    <t>K3B58YRI</t>
  </si>
  <si>
    <t>Deixar de apresentar relatório anual de atividades, referente ao período 2015/2016, no prazo exigido pela Legislação. Referência Processo IBAMA n° 02026.000113/2021-85.</t>
  </si>
  <si>
    <t>2021-01-26 08:04:25</t>
  </si>
  <si>
    <t>17-C, caput e parágrafo 1° 10165/2000.</t>
  </si>
  <si>
    <t>M2FXEY3L</t>
  </si>
  <si>
    <t>Ter em cativeiro 02 espécimes da fauna silvestre nativa (Sporophila nigricolis - Papa capim) sem autorização da autoridade competente.</t>
  </si>
  <si>
    <t>2021-01-18 16:00:00</t>
  </si>
  <si>
    <t>Jhoennys Pereira Nogueira</t>
  </si>
  <si>
    <t>2021-01-25 10:38:01</t>
  </si>
  <si>
    <t>PH1JQCFB</t>
  </si>
  <si>
    <t>Transportar  no caminhão de placas EJV 1601 na data de 16.08.2019, substância perigosa (liquido tóxico, orgânico, N.E. (BIS (TETRAKIS HIDROMETIL FOSFONICO) FOSFATO) (2:1), 6.1, III TOLCIDE PS75),
em desacordo com as exigências estabelecidas em regulamento. (observação: referente ao relato contido no boletim de acidente de trânsito protocolo n° xxx)</t>
  </si>
  <si>
    <t>2021-01-18 15:00:00</t>
  </si>
  <si>
    <t>Alejandro Israel Viera Reboliz</t>
  </si>
  <si>
    <t>Br 290 Km 662 Uruguaiana R S</t>
  </si>
  <si>
    <t>2021-01-19 09:13:19</t>
  </si>
  <si>
    <t>NC5RJ2YT</t>
  </si>
  <si>
    <t>Deixar de apresentar relatório anual de atividades referente aos anos de 2019/2018 e 2020/2019, nos prazos exigido pela Legislação, conforme Despacho SEI n° 8915442/2020-NQA-GO/DITEC-GO/SUPES-GO e Processo no SEI-IBAMA n° 02010.002639/1999-40.</t>
  </si>
  <si>
    <t>2021-01-18 13:00:00</t>
  </si>
  <si>
    <t>Doverlândia</t>
  </si>
  <si>
    <t>OLANDINA APARECIDA DE ANDRADE FARIA EIRELI</t>
  </si>
  <si>
    <t>Av. Joaquim Ramiro Vilela, s/n°, Qd. 24 Lt. 04, Setor Central.</t>
  </si>
  <si>
    <t>2021-02-02 19:05:38</t>
  </si>
  <si>
    <t>17, C 6938/2981.</t>
  </si>
  <si>
    <t>YIOC3HQH</t>
  </si>
  <si>
    <t>Deixar de apresentar relatório anual de atividades referente aos anos de 2015/2014, 2016/2015, 2017/2016, 2018/2017, 2019/2018 e 2020/2019, nos prazos exigido pela Legislação, conforme Despacho SEI n° 8915791/2020-NQA-GO/DITEC-GO/SUPES-GO e Processo no SEI-IBAMA n° 02010.000080/1999-03.</t>
  </si>
  <si>
    <t>Serranópolis</t>
  </si>
  <si>
    <t>JESUS RIBEIRO DA COSTA</t>
  </si>
  <si>
    <t>Rodovia GO 184, KM 53, Chácara Jatobá, Zona Rural.</t>
  </si>
  <si>
    <t>2021-02-02 19:13:06</t>
  </si>
  <si>
    <t>3EJVE7QU</t>
  </si>
  <si>
    <t>Deixar de dar destinação ambientalmente adequada a produtos agrotóxicos vencidos e suas embalagens, conforme determina a Lei 7.802/1989 e Decreto 4074/2002.</t>
  </si>
  <si>
    <t>Dom Pedrito</t>
  </si>
  <si>
    <t>ROBERTO ADELINO CORADINI</t>
  </si>
  <si>
    <t>Granja Upacaray</t>
  </si>
  <si>
    <t>2021-02-03 09:15:17</t>
  </si>
  <si>
    <t>62 Decreto 6514/2008.</t>
  </si>
  <si>
    <t>QETHH0UI</t>
  </si>
  <si>
    <t>Deixar de apresentar relatórios nos prazos exigidos pela legislação (RAPP CTF/APP anos 2018-2017 e 2019-2018)</t>
  </si>
  <si>
    <t>2021-01-18 12:08:09</t>
  </si>
  <si>
    <t>JOSE DOS REMEDIOS A. PEREIRA COMERCIO DE GAS - ME</t>
  </si>
  <si>
    <t>Rua José Pinto 10389 Bairro Coqueiro</t>
  </si>
  <si>
    <t>2021-01-18 12:17:15</t>
  </si>
  <si>
    <t>MW7DD8TY</t>
  </si>
  <si>
    <t>Apresentar Informação Falsa no Sistema Oficial de Controle CTF/APP, relativa ao porte declarado pela empresa entre os anos 2016 a 2020.</t>
  </si>
  <si>
    <t>2021-01-18 11:52:35</t>
  </si>
  <si>
    <t>2021-01-18 12:01:37</t>
  </si>
  <si>
    <t>UM92Y8GY</t>
  </si>
  <si>
    <t>Deixar de apresentar relatórios nos prazos exigidos pela legislação. RAPP CTF/APP  anos 2018-2017 e 2019-2018.</t>
  </si>
  <si>
    <t>2021-01-18 11:24:21</t>
  </si>
  <si>
    <t>Rua José Pinto n° 10389 Bairro Coqueiro
CEP: 64.220-000</t>
  </si>
  <si>
    <t>2021-01-18 11:44:09</t>
  </si>
  <si>
    <t>NS4P43PX</t>
  </si>
  <si>
    <t>Ter em depósito duas embalagens vazias de agrotóxico de origem estrangeira - Rhino 75 WDG - Tafirel, produto perigoso a saúde humana e ao meio ambiente, em desacordo com as exigências estabelecidas em leis e seus regulamentos.</t>
  </si>
  <si>
    <t>2021-01-18 11:00:00</t>
  </si>
  <si>
    <t>2021-01-19 09:36:29</t>
  </si>
  <si>
    <t>1, . 7802/1989.</t>
  </si>
  <si>
    <t>EMFP0VFO</t>
  </si>
  <si>
    <t>Transportar 125 litros de agrotóxicos de procedência estrangeira (contrabando), em desacordo com as normas e regulamentos vigentes.</t>
  </si>
  <si>
    <t>José Alexei Bittencourt Dias</t>
  </si>
  <si>
    <t>Localidade de Plano Alto, interior do município de Uruguaiana.</t>
  </si>
  <si>
    <t>2021-01-22 12:24:59</t>
  </si>
  <si>
    <t>8,    Decreto 4.074/2002.</t>
  </si>
  <si>
    <t>ILQT39EC</t>
  </si>
  <si>
    <t>Deixar de apresentar relatório anual de atividades referente aos anos de 2015/2014, 2016/2015, 2017/2016, 2018/2017, 2019/2018 e 2020/2019, nos prazos exigido pela Legislação, conforme Despacho SEI n° 8857349/2020-NQA-GO/DITEC-GO/SUPES-GO e Processo SEI-IBAMA n° 02010.001554/2020-92.</t>
  </si>
  <si>
    <t>2021-01-18 10:00:00</t>
  </si>
  <si>
    <t>Formosa</t>
  </si>
  <si>
    <t>BBR AUTO POSTO LTDA - ME</t>
  </si>
  <si>
    <t>Av. Maestro João Luiz do Espírito santo n° 944, Bairro, Formosinha.</t>
  </si>
  <si>
    <t>2021-02-03 17:15:10</t>
  </si>
  <si>
    <t>ZB5IHQU3</t>
  </si>
  <si>
    <t>Transportar um espécime da fauna silvestre nativa sem a devida licença ou autorização da autoridade ambiental competente</t>
  </si>
  <si>
    <t>2021-01-16 19:21:26</t>
  </si>
  <si>
    <t>CAIO DE ALCÂNTARA GOMES DA CRUZ</t>
  </si>
  <si>
    <t>Av rio  branco</t>
  </si>
  <si>
    <t>2021-01-16 19:26:54</t>
  </si>
  <si>
    <t>MXI3FO57</t>
  </si>
  <si>
    <t>Receber 85,5785 metros cúbicos de produtos florestais provenientes de DOFs inválidos, 2108134, 21018186, 16080147, portanto sem licença válida</t>
  </si>
  <si>
    <t>2021-01-15 18:00:00</t>
  </si>
  <si>
    <t>Juazeiro do Norte</t>
  </si>
  <si>
    <t>CLAUDIR FRANCISCO CASSOL - ME</t>
  </si>
  <si>
    <t>Claudia Francisco Cassol ME</t>
  </si>
  <si>
    <t>2021-02-03 10:39:07</t>
  </si>
  <si>
    <t>N21D9IAZ</t>
  </si>
  <si>
    <t>Receber 11 metros cúbicos de produtos florestais provenientes de DOF inválido, 16073521, portanto sem licença válida.</t>
  </si>
  <si>
    <t>Marco</t>
  </si>
  <si>
    <t>KIRIUS IND. E COM. DE MÓVEIS EM ALUMÍNIO LTDA. ME.</t>
  </si>
  <si>
    <t>Kirius Móveis</t>
  </si>
  <si>
    <t>2021-02-03 10:40:01</t>
  </si>
  <si>
    <t>DYQYK2EP</t>
  </si>
  <si>
    <t>Receber 41,011 metros cúbicos de produtos florestais provenientes de DOFs inválidos, 19776009 e 16073337, portanto sem licença válida.</t>
  </si>
  <si>
    <t>2021-01-15 16:47:04</t>
  </si>
  <si>
    <t>Morada Nova</t>
  </si>
  <si>
    <t>D J MATOS REBOUÇAS ME</t>
  </si>
  <si>
    <t>Madeireira Matos</t>
  </si>
  <si>
    <t>2021-01-15 16:51:13</t>
  </si>
  <si>
    <t>20HXY0YO</t>
  </si>
  <si>
    <t>Receber15,034 metros cúbicos de produtos florestais provenientes de DOF inválido, 15755596, portanto sem licença válida.</t>
  </si>
  <si>
    <t>2021-01-15 16:40:53</t>
  </si>
  <si>
    <t>Salitre</t>
  </si>
  <si>
    <t>CONSTRUART MATERIAL DE CONSTRUÇÃO LTDA</t>
  </si>
  <si>
    <t>Construart</t>
  </si>
  <si>
    <t>2021-01-15 16:43:49</t>
  </si>
  <si>
    <t>I9MNCCC2</t>
  </si>
  <si>
    <t>Receber 21,0120 metros cúbicos de produtos florestais provenientes de DOFs inválidos, 16451214 e 15521041, portanto sem licença válida.</t>
  </si>
  <si>
    <t>2021-01-15 16:33:15</t>
  </si>
  <si>
    <t>Várzea Alegre</t>
  </si>
  <si>
    <t>M A P BEZERRA DE BRITO ARAGÃO ME</t>
  </si>
  <si>
    <t>Casa Quincas</t>
  </si>
  <si>
    <t>2021-01-15 16:37:01</t>
  </si>
  <si>
    <t>I22CIX5L</t>
  </si>
  <si>
    <t>Receber21,082 metros cúbicos de produtos florestais provenientes de DOFs inválidos, 16454017 e 15496569, portanto sem licença válida.</t>
  </si>
  <si>
    <t>2021-01-15 16:23:30</t>
  </si>
  <si>
    <t>Jucás</t>
  </si>
  <si>
    <t>MORAIS E BARBOZA COMÉRCIO LTDA ME</t>
  </si>
  <si>
    <t>Morais e Barbosa comércio LTDA</t>
  </si>
  <si>
    <t>2021-01-15 16:26:58</t>
  </si>
  <si>
    <t>0J6A0DE2</t>
  </si>
  <si>
    <t>Receber 25 metros cúbicos de produtos florestais provenientes de DOFs inválidos, 19829723 e 15492857, portanto sem licença válida.</t>
  </si>
  <si>
    <t>2021-01-15 16:13:11</t>
  </si>
  <si>
    <t>São Benedito</t>
  </si>
  <si>
    <t>A. BRENNER BEZERRA</t>
  </si>
  <si>
    <t>A. Brenner Bezerra</t>
  </si>
  <si>
    <t>2021-01-15 16:16:48</t>
  </si>
  <si>
    <t>AAU4KL1Q</t>
  </si>
  <si>
    <t>Receber 198,68 metros cúbicos de produtos florestais provenientes de DOFs inválidos, 18632289, 18881286, 16816655, 16816742, 16665516, 18191469, 18201110 e 18201147, portanto sem licença válida.</t>
  </si>
  <si>
    <t>2021-01-15 16:05:17</t>
  </si>
  <si>
    <t>Crato</t>
  </si>
  <si>
    <t>MADEIREIRA SANTA LUZIA LTDA</t>
  </si>
  <si>
    <t>Serraria Santa Luzia</t>
  </si>
  <si>
    <t>2021-01-15 16:09:56</t>
  </si>
  <si>
    <t>45AAOC65</t>
  </si>
  <si>
    <t>Receber 108,3405 metros cúbicos de produtos florestais provenientes de DOFs inválidos, 18412423, 19838634, 19797530 e 16814288, portanto sem licença válida</t>
  </si>
  <si>
    <t>2021-01-15 15:51:21</t>
  </si>
  <si>
    <t>Barbalha</t>
  </si>
  <si>
    <t>Jeferson Ferreira Rofino ME</t>
  </si>
  <si>
    <t>SANTA EDWIRGES CONSTRUÇÕES</t>
  </si>
  <si>
    <t>2021-01-15 15:57:24</t>
  </si>
  <si>
    <t>7C03LZ33</t>
  </si>
  <si>
    <t>Utilizar 02 espécimes da fauna silvestre nativa ( Arara Canindé - Ara ararauna ) em desacordo com autoridade ambiental competente.</t>
  </si>
  <si>
    <t>2021-01-15 09:03:51</t>
  </si>
  <si>
    <t>Rindinelle Dutra Martins</t>
  </si>
  <si>
    <t>Rua 3 n. 33 Vila Marielsa</t>
  </si>
  <si>
    <t>2021-03-01 16:00:32</t>
  </si>
  <si>
    <t>24 II Decreto 6514; 24 III Decreto 6514; 70 1º Lei 9605; 72 Lei 9605; 3º II Decreto 6514; 3º IV Decreto 6514.</t>
  </si>
  <si>
    <t>UDI733SH</t>
  </si>
  <si>
    <t>Deixar de inscrever-se no Cadastro Técnico Federal de que trata o Art. 17 da Lei 6938/1981. Referência Processo IBAMA n° 02026.000101/2021-51</t>
  </si>
  <si>
    <t>2021-01-14 18:00:00</t>
  </si>
  <si>
    <t>2021-01-26 08:04:01</t>
  </si>
  <si>
    <t>YT0P0ZYR</t>
  </si>
  <si>
    <t>DEIXAR DE APRESENTAR RELATÓRIOS DE ATIVIDADE POTENCIALMENTE POLUIDORA, REFERENTE AOS EXERCÍCIOS 2015/2014, 2016/2015, 2017/2016, 2018/2017 e 2019/2018, NO PRAZO EXIGIDO PELA LEGISLAÇÃO.</t>
  </si>
  <si>
    <t>2021-01-14 11:00:00</t>
  </si>
  <si>
    <t>2021-01-13</t>
  </si>
  <si>
    <t>Paes Landim</t>
  </si>
  <si>
    <t>SAO JOSE TIJOLOS E PRODUTOS DO BARRO LTDA</t>
  </si>
  <si>
    <t>CERAMICA SAO JOSE
SAO JOSE TIJOLOS E PRODUTOS DO BARRO LTDA</t>
  </si>
  <si>
    <t>2021-01-15 00:00:00</t>
  </si>
  <si>
    <t>2021-01-15 09:06:04</t>
  </si>
  <si>
    <t>4Y9R57FK</t>
  </si>
  <si>
    <t>Deixar de apresentar os relatórios anuais de atividades poluidoras nos prazos exigidos pela legislação no sistema oficial de controle do IBAMA CTF relativos aos anos 2015/2014, 2016/2015, 2017/2016, 2018/2017 e 2019/2018.</t>
  </si>
  <si>
    <t>CARLOS AUGUSTO DE SOUSA ME</t>
  </si>
  <si>
    <t>2021-01-15 09:06:29</t>
  </si>
  <si>
    <t>0FJOBADO</t>
  </si>
  <si>
    <t>DEIXAR DE APRESENTAR RELATÓRIOS DE ATIVIDADE POTENCIALMENTE POLUIDORA REFERENTE AOS EXERCÍCIOS 2016/2015, 2017/2016, 2018/2017 e 2019/2018, NO PRAZO EXIGIDO PELA LEGISLAÇÃO</t>
  </si>
  <si>
    <t>São João do Piauí</t>
  </si>
  <si>
    <t>ALENCAR &amp; DAMASCENO-LTDA - ME</t>
  </si>
  <si>
    <t>SERVE BEM GÁS
ALENCAR E DAMASCENO LTDA</t>
  </si>
  <si>
    <t>2021-01-15 09:07:09</t>
  </si>
  <si>
    <t>O443VHQP</t>
  </si>
  <si>
    <t>DEIXAR DE APRESENTAR RELATÓRIOS DE ATIVIDADE POTENCIALMENTE POLUIDORA, REFERENTE AOS EXERCÍCIOS 2015/2014, 2016/2015, 2017/2016/ 2018/2017 e 2019/2018</t>
  </si>
  <si>
    <t>2021-01-14 10:00:00</t>
  </si>
  <si>
    <t>JUSCELINA MARIA LOPES DE CARVALHO</t>
  </si>
  <si>
    <t>POSTO SAO JOSÉ
JUSCELINA MARIA LOPES CARVALHO EPP
SIMÕES/PI</t>
  </si>
  <si>
    <t>2021-01-14 00:00:00</t>
  </si>
  <si>
    <t>2021-01-14 10:39:43</t>
  </si>
  <si>
    <t>AIPCQ7CN</t>
  </si>
  <si>
    <t>Apresentar Informação falsa no sistema Oficial de Controle DF.</t>
  </si>
  <si>
    <t>2021-01-13 16:00:00</t>
  </si>
  <si>
    <t>ANDREA ARAGÃO QUEIROZ LAMY</t>
  </si>
  <si>
    <t>Rua professor  Eloi Gomes n. 91</t>
  </si>
  <si>
    <t>2021-01-19 11:06:15</t>
  </si>
  <si>
    <t>C4S77CKV</t>
  </si>
  <si>
    <t>Vender, transportar ou guardar madeira de origem vegetal, sem licença válida para todo o tempo da viagem ou do armazenamento, outorgada pela autoridade competente. Neste ato referente ao Documento de Origem Florestal de 53,088 m³ de madeiras serradas de espécie florestal nativa Ochroma pyramidale, ou vulgarmente conhecida como madeira Balsa, objeto da nota fiscal eletrônica n° 449, série 001 de saída.</t>
  </si>
  <si>
    <t>terminal da DP World Santos</t>
  </si>
  <si>
    <t>ROTINA QUALIDADE AMBIENTAL</t>
  </si>
  <si>
    <t>2021-01-20 00:00:00</t>
  </si>
  <si>
    <t>2021-01-20 08:25:02</t>
  </si>
  <si>
    <t>36,   Lei 12.651/2012; 31,   IN IBAMA 21/2014.</t>
  </si>
  <si>
    <t>THASUQAS</t>
  </si>
  <si>
    <t>Apresentar informação falsa no sistemas oficias de Controle DF,</t>
  </si>
  <si>
    <t>2021-01-13 14:00:00</t>
  </si>
  <si>
    <t>Rorainópolis</t>
  </si>
  <si>
    <t>ROBERTO DE SOUSA LINDOSO</t>
  </si>
  <si>
    <t>VICINAL 16 Nova COLINA</t>
  </si>
  <si>
    <t>2021-01-19 11:07:16</t>
  </si>
  <si>
    <t>ADDP0KOP</t>
  </si>
  <si>
    <t>Vender 05 (cinco) espécimes controlados de origem vegetal (Orquídeas) sem licença válida outorgada pela autoridade competente (Documento de Origem Florestal - DOF).</t>
  </si>
  <si>
    <t>2021-01-13 12:00:00</t>
  </si>
  <si>
    <t>Paula Pires de Pontes</t>
  </si>
  <si>
    <t>Sede dos Correios. Quadra 102 Norte, Avenida Leste Oeste 4, n° 33-49, Plano Diretor Norte, Palmas-TO</t>
  </si>
  <si>
    <t>DES ROTINA FLORA</t>
  </si>
  <si>
    <t>2021-01-21 08:39:49</t>
  </si>
  <si>
    <t>32, Parágrafo único IN IBAMA n° 21/2014.</t>
  </si>
  <si>
    <t>1ZOP1V1A</t>
  </si>
  <si>
    <t>2021-01-13 10:00:00</t>
  </si>
  <si>
    <t>2021-01-12</t>
  </si>
  <si>
    <t>Dirceu Arcoverde</t>
  </si>
  <si>
    <t>ALEX DE OLIVEIRA SILVA MEE</t>
  </si>
  <si>
    <t>2021-01-14 08:37:44</t>
  </si>
  <si>
    <t>59FHN0G4</t>
  </si>
  <si>
    <t>STM/GEREX</t>
  </si>
  <si>
    <t>Deixar de atender a exigência legal descrita na Notificação n./série 30317/E (processo 02018.001258/2014-73).</t>
  </si>
  <si>
    <t>2021-01-12 23:00:00</t>
  </si>
  <si>
    <t>Santarém</t>
  </si>
  <si>
    <t>EDSON BARBOSA DA MATA</t>
  </si>
  <si>
    <t>GEREX-SANTARÉM-PA</t>
  </si>
  <si>
    <t>ROTINA ANUAL STM</t>
  </si>
  <si>
    <t>2021-01-14 09:45:30</t>
  </si>
  <si>
    <t>K2J9A4TK</t>
  </si>
  <si>
    <t>Apresentar informações falsas em sistema de controle de movimentação de créditos florestais com a movimentação de créditos florestais sem as devidas madeiras em no pátio da empresa.</t>
  </si>
  <si>
    <t>2021-01-12 16:00:00</t>
  </si>
  <si>
    <t>Cuiabá</t>
  </si>
  <si>
    <t>DOMICIANO MADEIRAS LTDA-EPP</t>
  </si>
  <si>
    <t>Superintendência do IBAMA em Mato Grosso</t>
  </si>
  <si>
    <t>ROTINA XII</t>
  </si>
  <si>
    <t>2021-01-22 17:20:31</t>
  </si>
  <si>
    <t>FQ5F97QY</t>
  </si>
  <si>
    <t>Apresentar informação falsa no sistema oficial de controle SISFLORA CCSEMA xxx entre 08 a 27 de novembro de 2019 estando suspensa para auditoria da empresa pelo termo ZHCXT26U.</t>
  </si>
  <si>
    <t>2021-01-12 15:00:00</t>
  </si>
  <si>
    <t>Juína</t>
  </si>
  <si>
    <t>IND. COM. E EXP. DE MADEIRAS AQUARIUS LTDA-ME</t>
  </si>
  <si>
    <t>Industria Comércio e Exportação de Madeiras Aquarius Eirelli ME</t>
  </si>
  <si>
    <t>2021-01-22 17:26:42</t>
  </si>
  <si>
    <t>6NYUGNCF</t>
  </si>
  <si>
    <t>Ter em deposito 1149,41 metros cúbicos de madeiras em toras e 33,1 metros cúbicos de madeiras serradas sem licença outorgada pela autoridade ambiental competente. 
Auditoria realizada dentro do procedimento administrativo 02013.002696/2020-47. Planilha de resultados consolidados no documento SEI xxx.</t>
  </si>
  <si>
    <t>2021-01-22 17:40:00</t>
  </si>
  <si>
    <t>HQ3L932D</t>
  </si>
  <si>
    <t>Destruir, consumando com uso do fogo, 54 hectares vegetação sem licença do órgão ambiental competente.ede</t>
  </si>
  <si>
    <t>2021-01-12 14:00:00</t>
  </si>
  <si>
    <t>2016-12-18</t>
  </si>
  <si>
    <t>Manicoré</t>
  </si>
  <si>
    <t>BEIJAMIM DOS SANTOS</t>
  </si>
  <si>
    <t>Ramal da União, Santo
Antônio do Matupi,
1532, BR 230, KM 156</t>
  </si>
  <si>
    <t>2021-01-28 15:36:48</t>
  </si>
  <si>
    <t>60 Inc. 1 Decreto 6514/2008; 50 § 2 Decreto 6514/2008.</t>
  </si>
  <si>
    <t>9DYKDPUD</t>
  </si>
  <si>
    <t>Deixar de apresentar os relatórios anuais de atividades poluidoras nos prazos exigidos pela legislação no sistema oficial de controle do IBAMA/CTF, relativos aos anos 2018/2017 e 2019/2018.</t>
  </si>
  <si>
    <t>2021-01-12 13:00:00</t>
  </si>
  <si>
    <t>2021-01-11</t>
  </si>
  <si>
    <t>F ANTÃO REIS &amp; CIA LTDA - POSTO PETROBRAS</t>
  </si>
  <si>
    <t>2021-01-14 08:35:30</t>
  </si>
  <si>
    <t>RWYOBX0Z</t>
  </si>
  <si>
    <t>Pescar em local proibido, definido pelo raio de 500 metros no entorno da plataforma de Petroleo Mexilhão 1, sendo com a embarcação Skiper III (RGP RJ- 0003739-7, TIE 381-386807-9, Frota 1.05.001-1.13), no dia 30/04/2020, nas coordenadas 24°21'18"S e 44°22'58"W, como área de segurança da plataforma, conforme relatórios do processo SEI n° 02027.004280/2020-12.</t>
  </si>
  <si>
    <t>2021-01-11 12:57:03</t>
  </si>
  <si>
    <t>ALTAMIR COELHO DE SOUZA</t>
  </si>
  <si>
    <t>Plataforma de Petroleo Mexilhão 1.</t>
  </si>
  <si>
    <t>2021-01-11 13:10:23</t>
  </si>
  <si>
    <t>35 Decreto 6514; 70 1º Lei 9605; 72 Lei 9605; 3º II Decreto 6514.</t>
  </si>
  <si>
    <t>Port. 131, 313 Normam - 08/DPC-2913.</t>
  </si>
  <si>
    <t>H73QHW1Y</t>
  </si>
  <si>
    <t>Pescar em local proibido, definido pelo raio de 500 metros no entorno da plataforma de Petroleo Merluza, sendo com a embarcação Skiper III (RGP RJ-0003739-7, TIE 381-386807-9, Frota 1.05.001-1.13), no dia 24/03/2020, nas coordenadas 25°15'56"S e 45°15'14"W, como área de segurança da plataforma, conforme relatórios no processo SEI n° 02027.003953/2020-17.</t>
  </si>
  <si>
    <t>2021-01-11 11:57:42</t>
  </si>
  <si>
    <t>Plataforma de Petroleo Merluza, na bacia de Santos.</t>
  </si>
  <si>
    <t>2021-01-11 12:33:01</t>
  </si>
  <si>
    <t>Port. 131, 313 Normal -08/DPC-2013.</t>
  </si>
  <si>
    <t>SE4BUM5O</t>
  </si>
  <si>
    <t>Lançar 0,0001 m³ (0,1 lt) de  óleo diesel ao mar pelo vazamento de um equipamento, na plataforma de Petroleo FPSO Dynamic Producer, em desacordo com as exigências estabelecidas nos itens II E III do Art. 3° da Lei 6938/81, conforme Laudo de Constatação do Parecer xxx, do processo 02001.102166/2017-31.</t>
  </si>
  <si>
    <t>2021-01-11 10:00:00</t>
  </si>
  <si>
    <t>Plataforma Petroleo FPSO Dynamic Producer. Bacia de Santos.</t>
  </si>
  <si>
    <t>2021-01-18 11:32:33</t>
  </si>
  <si>
    <t>AYBHFE9C</t>
  </si>
  <si>
    <t>Lançar a embarcação MV NAVIOS SUN(IMO: 9342865) resíduos sólidos ou líquidos neste ato configurado como lixo de carvão mineral em meio aquoso de limpeza dos porões no mar às coordenadas geográficas: 24° 12' 35,52"S/ 46°12'01,98"W, via sistema AIS da embarcação, localizado em águas interiores e dentro da zona de amortecimento do Parque Estadual Marinho da Lage de Santos-PEMLS, em desacordo ao Inc. II, do ART. 5, do  Decreto Estadual n° 37537/93 de criação do PEMLS e ao ART. 17 da Lei 9966/00, conforme dados do processo SEI 02027.008182/2020-09.</t>
  </si>
  <si>
    <t>CARGILL AGRICOLA S/A</t>
  </si>
  <si>
    <t>Fundeadouro n°05, área de fundeio do Porto de Santos, Santos/SP</t>
  </si>
  <si>
    <t>2021-02-23 18:45:14</t>
  </si>
  <si>
    <t>70 § 1 72 Lei 9605/98; 3 II 62 Decreto 6514/2008; 93 Decreto 6514/2008.</t>
  </si>
  <si>
    <t>5, II Decreto Estadual SP n° 37537/93.</t>
  </si>
  <si>
    <t>JO0LRE0K</t>
  </si>
  <si>
    <t>Explorar 67,929ha de floresta nativa com corte seletivo de madeira dentro da reserva legal da propriedade denominada FAZENDA MOCOCA II / Município de Bom Jesus do Tocantins/PA nas Coordenadas Geográfica central Lat. 04: 53' 07. 540"S Long. 48 39' 45.967"W, sem autorização do órgão Ambiental Competente.</t>
  </si>
  <si>
    <t>2021-01-08 19:00:00</t>
  </si>
  <si>
    <t>2020-06-29</t>
  </si>
  <si>
    <t>Bom Jesus do Tocantins</t>
  </si>
  <si>
    <t>ISAC LIMA DIAS</t>
  </si>
  <si>
    <t>Fazenda Mococa II, localizada Vicinal da Jaqueira, Km 21, Zona Rural - Bom Jesus Tocantins/PA</t>
  </si>
  <si>
    <t>ROTINA I - MAB</t>
  </si>
  <si>
    <t>2021-02-17 14:20:17</t>
  </si>
  <si>
    <t>9H7F5T1S</t>
  </si>
  <si>
    <t>Deixar de atender a notificação n. 690444 E, emitida em 13/09/2019, para apresentar comprovação de receita bruta auferida de 2010 a 2018 da empresa JML Minerações Ltda - ME.</t>
  </si>
  <si>
    <t>2021-01-08 13:00:00</t>
  </si>
  <si>
    <t>2021-01-08</t>
  </si>
  <si>
    <t>Maria Ozetina Vieira Leite</t>
  </si>
  <si>
    <t>Rua Almirante Rufino 1450,
 vila União
Fortaleza-CE.</t>
  </si>
  <si>
    <t>2021-01-20 10:43:32</t>
  </si>
  <si>
    <t>S55UBKYI</t>
  </si>
  <si>
    <t>Desmatar, a corte raso 9,7589 hectares de vegetação nativa, fora da área de reserva legal, sem autorização da autoridade ambiental competente.</t>
  </si>
  <si>
    <t>2021-01-08 08:00:00</t>
  </si>
  <si>
    <t>Barro Duro</t>
  </si>
  <si>
    <t>SANDRO ARÊA SOARES</t>
  </si>
  <si>
    <t>Localidade brejão - Zona Rural</t>
  </si>
  <si>
    <t>ROTINA JUNHO</t>
  </si>
  <si>
    <t>2021-01-22 14:25:19</t>
  </si>
  <si>
    <t>5PKPZ8R6</t>
  </si>
  <si>
    <t>Fazer funcionar atividades de pisicultura, utilizadora  de recursos ambientais e potencialmente poluidora, sem autorização do órgão ambiental competente.</t>
  </si>
  <si>
    <t>2021-01-08 06:00:00</t>
  </si>
  <si>
    <t>São João da Varjota</t>
  </si>
  <si>
    <t>Alzira Moura dos Santos</t>
  </si>
  <si>
    <t>Propriedade Peões do município de São João da Varjota/PI.</t>
  </si>
  <si>
    <t>2021-01-08 00:00:00</t>
  </si>
  <si>
    <t>2021-01-08 14:15:36</t>
  </si>
  <si>
    <t>LJ1NC99H</t>
  </si>
  <si>
    <t>Destruir  86,096 hectares de floresta nativa ra região Amazônica, objeto de especial preservação na Fazenda Mococa II no município  de Bom Jesus do Tocantins, nas Coordenadas Geográfico central, em três áreas distintas, sendo área 01  Lat. 04º 53'09,743¿S Long 48º 39¿58,957¿W, área 02 Lat. 04º 52'49,044¿S Long 48º 40¿15,308¿W. e área 03 Lat. 04º 52'51,659¿S Long 48º 40¿33,057¿W, sem autorização ou licença da autor idade ambiental competente.</t>
  </si>
  <si>
    <t>2021-01-07 21:10:33</t>
  </si>
  <si>
    <t>Imóvel Rural denominado Fazenda Mococa II, localizada na Vicinal da Jaqueira, Km 21- Zona Rural</t>
  </si>
  <si>
    <t>2021-01-07 21:48:19</t>
  </si>
  <si>
    <t>DC0HWVVJ</t>
  </si>
  <si>
    <t>Transportar 02 (duas) aves silvestres da fauna brasileira da mesma espécie, sem licença ou autorização da autoridade ambiental competente.</t>
  </si>
  <si>
    <t>2021-01-07 20:05:03</t>
  </si>
  <si>
    <t>Acari</t>
  </si>
  <si>
    <t>JULIELE DANTAS DE MACEDO</t>
  </si>
  <si>
    <t>BR: 427 - KM: 39.</t>
  </si>
  <si>
    <t>2021-01-07 20:21:41</t>
  </si>
  <si>
    <t>24 3º I Decreto 6514; 24 3º III Decreto 6514; 24 7º I Decreto 6514; 24 7º III Decreto 6514; 70 1º Lei 9605; 72 Lei 9605; 3º II Decreto 6514; 3º IV Decreto 6514.</t>
  </si>
  <si>
    <t>J4BB6GFE</t>
  </si>
  <si>
    <t>Transportando um cúrió, espécimes da fauna silvestre, sem licença ou autorização da autoridade ambiental competente.</t>
  </si>
  <si>
    <t>2021-01-07 17:00:00</t>
  </si>
  <si>
    <t>2021-01-07</t>
  </si>
  <si>
    <t>Thiago Brendo Ambrósio dos Santos</t>
  </si>
  <si>
    <t>Bairro Gentil Carneiro</t>
  </si>
  <si>
    <t>2021-01-08 17:38:10</t>
  </si>
  <si>
    <t>WBAFCUF6</t>
  </si>
  <si>
    <t>Apresentar informações falsas em sistema de controle de movimentação de créditos florestais com o uso de guias florestais com dados inverossímeis.
Fato constatado na Informação Técnica xxx (processo 02013.002504/20-01).</t>
  </si>
  <si>
    <t>SCHOFFEN INDUSTRIA E COMERCIO DE MADEIRAS LTDA</t>
  </si>
  <si>
    <t>Superintendência do IBAMA em Mato Grosso.</t>
  </si>
  <si>
    <t>2021-02-08 15:42:20</t>
  </si>
  <si>
    <t>LQNH0IRK</t>
  </si>
  <si>
    <t>Apresentar informações falsas nos sistemas oficiais de controle ou em qualquer outro procedimento administrativo ambiental.</t>
  </si>
  <si>
    <t>2021-01-07 16:12:48</t>
  </si>
  <si>
    <t>KOTOVICZ &amp; DIAS KOTOVICZ LTDA EPP</t>
  </si>
  <si>
    <t>SUPES/MT</t>
  </si>
  <si>
    <t>2021-02-26 18:45:34</t>
  </si>
  <si>
    <t>FO6FO396</t>
  </si>
  <si>
    <t>Apresentar informações falsas em sistema de controle de movimentação de créditos florestais com uso de guias florestais com dados inverossímeis.
Fato constatado na Informação Técnica xxx (processo 02013.002504/20-01).</t>
  </si>
  <si>
    <t>2021-01-07 16:00:00</t>
  </si>
  <si>
    <t>MADEIREIRA NOVA REPUBLICA LTDA ME</t>
  </si>
  <si>
    <t>2021-02-08 14:58:45</t>
  </si>
  <si>
    <t>XRFG0K9F</t>
  </si>
  <si>
    <t>Apresentar informações falsas em sistema de controle de movimentação de créditos florestais com uso de guias florestais com dados inverossímeis.
Fato constatado na Informação Técnica xxx. (processo 02013.002504/20-01)</t>
  </si>
  <si>
    <t>MADEVALDE INDUSTRIA E COMERCIO DE MADEIRAS LTDA EPP</t>
  </si>
  <si>
    <t>2021-02-08 15:06:25</t>
  </si>
  <si>
    <t>DYL9JA9W</t>
  </si>
  <si>
    <t>Apresentar informações falsas em sistema de controle de movimentação de créditos florestais com uso de guias florestais com dados inverossímeis.
Fato constatado na Informação Técnica xxx (Processo 02013.002504/2020-01).</t>
  </si>
  <si>
    <t>2021-01-07 15:00:00</t>
  </si>
  <si>
    <t>LISEO MARCOS</t>
  </si>
  <si>
    <t>2021-02-08 14:51:59</t>
  </si>
  <si>
    <t>A88OPFMF</t>
  </si>
  <si>
    <t>Apresentar informações falsas em sistema de controle de movimentação de créditos florestais com uso de guias florestais com dados inverossímeis. 
Fato constatado na Informação Técnica xxx (processo 02013.002504/2020-01)</t>
  </si>
  <si>
    <t>MADEFORTE INDUSTRIAL MADEIREIRA EIRELI EPP</t>
  </si>
  <si>
    <t>2021-02-08 15:40:46</t>
  </si>
  <si>
    <t>S6FTL0NS</t>
  </si>
  <si>
    <t>Apresentar informações falsas em sistema oficial de controle de movimentação de créditos florestais com uso de guias florestais contendo informações inverídicas.
Fatos constatados na Informação Técnica xxx (02013.002504/2020-01).</t>
  </si>
  <si>
    <t>2021-01-07 14:00:00</t>
  </si>
  <si>
    <t>4 A. R. INDUSTRIA E COMERCIO DE MADEIRAS LTDA EPP</t>
  </si>
  <si>
    <t>2021-02-08 15:13:31</t>
  </si>
  <si>
    <t>H4K66KIK</t>
  </si>
  <si>
    <t>Transportar 57,14 m3 de madeira serrada da espécie Hymenolobium petraeum sem licença válida para todo o tempo da viagem (DOF apresentado n. 24138747).</t>
  </si>
  <si>
    <t>2021-01-07 13:00:00</t>
  </si>
  <si>
    <t>Sabará</t>
  </si>
  <si>
    <t>CESAR RONHISKI IND. COM. IMP. E EXP. ME</t>
  </si>
  <si>
    <t>BR-381</t>
  </si>
  <si>
    <t>ROTINA I</t>
  </si>
  <si>
    <t>2021-01-12 00:00:00</t>
  </si>
  <si>
    <t>2021-01-12 11:44:33</t>
  </si>
  <si>
    <t>47 § 1,2,3 Decreto 6514/2008.</t>
  </si>
  <si>
    <t>PYK2N805</t>
  </si>
  <si>
    <t>portar motosserra sem licença ou registro da autoridade ambiental competente.</t>
  </si>
  <si>
    <t>2021-01-07 12:00:00</t>
  </si>
  <si>
    <t>2021-01-06</t>
  </si>
  <si>
    <t>WALDEIR NUNES DE OLIVEIRA</t>
  </si>
  <si>
    <t>Br 432 km 120</t>
  </si>
  <si>
    <t>2021-01-08 17:41:33</t>
  </si>
  <si>
    <t>SKM9XBOX</t>
  </si>
  <si>
    <t>2021-01-07 11:29:35</t>
  </si>
  <si>
    <t>V. F. BOCCA MADEIRAS LTDA - EPP (MADEREIRA CRISTO REI)</t>
  </si>
  <si>
    <t>SUPES-MT</t>
  </si>
  <si>
    <t>2021-02-26 18:46:55</t>
  </si>
  <si>
    <t>80RVMDUN</t>
  </si>
  <si>
    <t>2021-01-07 11:05:41</t>
  </si>
  <si>
    <t>L G LAMINADOS EIRELI - EPP</t>
  </si>
  <si>
    <t>2021-02-26 18:48:14</t>
  </si>
  <si>
    <t>RSF8EYGV</t>
  </si>
  <si>
    <t>2021-01-07 10:43:28</t>
  </si>
  <si>
    <t>INDUSTRIA E COM. DE MADEIRAS FERNANDES LTDA. ME</t>
  </si>
  <si>
    <t>2021-02-26 18:49:35</t>
  </si>
  <si>
    <t>JQJ01LZZ</t>
  </si>
  <si>
    <t>2021-01-07 10:00:00</t>
  </si>
  <si>
    <t>JOAO DA SILVA RIBEIRO</t>
  </si>
  <si>
    <t>BR 174 Km 204</t>
  </si>
  <si>
    <t>2021-01-08 10:31:45</t>
  </si>
  <si>
    <t>25OFLF59</t>
  </si>
  <si>
    <t>Permitir a condução de veículos automotores em desacordo com as exigências ambientais previstas na legislação. Identificados, pela Polícia Rodoviária Federal, o veículo de placa EKH6427, de responsabilidade da empresa autuada, em trânsito em 10/07/2019 pela rodovia BR-126, km 18, em Lavrinhas/SP com irregularidade em seus sistemas SCR/ARLA 32. Referência: Termos Circunstanciados de Ocorrência PRF n°: xxx.</t>
  </si>
  <si>
    <t>2021-01-06 17:59:05</t>
  </si>
  <si>
    <t>SUL CONTINENTAL TRANSPORTES LTDA</t>
  </si>
  <si>
    <t>SUL CONTINENTAL TRANSPORTE LTDA</t>
  </si>
  <si>
    <t>2021-01-06 18:12:10</t>
  </si>
  <si>
    <t>3FJ4BH0A</t>
  </si>
  <si>
    <t>2021-01-06 17:50:39</t>
  </si>
  <si>
    <t>GUARNIERI INDUSTRIAL MADEIREIRA EIRELI EPP</t>
  </si>
  <si>
    <t>2021-02-26 18:51:03</t>
  </si>
  <si>
    <t>44A5FXSR</t>
  </si>
  <si>
    <t>2021-01-06 17:00:25</t>
  </si>
  <si>
    <t>PETROSKI &amp; CIA LTDA</t>
  </si>
  <si>
    <t>2021-02-26 18:52:35</t>
  </si>
  <si>
    <t>TETC3QMW</t>
  </si>
  <si>
    <t>Portar motosserra da Marca Toyama 116DB com saibre e corrente sem numeração</t>
  </si>
  <si>
    <t>2021-01-06 13:00:00</t>
  </si>
  <si>
    <t>2021-01-05</t>
  </si>
  <si>
    <t>Antônio Valdimar Batista</t>
  </si>
  <si>
    <t>BR 174 KM 107</t>
  </si>
  <si>
    <t>2021-01-07 00:00:00</t>
  </si>
  <si>
    <t>2021-01-07 09:29:43</t>
  </si>
  <si>
    <t>LHTZV903</t>
  </si>
  <si>
    <t>Trafegar com veículo automotor (motocicleta Honda/NXR160, Placa PNN 0795) em local proíbido (crista da duna) no interior do Parque Nacional de Jericoacoara-CE.</t>
  </si>
  <si>
    <t>Penalidade pecuniária - Unidades de conservação</t>
  </si>
  <si>
    <t>Unidade de Conservação</t>
  </si>
  <si>
    <t>2021-01-06 12:33:27</t>
  </si>
  <si>
    <t>Jijoca de Jericoacoara</t>
  </si>
  <si>
    <t>PARNA de Jericoacoara</t>
  </si>
  <si>
    <t>Infração de Unidades de Conservação(Não Classificada-Móvel)</t>
  </si>
  <si>
    <t>Augusto Cezar Martins Filho</t>
  </si>
  <si>
    <t>Dunas no Amâncio, no interior do Parque Nacional de Jericoacoara.</t>
  </si>
  <si>
    <t>2021-01-06 12:52:25</t>
  </si>
  <si>
    <t>90 Decreto 6514; 70 1º Lei 9605; 72 Lei 9605; 3º II Decreto 6514.</t>
  </si>
  <si>
    <t>L02ZCDRV</t>
  </si>
  <si>
    <t>Portar motosserra em floresta ou demais forma de vegetação , sem licença ou registro da autoridade ambiental competente</t>
  </si>
  <si>
    <t>2021-01-06 12:00:00</t>
  </si>
  <si>
    <t>JOSE EVANGELISTA TEIXEIRA ARAUJO</t>
  </si>
  <si>
    <t>Avenida Brigadeiro Eduardo Gomes n. 4853 Bairro Aeroporto</t>
  </si>
  <si>
    <t>2021-01-07 09:30:45</t>
  </si>
  <si>
    <t>E6SXK34G</t>
  </si>
  <si>
    <t>Receber 59 metros cúbicos de produtos florestais provenientes de DOFs inválidos, 19682337, 19925897, 16271165, portanto sem licença válida.</t>
  </si>
  <si>
    <t>Pacatuba</t>
  </si>
  <si>
    <t>GERARDO MAGELA ABREU DE MATOS ME</t>
  </si>
  <si>
    <t>Av Dr. Mendel Steinbruch, 4264. Gerardo Magela</t>
  </si>
  <si>
    <t>2021-01-20 12:51:32</t>
  </si>
  <si>
    <t>H9XQ1RAP</t>
  </si>
  <si>
    <t>Permitir a condução de veículos automotores em desacordo com as exigências ambientais previstas na legislação. Identificados, pela Polícia Rodoviária Federal, o veículo de placa AYS9098, de responsabilidade da empresa autuada, em trânsito em 15/07/2019 pela rodovia BR-126, km 18, em Lavrinhas/SP com irregularidade em seus sistemas SCR/ARLA 32. Referência: Termos Circunstanciados de Ocorrência PRF n°: xxx</t>
  </si>
  <si>
    <t>2021-01-05 20:37:23</t>
  </si>
  <si>
    <t>EXPRESSO SÃO PAULO MINAS LTDA</t>
  </si>
  <si>
    <t>EXPRESSO SAO PAULO MINAS LTDA</t>
  </si>
  <si>
    <t>2021-01-06 17:49:44</t>
  </si>
  <si>
    <t>O5C9XZKJ</t>
  </si>
  <si>
    <t>Realizar atividade comercial, passeio de Quadriciclo Chassi 9C2TE4300KR001741, no interior do Parque Nacional de Jericoacoara, utilizando veículo sem autorização, em desacordo com a Portaria ICMBio n° 08/2016.</t>
  </si>
  <si>
    <t>2021-01-05 18:00:00</t>
  </si>
  <si>
    <t>Jose Valter Vasconcelos</t>
  </si>
  <si>
    <t>Arrombado, Parque Nacional de Jericoacoara</t>
  </si>
  <si>
    <t>2021-02-03 12:18:59</t>
  </si>
  <si>
    <t>90 Decreto 6514/2008.</t>
  </si>
  <si>
    <t>RWIHBJ6W</t>
  </si>
  <si>
    <t>Permitir a condução de veículos automotores em desacordo com as exigências ambientais previstas na legislação. Identificados, pela Polícia Rodoviária Federal, o veículo de placa BCX1G89, de responsabilidade da empresa autuada, em trânsito em 15/07/2019 pela rodovia BR-126, km 18, em Lavrinhas/SP com irregularidade em seus sistemas SCR/ARLA 32. Referência: Termos Circunstanciados de Ocorrência PRF n°: xxx</t>
  </si>
  <si>
    <t>2021-01-05 16:52:49</t>
  </si>
  <si>
    <t>G UM TRANSPORTES LTDA</t>
  </si>
  <si>
    <t>G UM TRANSPORTES LTDA - CNPJ 07.229.992/0001-72</t>
  </si>
  <si>
    <t>2021-01-05 18:52:13</t>
  </si>
  <si>
    <t>MX5GMIQF</t>
  </si>
  <si>
    <t>Ter em cativeiro 4 pássaros da fauna silvestre brasileira, sem autorização dos órgãos ambientais competentes.</t>
  </si>
  <si>
    <t>2021-01-05 14:00:00</t>
  </si>
  <si>
    <t>Francisco Ronaldo Rodrigues Madeiraadeira</t>
  </si>
  <si>
    <t>Rua João Vitor 1983 Bom Jardim</t>
  </si>
  <si>
    <t>2021-01-20 10:36:59</t>
  </si>
  <si>
    <t>24 Inc. 3 Decreto 6514/2008.</t>
  </si>
  <si>
    <t>D8KTRRW5</t>
  </si>
  <si>
    <t>Receber 40,03 metros cúbicos de produtos florestais provenientes de DOFs inválidos, n° 15846514 e 15846617, portanto sem licença válida.</t>
  </si>
  <si>
    <t>2021-01-05 12:04:05</t>
  </si>
  <si>
    <t>R G COMERCIO DE MADEIRAS LTDA ME</t>
  </si>
  <si>
    <t>Av General Osório de Paiva. R G Comércio de Madeiras</t>
  </si>
  <si>
    <t>2021-01-05 12:08:22</t>
  </si>
  <si>
    <t>W2E8RDKU</t>
  </si>
  <si>
    <t>Receber 32,42 metros cúbicos de produtos florestais provenientes de DOF inválido, n° 15800580, portanto sem licença válida.</t>
  </si>
  <si>
    <t>2021-01-05 12:00:00</t>
  </si>
  <si>
    <t>MADEREIRA CASTELO LTDA - ME</t>
  </si>
  <si>
    <t>Rua Marechal Bittencourt, 543. Madeireira Castelo</t>
  </si>
  <si>
    <t>2021-01-29 16:23:05</t>
  </si>
  <si>
    <t>IE598TE5</t>
  </si>
  <si>
    <t>Permitir a condução de veículos automotores em desacordo com as exigências ambientais previstas na legislação. Identificados, pela Polícia Rodoviária Federal, o veículo de placa QRC0035, de responsabilidade da empresa autuada, em trânsito em 15/07/2019 pela rodovia BR-126, km 18, em Lavrinhas/SP com irregularidade em seus sistemas SCR/ARLA 32. Referência: Termos Circunstanciados de Ocorrência PRF n°: xxx</t>
  </si>
  <si>
    <t>2021-01-05 11:32:11</t>
  </si>
  <si>
    <t>GT MINAS TRANSPORTES E DISTRIBUIDORA LTDA</t>
  </si>
  <si>
    <t>GT MINAS TRANSPORTES E DISTRIBUIDORA LTDA - CNPJ 07.275.520/0002-37</t>
  </si>
  <si>
    <t>2021-01-05 11:45:49</t>
  </si>
  <si>
    <t>I53NOCPC</t>
  </si>
  <si>
    <t>Permitir a condução de veículos automotores em desacordo com as exigências ambientais previstas na legislação. Identificados, pela Polícia Rodoviária Federal, o veículo de placa LSY8956, de responsabilidade da empresa autuada, em trânsito em 10/07/2019 pela rodovia BR-126, km 18, em Lavrinhas/SP com irregularidade em seus sistemas SCR/ARLA 32. Referência: Termos Circunstanciados de Ocorrência PRF n°: xxx.</t>
  </si>
  <si>
    <t>2021-01-04 19:27:56</t>
  </si>
  <si>
    <t>EDEZIO R. DA SILVA</t>
  </si>
  <si>
    <t>EDEZIO R DA SILVA -CNPJ 19.941.218/0001-79</t>
  </si>
  <si>
    <t>2021-01-04 19:39:08</t>
  </si>
  <si>
    <t>4DWMKVV5</t>
  </si>
  <si>
    <t>Permitir a condução de veículos automotores em desacordo com as exigências ambientais previstas na legislação. Identificados, pela Polícia Rodoviária Federal, o veículo de placa QJT0158, de responsabilidade da empresa autuada, em trânsito em 05/06/2019 pela rodovia BR-126, km 18, em Lavrinhas/SP com irregularidade em seus sistemas SCR/ARLA 32. Referência: Termos Circunstanciados de Ocorrência PRF n°: xxx</t>
  </si>
  <si>
    <t>2021-01-04 15:20:36</t>
  </si>
  <si>
    <t>SEKALOG TRANSPORTES LTDA</t>
  </si>
  <si>
    <t>SEKALOG TRANSPORTES LTDA - CNPJ 10.456.776/0002-40</t>
  </si>
  <si>
    <t>2021-01-04 15:27:57</t>
  </si>
  <si>
    <t>2AO5Y8Z7</t>
  </si>
  <si>
    <t>Realizar conduta em desacordo com o Plano de Manejo da Unidade de Conservação Parque Nacional de Jericoacoara, por trafegar com  veículo automotivo (Quadricículo Yamarra YFZ450) em local proíbido - Duna do Amâncio.</t>
  </si>
  <si>
    <t>2021-01-04 15:00:00</t>
  </si>
  <si>
    <t>2021-01-04</t>
  </si>
  <si>
    <t>Jefferson Nardison Morais dos Santos</t>
  </si>
  <si>
    <t>Duna do Amâncio</t>
  </si>
  <si>
    <t>2021-02-03 12:20:02</t>
  </si>
  <si>
    <t>7994JABQ</t>
  </si>
  <si>
    <t>Transportar produto perigoso em desacordo com as exigências estabelecidas na legislação. Identificada, pela Polícia Rodoviária Federal, a composição rodoviária de placas CUE-5592 e NZE-0844, de responsabilidade da empresa autuada, em trânsito em 25/11/2020 pela rodovia BR-116, km 18, em Lavrinhas/SP com irregularidade referente a falta de sinalização adequada para o transporte de produtos perigosos. Referência: Boletim de Ocorrência PRF n°: xxx.</t>
  </si>
  <si>
    <t>2021-01-04 14:37:49</t>
  </si>
  <si>
    <t>Dracena Locação de Veículos e Equipamentos Ltda</t>
  </si>
  <si>
    <t>Rodovia BR-116 (Presidente Dutra) - km 18 Lavrinhas/SP</t>
  </si>
  <si>
    <t>2021-01-04 14:53:03</t>
  </si>
  <si>
    <t>K3OMSETP</t>
  </si>
  <si>
    <t>Permitir a condução de veículos automotores em desacordo com as exigências ambientais previstas na legislação. Identificados, pela Polícia Rodoviária Federal, o veículo de placa ODM3993, de responsabilidade da empresa autuada, em trânsito em 13/08/2019 pela rodovia BR-126, km 18, em Lavrinhas/SP com irregularidade em seus sistemas SCR/ARLA 32. Referência: Termos Circunstanciados de Ocorrência PRF n°: xxx</t>
  </si>
  <si>
    <t>2021-01-04 14:24:17</t>
  </si>
  <si>
    <t>TRANSPORTADORA JOLIVAN LTDA</t>
  </si>
  <si>
    <t>Transportadora JOLIVAN Ltda - CNPJ 32.438.772/0002-87</t>
  </si>
  <si>
    <t>2021-01-04 14:32:23</t>
  </si>
  <si>
    <t>TF9EPVVK</t>
  </si>
  <si>
    <t>2021-01-04 14:03:58</t>
  </si>
  <si>
    <t>Transportadora JOLIVAN Ltda - CNPJ 324.387.772/0002-87</t>
  </si>
  <si>
    <t>2021-01-04 14:08:34</t>
  </si>
  <si>
    <t>6X467X3K</t>
  </si>
  <si>
    <t>Receber 18 metros cúbicos de produtos florestais provenientes de DOF inválido, n° 15464893, portanto sem licença válida.</t>
  </si>
  <si>
    <t>2021-01-04 14:00:00</t>
  </si>
  <si>
    <t>J R D DE MOURA MADEIRAS - ME</t>
  </si>
  <si>
    <t>Rua Santo Expedito, 110. J R D de Moura</t>
  </si>
  <si>
    <t>2021-01-20 12:08:11</t>
  </si>
  <si>
    <t>K6A12AD5</t>
  </si>
  <si>
    <t>Realizar atividade econômica (passeio de quadriciclos) em desacordo com a licença emitida, utilizando 02 (dois) quadriciclos não cadastros no interior do Parque Nacional de Jericoacoara-CE.</t>
  </si>
  <si>
    <t>2021-01-03 16:00:00</t>
  </si>
  <si>
    <t>2021-01-03</t>
  </si>
  <si>
    <t>José Hercules Araujo Brandão</t>
  </si>
  <si>
    <t>Pontal do Guriu- Interior do Parque Nacional de Jericoacoara.</t>
  </si>
  <si>
    <t>2021-02-03 12:24:43</t>
  </si>
  <si>
    <t>1°, . Portaria ICMBio n° 08/2016..</t>
  </si>
  <si>
    <t>8QUMKUS9</t>
  </si>
  <si>
    <t>Trafegar em local provido, em desacordo com o Plano de Manejo da UC, no interior do PARNA de Jericoacoara</t>
  </si>
  <si>
    <t>2021-01-02 18:34:08</t>
  </si>
  <si>
    <t>Fred Aiache da Luz</t>
  </si>
  <si>
    <t>Praia da Malhada</t>
  </si>
  <si>
    <t>DES ROTINA</t>
  </si>
  <si>
    <t>2021-01-12 15:21:06</t>
  </si>
  <si>
    <t>A</t>
  </si>
  <si>
    <t>PARNA ORGAOS</t>
  </si>
  <si>
    <t>POSSE ILEGAL DE ESPÉCIME DA AVEFAUNA SILVESTRE BRASILEIRA.</t>
  </si>
  <si>
    <t>Cachoeiras de Macacu</t>
  </si>
  <si>
    <t>Manter em cativeiro espécimes da fauna silvestre não proveniente de criadouro (sem fins comerciais) em casa/apartamento/estabelecimento comercial, etc.</t>
  </si>
  <si>
    <t>FORN MAT CONSTR CHICA RICA DO ADOLFO LTDA</t>
  </si>
  <si>
    <t>Cancelado</t>
  </si>
  <si>
    <t>E</t>
  </si>
  <si>
    <t>Destruir 69,65 há de floresta nativa do bioma amzonico,objeto de especial preservação ,sem a autorização da autoridade competente .</t>
  </si>
  <si>
    <t>Tapurah</t>
  </si>
  <si>
    <t>RAFAEL CARDERALLI</t>
  </si>
  <si>
    <t>Coordenada Geografia 56º34 38 78 w 12º 22 34  36 S</t>
  </si>
  <si>
    <t>70 1° 72 II,VII Lei 9605/98; 3 II,VII 50 Decreto 6514/2008.</t>
  </si>
  <si>
    <t>Pescar sem licença do Orgão Ambiental. Conforme B.O N° xxx e xxx/ 3° GPA/ 2011, Osório.</t>
  </si>
  <si>
    <t>ANDRE DO NASCIMENTO ABRÃO</t>
  </si>
  <si>
    <t>Rua São Guilherme  750 Porto Alegre</t>
  </si>
  <si>
    <t>70 1° 72 II Lei 9605/98; 3 II 37 Decreto 6514/2008.</t>
  </si>
  <si>
    <t>BA/SUPES</t>
  </si>
  <si>
    <t>Deixar de atender a notificação administrativa para recadastramento no Cadastro Técnico Federal, CTF/APP, no prazo concedido pela autoridade ambiental competente.</t>
  </si>
  <si>
    <t>Salvador</t>
  </si>
  <si>
    <t>CHIPRE INVESTIMENTOS IMOBILIÁRIOS LTDA</t>
  </si>
  <si>
    <t>Rua Frederico Simões n° 85 Edf. Empresarial Simonsen sala 404, Caminho  das Arvores, CEP 41820774, Salvador /Bahia</t>
  </si>
  <si>
    <t>70 1° 72 II Lei 9605/98; 3 II 80 Decreto 6514/2008.</t>
  </si>
  <si>
    <t>Leve</t>
  </si>
  <si>
    <t>Deixar de apresentar relatorios anuais nos prazos exigidos pela legislação referente aos anos de 2013/2012, 2014/2013 e 2015/2014.</t>
  </si>
  <si>
    <t>Candeias</t>
  </si>
  <si>
    <t>UTE MC2 GOVERNADOR MANGABEIRA S.A.</t>
  </si>
  <si>
    <t>Via Matoim Braço BC s/n Centro Industrial de Aratú, Candeias, Ba</t>
  </si>
  <si>
    <t>70 1° 72 II Lei 9605/98; 3 II 81 Decreto 6514/2008.</t>
  </si>
  <si>
    <t>Deixar de atender a notificação administrativa para recadastramento no Cadastro Técnico Federal - CTF/APP, no prazo concedido pela autoridade ambiental competente.</t>
  </si>
  <si>
    <t>Via Matoim, Braço BC, CIA Norte, CEP 43813000, Candeias-Ba.</t>
  </si>
  <si>
    <t>Deixar de apresentar relatorios anuais nos prazos exigidos pela legislação referente aos anos de 2011/2010, 2012/2011, 2013/2012, 2014/2013 e 2015/2014.</t>
  </si>
  <si>
    <t>Camaçari</t>
  </si>
  <si>
    <t>WILSON, SONS LOGÍSTICA LTDA</t>
  </si>
  <si>
    <t>Rua Benzeno, n° 2391, Polo Petroquímico, CEP 41810020, Camaçari, Bahia.</t>
  </si>
  <si>
    <t>Rua Benzeno n° 2391, Polo Petroquímico , Cep 42810020, Camaçari,Bahia.</t>
  </si>
  <si>
    <t>Deixar de entregar os relatorios anuais nos prazos exigidos pela legislação vigente, referente aos anos de 2013/2012, 2014/2013, 2015/2014.</t>
  </si>
  <si>
    <t>UTE MC2 SAPEACU S.A.</t>
  </si>
  <si>
    <t>Via Matoim,Braço BC, S/N, CIA Norte, Candeias, CEP 43813000, Bahia</t>
  </si>
  <si>
    <t>Deixar de entregar os relatorios do Protocolo de Montreal, nos prazos exigidos pela legislação vigente, referente aos anos de 2012/2011, 2013/2012, 2014/2013 e 2015/2014.</t>
  </si>
  <si>
    <t>UNILEVER BRASIL LTDA.</t>
  </si>
  <si>
    <t>Via Urbano Industrial Km 3,5 qd 01 lt 16 Aratú , Simões Filho</t>
  </si>
  <si>
    <t>Deixar de atender as exigências legais ou regulamentares quando devidamente notificado pela autoridade ambiental competente no prazo concedido, descumprindo a obrigação estipulada no artigo 46 da IN n° 06/2013.</t>
  </si>
  <si>
    <t>Via Urbana Industrial Km 3,5</t>
  </si>
  <si>
    <t>Deixar de apresentar relatorios anuais nos prazos exigidos pela legislação vigente, referente aos anos de 2014/2013 e 2015/2014.</t>
  </si>
  <si>
    <t>TRANSPORTADORA RAPIDO CANARINHO LTDA</t>
  </si>
  <si>
    <t>Rodovia BR 116 Km 530 - Itatim/Ba</t>
  </si>
  <si>
    <t>Deixar de atender as exigências legais ou regulamentares quando devidamente notificado pela autoridade ambiental competente no prazo concedido, descumprindo a obrigação estipulada no Artigo 46 da IN n° 06/2013</t>
  </si>
  <si>
    <t>ROD BR 116 km 530 Zona Rural - Itatim/Ba</t>
  </si>
  <si>
    <t>Deixar de apresentar relatorios anuais  nos prazos exigidos pela legislação referente aos anos de 2004/2003, 2005/2004, 2006/2005, 2008/2007, 2009/2008, 2010/2009, 2011/2010, 2012/2011, 2013/2012, 2014/2013 e 2015/2014.</t>
  </si>
  <si>
    <t>TRANSPORTADORA ITAPEMIRIM S/A</t>
  </si>
  <si>
    <t>Rodovia BR 324 Km 5,6 Loteamento Granjas Rurais Presidente Vargas.</t>
  </si>
  <si>
    <t>Deixar de atender as exigências legais ou regulamentares quando devidamente notificado pela autoridade ambiental competente no prazo concedido, descumprindo a obrigação estipulada no Art 46 da IN 06/2013.</t>
  </si>
  <si>
    <t>BR 324 Km 5,6 Loteamento Granjas Rurais Presidente Vargas. Porto Seco Pirajá.</t>
  </si>
  <si>
    <t>Deixar de atender as exigências legais ou regulamentares quando devidamente notificado pela autoridade ambiental competente no prazo concedido.</t>
  </si>
  <si>
    <t>Via Matoim,Braço BC, S/N - CIA Norte, Candeias. Cep 43813-000</t>
  </si>
  <si>
    <t>ELABORAR INFORMAÇÕES FALSAS NO SISTEMA OFICIAL DE CONTROLE - SISDOF,ATRAVÉS DA VENDA SIMULADA DE 526,72 M3 DE MADEIRA DE ACORDO COM A INFORMAÇÃO TÉCNICA N° xxx,PROCESSO 02012.000133/2013-03.</t>
  </si>
  <si>
    <t>São Luís</t>
  </si>
  <si>
    <t>AVENIDA LOURENÇO VIEIRA DA SILVA 07, TIRIRICAL- SÃO LUIS/MA.</t>
  </si>
  <si>
    <t>70 1° 72 II Lei 9605/98; 3 II 82 Decreto 6514/2008.</t>
  </si>
  <si>
    <t>Destruir 144,18hectares de floresta nativa na região amazônica objeto de especial preservção sem autorização do órgão ambiental.ID 2015LC8027095</t>
  </si>
  <si>
    <t>Feliz Natal</t>
  </si>
  <si>
    <t>Amazonia, Caatinga</t>
  </si>
  <si>
    <t>AGROPECUÁRIA SOL NASCENTE LTDA</t>
  </si>
  <si>
    <t>Gleba 23 de Setembro Zona Rural - Feliz Natal - Cx. Postal 127</t>
  </si>
  <si>
    <t>SIN/GEREX</t>
  </si>
  <si>
    <t>70 1° 72 II,IV,VII Lei 9605/98; 3 II,IV,VII 66 - Decreto 6514/2008.</t>
  </si>
  <si>
    <t>Grave</t>
  </si>
  <si>
    <t>Descumprir embargo ( Utilizando uso de fogo ) em area de 742,31 hectares referente ao TEI 513957-C, de  06-09-2010</t>
  </si>
  <si>
    <t>Novo Progresso</t>
  </si>
  <si>
    <t>EDSON TEOFILO ROSA</t>
  </si>
  <si>
    <t>Fazenda Santa Rosa ( Antiga Fazenda Taquari) zona Rural do município de Altamira/PA</t>
  </si>
  <si>
    <t>70 1° 72 II Lei 9605/98; 3 II 79  caput  Decreto 6514/2008; 225 § 4° Constituição Federal 1988.</t>
  </si>
  <si>
    <t>DEIXAR DE ATENDER AS EXIGENCIAS LEGAIS, POR NÃO CUMPRIR A NOTIFICACAO N°. 13314-E, DATADA DE 16/09/2015, NÃO APRESENTANDO, NO PRAZO DE 8 DIAS, OS DESPACHOS DE EXPORTACAO (D.E.), NOTAS FISCAIS (DANFES) E GUIAS FLORESTAIS (GF3), REFERENTES AS EXPORTACOES RE</t>
  </si>
  <si>
    <t>Receber comercializar madeira serrada de castanheira oriunda dos municípios de Eldorado dos Carajás e São Geraldo do Araguaia, no Pará, sem cobertura da ATPF ou falsificada.</t>
  </si>
  <si>
    <t>EXMAM EXPORTADORA DE MADEIRAS AMAZÔNICA EIRELI</t>
  </si>
  <si>
    <t>EXMAN EXPORTADORA DE MADEIRAS AMAZONICAS LTDA, ROD. BR 316, KM 15, S/N. PARQUE VERDE, MARITUBA, PA.</t>
  </si>
  <si>
    <t>PRESTAR INFORMAÇAO FALSA NO SISTEMA OFICIAL DE CONTROLE DOF,  CONFORME RELAÇAO DOS DOFS E DOCUMENTOS ANEXO.</t>
  </si>
  <si>
    <t>J. S. DA SILVA &amp; CIA LTDA. EPP</t>
  </si>
  <si>
    <t>SUPES IBAMA PORTO VELHO</t>
  </si>
  <si>
    <t>Alterado</t>
  </si>
  <si>
    <t>Médio</t>
  </si>
  <si>
    <t>APRESENTAR INFORMAÇAO FALSA NO SISTEMA OFICIAL DE CONTROLE DOF,  CONFORME RELAÇAO DOS DOFS E DOCUMENTOS ANEXO.</t>
  </si>
  <si>
    <t>OIAPOQUE - IND. COM. E BENEFICIAMENTO DE MADEIRAS LTDA - ME</t>
  </si>
  <si>
    <t>2Z6G9Y1G</t>
  </si>
  <si>
    <t>Transportar 1,7 toneladas de Camarão rosa (Farfantepenaeus paulensis) em natura e resfriado em gelo, no dia 25/03/2021, na RSC 101 n.o 3950, Osório/RS, sem origem, com o uso do veiculo DQJ 4191</t>
  </si>
  <si>
    <t>Osório</t>
  </si>
  <si>
    <t>ALCEMIR SILVA PEIXEIRO ME</t>
  </si>
  <si>
    <t>RSC 101 n.o 3950</t>
  </si>
  <si>
    <t>Art. 1o, Paragrafo Unico INI MPA /MAPA n.o 04/2014.</t>
  </si>
  <si>
    <t>PS88JQTU</t>
  </si>
  <si>
    <t>Ter em depósito 258,347 M3 de madeiras em toras e 141,369 M3 de madeiras serradas de diversas espécies sem licença valida outorgada pela autoridade competente.</t>
  </si>
  <si>
    <t>Madeireira Wiki Compane Ltda</t>
  </si>
  <si>
    <t>Avenida José Benedito Clemente, s/n - Madeireira Portugal</t>
  </si>
  <si>
    <t>AMAZÔNIA VERDE -RCD-I- RO - P3</t>
  </si>
  <si>
    <t>3Z4V1W0O</t>
  </si>
  <si>
    <t>Apresentar informações falsas ao não atualizar créditos excedentes em sistema oficial de controle, conforme planilha resumo em anexo.</t>
  </si>
  <si>
    <t>AGLDAEF7</t>
  </si>
  <si>
    <t>Apresentar informação falsa no sistema oficial de controle Sisflora - CEPROF, ao manter volume virtual de produto madeireiro fictício divergente do constante no pátio físico da empresa.</t>
  </si>
  <si>
    <t>Tucuruí</t>
  </si>
  <si>
    <t>MADECOL MADEIREIRA COLOMBO LTDA</t>
  </si>
  <si>
    <t>Rodovia Porto da Balsa, Km 3, Beira Rio</t>
  </si>
  <si>
    <t>AMAZÔNIA VERDE - BASE PA3 - II</t>
  </si>
  <si>
    <t>4J46I5Q4</t>
  </si>
  <si>
    <t>Pescar em local onde a pesca seja proibida: entorno da Plataforma de Mexilhão.</t>
  </si>
  <si>
    <t>São Sebastião</t>
  </si>
  <si>
    <t>Osvaldo de Miranda</t>
  </si>
  <si>
    <t>Zona Costeira do Estado de São Paulo. Entorno da Plataforma de Mexilhão</t>
  </si>
  <si>
    <t>35 Decreto 6514; 70 1º Lei 9605; 72 Lei 9605; 3º II Decreto 6514; 3º IV Decreto 6514.</t>
  </si>
  <si>
    <t>XQHKUQ8E</t>
  </si>
  <si>
    <t>Apresentar informação falsa no sistema oficial de controle DOF referente ao procedimento administrativo de recebimento de 03 (três) documentos florestais ideologicamente falsos (resíduo para aproveitamento industrial e ripas curtas, ano 2017).</t>
  </si>
  <si>
    <t>CONSTRUTORA ESTRELA DA MANHA LTDA</t>
  </si>
  <si>
    <t>Construtora Estrela da Manhã</t>
  </si>
  <si>
    <t>3CRC41C6</t>
  </si>
  <si>
    <t>AGNALDO APARECIDO DOS SANTOS</t>
  </si>
  <si>
    <t>Zona Costeira do Estado de São Paulo. Entorno da Plataforma de Mexilhão.</t>
  </si>
  <si>
    <t>NPBE5SXD</t>
  </si>
  <si>
    <t>Ter em depósito 608,8960 m3 de madeira em toras sem licença válida para o armazenamento, outorgada pela autoridade competente.</t>
  </si>
  <si>
    <t>MD da Silva Souza</t>
  </si>
  <si>
    <t>Madeireira MD da Silva Souza, rua da Beira s/n, distrito de Vista Alegre do Abunã, Porto Velho-RO.</t>
  </si>
  <si>
    <t>LJQUXQXQ</t>
  </si>
  <si>
    <t>Apresentar informação falsa em sistema oficial de controle (SISDOF), com recebimento de créditos indevidos de madeiras, conforme Relatório de Constatação xxx, processo 02024.000710/2021-20.</t>
  </si>
  <si>
    <t>SEIVA INDÚSTRIA E COMÉRCIO DE MADEIRAS LTDA-EPP</t>
  </si>
  <si>
    <t>Sede da empresa Seiva Indústria e Comércio de Madeiras Wireless EPP</t>
  </si>
  <si>
    <t>82, I,II INC 02/2020.</t>
  </si>
  <si>
    <t>HOU5IQ3Y</t>
  </si>
  <si>
    <t>Apresentar informação falsa em sistema oficial de controle (SISDOF), com recebimento de créditos indevidos de madeiras, conforme Relatório de Constatação xxx, processo 02024.000526/2021-80</t>
  </si>
  <si>
    <t>Sede da empresa Seiva Indústria e Comércio de Madeiras Eireli EPP</t>
  </si>
  <si>
    <t>R2HUNWGW</t>
  </si>
  <si>
    <t>Rubens Rodrigues Júnior</t>
  </si>
  <si>
    <t>KUXWBJTV</t>
  </si>
  <si>
    <t>Ter em depósito 708,34 metros cúbicos de produto de origem floresta (toras de essecias florestais do bioma amazônico) sem comprovante de origem legal comprovada ou licença outorgada pela autoridade competente.</t>
  </si>
  <si>
    <t>Rodovia Porto da Balsa 1, Km1, Beira Rio.</t>
  </si>
  <si>
    <t>25U02U0K</t>
  </si>
  <si>
    <t>Wilson Gabriel Alcino Ramos</t>
  </si>
  <si>
    <t>C1S5UBWJ</t>
  </si>
  <si>
    <t>Apresentar informação falsa, ao não atualizar o saldo no sistema oficial de controle, conforme planilha de levantamento de volumetria e essências anexa.</t>
  </si>
  <si>
    <t>M. D. DA SILVA</t>
  </si>
  <si>
    <t>Madeireira MD da Silva Souza, rua da Beira, s/n, distrito de Vista Alegre do Abunã, Porto Velho-RO.</t>
  </si>
  <si>
    <t>443XZI7Y</t>
  </si>
  <si>
    <t>Orestes Kamimoto</t>
  </si>
  <si>
    <t>PVJ73XWO</t>
  </si>
  <si>
    <t>Ter em deposito 408,320 m3 de madeira, sendo 270,878 m3 de madeira em tora e 137,442 m3 de madeira serrada, sem licença válida para o armazenamento outorgada pela autoridade competente. 
OBs: A lista da volumetria e essências das madeiras encontra-se anex</t>
  </si>
  <si>
    <t>ELSON DA SILVA PASSOS</t>
  </si>
  <si>
    <t>Distrito de Vista Alegre do Abunã</t>
  </si>
  <si>
    <t>NDS82WFJ</t>
  </si>
  <si>
    <t>Heitor Donizeti Moro</t>
  </si>
  <si>
    <t>JPAUL7WF</t>
  </si>
  <si>
    <t>Utilizar 2 espécimes (1 papa-capim anilha Ibama AO 2,2 271175 e 1 patativa Sispass MG/A 013149) em desacordo com a licença obtida. Em substituição ao auto de infração 9174547-E.</t>
  </si>
  <si>
    <t>São Gonçalo do Abaeté</t>
  </si>
  <si>
    <t>Paulo Roberto da Silva</t>
  </si>
  <si>
    <t>Residência do criador</t>
  </si>
  <si>
    <t>24 3º I Decreto 6514; 24 3º III Decreto 6514; 70 1º Lei 9605; 72 Lei 9605; 3º I Decreto 6514.</t>
  </si>
  <si>
    <t>7S9Q6NHJ</t>
  </si>
  <si>
    <t>Destruir 35,334ha de floresta nativa objeto de especial preservação, sem autorização da autoridade Ambiental competente no ID 182639.</t>
  </si>
  <si>
    <t>Maikon Júnior Pereira de Araújo</t>
  </si>
  <si>
    <t>Vicinal Marajoara Km 37</t>
  </si>
  <si>
    <t>50 2º Decreto 6514; 70 1º Lei 9605; 72 Lei 9605; 3º II Decreto 6514; 3º VII Decreto 6514.</t>
  </si>
  <si>
    <t>UQ11BBXC</t>
  </si>
  <si>
    <t>Comercializar 70 kg de pescado cuja a pesca esteja proibida (defeso), sendo 42 kg de camarão rosa e 28 kg de lagosta verde.</t>
  </si>
  <si>
    <t>Angra dos Reis</t>
  </si>
  <si>
    <t>PEIXARIA DO LUIZ C. PEREIRA LTDA</t>
  </si>
  <si>
    <t>frade</t>
  </si>
  <si>
    <t>35 III Decreto 6514; 35 VI Decreto 6514; 70 1º Lei 9605; 72 Lei 9605; 3º II Decreto 6514; 3º IV Decreto 6514.</t>
  </si>
  <si>
    <t>1, I IN IBAMA 189/2008; 2, §1 IN MAPA 54/2019; 3, §1 IN MAPA 54/2019.</t>
  </si>
  <si>
    <t>3YO7XB8U</t>
  </si>
  <si>
    <t>Ter em cativeiro 7 espécimes ( 4 papa-capim, 1 patativa e 2 pintassilgos) sem a devida licença da autoridade ambiental competente - aves sem anilha. Em substituição ao auto de infração 9174548/E.</t>
  </si>
  <si>
    <t>PAULO ROBERTO DA SILVA</t>
  </si>
  <si>
    <t>EM13HWMW</t>
  </si>
  <si>
    <t>Destruir a corte raso 66,35ha de floresta nativa objeto de especial preservação, sem autorização da autoridade Ambiental competente dentro da Unidade de conservação (Flona do Jamanxim), no ID 182639.</t>
  </si>
  <si>
    <t>FLONA do Jamanxim</t>
  </si>
  <si>
    <t>Maikon júnior Pereira de Araújo</t>
  </si>
  <si>
    <t>50 2º Decreto 6514; 93 Decreto 6514; 70 1º Lei 9605; 72 Lei 9605; 3º II Decreto 6514; 3º VII Decreto 6514.</t>
  </si>
  <si>
    <t>Y2GPTDB9</t>
  </si>
  <si>
    <t>Comercializar 70 kg de pescado cuja a pesca esteja proibida (defeso), sendo 42 kg de camarão rosa e 28 kg de lagosta</t>
  </si>
  <si>
    <t>Frade</t>
  </si>
  <si>
    <t>1, I IN IBAMA 189/2008; 2, § 1 IN MAPA 54/2019; 3, § 1 IN MAPA 54/2019.</t>
  </si>
  <si>
    <t>HDBNZA3S</t>
  </si>
  <si>
    <t>Ter em deposito 66,1998 metros cúbicos de madeira serrada de espécies nativas da floresta Amazônica sem licença válida outorgada pela autoridade competente.</t>
  </si>
  <si>
    <t>Lábrea</t>
  </si>
  <si>
    <t>IND COM E EXPORTAÇÃO DE MADEIRAS SÃO PEDRO LTDA</t>
  </si>
  <si>
    <t>Indústria, Comércio e Exportação de Madeiras São Pedro Ltda - ME</t>
  </si>
  <si>
    <t>1ZH787MU</t>
  </si>
  <si>
    <t>Apresentar informação falsa no sistema oficial de controle DOF referente ao procedimento administrativo de recebimento de 11 (onze) documentos florestais ideologicamente falsos (resíduo para aproveitamento industrial e ripas curtas, ano 2017).</t>
  </si>
  <si>
    <t>Uruçuí</t>
  </si>
  <si>
    <t>JANUS MONTEIRO LIMA ME</t>
  </si>
  <si>
    <t>HZEYDZO4</t>
  </si>
  <si>
    <t>Prestar informação falsa no Sistema Oficial de Controle - Sistema DOF, conforme Informação xxx, processo 02007.003920/2020-05.</t>
  </si>
  <si>
    <t>JB COMERCIO DE MADEIRA EIRELI</t>
  </si>
  <si>
    <t>Rua Marechal Rondon, 2930, Distrito de Migrantinópolis, Município de Novo Horizonte D'Oeste - RO.</t>
  </si>
  <si>
    <t>WZRCJ8UA</t>
  </si>
  <si>
    <t>Alterar aspecto de local especialmente protegido por lei, em razão de seu valor ecológico, sem a devida licença ambiental, mediante a manutenção de edificação de Barraca de praia Brisa Mar em área de APP</t>
  </si>
  <si>
    <t>BARRACA BRISA MAR</t>
  </si>
  <si>
    <t>Praia de Canoa Quebrada</t>
  </si>
  <si>
    <t>73 Decreto 6514; 70 1º Lei 9605; 72 Lei 9605; 3º II Decreto 6514.</t>
  </si>
  <si>
    <t>DUKOQ3E7</t>
  </si>
  <si>
    <t>Alterar aspecto de local especialmente protegido por lei, em razão de seu valor ecológico, sem a devida licença ambiental, mediante a manutenção de edificação de Barraca de praia "O Paulinho" em área de praia</t>
  </si>
  <si>
    <t>VICENTE De PAULO DOS SANTOS DE OLIVEIRA</t>
  </si>
  <si>
    <t>JRHZSF54</t>
  </si>
  <si>
    <t>Prestar informação falsa no Sistema Oficial de Controle - Sistema DOF, conforme Informação xxx, processo 02007.000795/2021.</t>
  </si>
  <si>
    <t>Av. Recife, 4930, Bairro Centro - Rolim de Moura - RO.</t>
  </si>
  <si>
    <t>72SICZ70</t>
  </si>
  <si>
    <t>Alterar aspecto de local especialmente protegido por lei, em razão de seu valor ecológico, sem a devida licença ambiental, mediante a manutenção de edificação Barraca de praia Antônio dos Cocos em área de praia</t>
  </si>
  <si>
    <t>BARRACA E RESTAURANTE ANTONIO COCO LTDA</t>
  </si>
  <si>
    <t>Praia Canoa Quebrada</t>
  </si>
  <si>
    <t>2CB7KH3F</t>
  </si>
  <si>
    <t>Alterar aspecto de local especialmente protegido por lei, em razão de seu valor ecológico, sem a devida licença ambiental, mediante a manutenção de edificação de Barraca e restaurante Vila Canoa em APP e em área de praia.</t>
  </si>
  <si>
    <t>PAULO ROBERTO DE SOUZA SILVA - ME</t>
  </si>
  <si>
    <t>I6Q078IH</t>
  </si>
  <si>
    <t>Ter em cativeiro um espécime de Patativa verdadeira sem a devida licença da autoridade ambiental competente (sem anilha) em conjunto com 8 espécimes anilhados registrados  no plantel do criador ( 01 pintassilgo: ibama oa 2,4 156145; 02 coleiro-do-brejo: i</t>
  </si>
  <si>
    <t>IRACI GOMES PEREIRA</t>
  </si>
  <si>
    <t>24 3º I Decreto 6514; 24 3º III Decreto 6514; 24 6º I Decreto 6514; 24 6º III Decreto 6514; 70 1º Lei 9605; 72 Lei 9605; 3º II Decreto 6514.</t>
  </si>
  <si>
    <t>IV31UJN0</t>
  </si>
  <si>
    <t>Destruir 163,84 hectares de floresta, objeto de especial preservação, não passível de autorização para supressão. 
(Terra Indígena Ituna-Itatá)</t>
  </si>
  <si>
    <t>Senador José Porfírio</t>
  </si>
  <si>
    <t>Carla Mikaelly do Nascimento</t>
  </si>
  <si>
    <t>Município de Sen José Porfírio alvo 5_13</t>
  </si>
  <si>
    <t>49 Decreto 6514; 70 1º Lei 9605; 72 Lei 9605; 3º II Decreto 6514; 3º VII Decreto 6514.</t>
  </si>
  <si>
    <t>3, - Portaria 50/2016 FUNAI.</t>
  </si>
  <si>
    <t>JZ9Y56MA</t>
  </si>
  <si>
    <t>DEIXOU DE ATENDER A NOTIFICAÇÃO CONSTANTE NO OFICIO 1236/2020/DITEC/SUPES/TO</t>
  </si>
  <si>
    <t>PALMAS COM. DE COMBUSTIVEIS E DERIVADOS DE PETROLEO EIRELI</t>
  </si>
  <si>
    <t>IBAMA SUPES TO</t>
  </si>
  <si>
    <t>RTE8NLPW</t>
  </si>
  <si>
    <t>Efetuar a Plataforma P-53, em 3/06/19, sob responsabilidade da Petrobras, o descarte continuo de agua de produçao em desacrodo com a regulamentaçao ambiental vigente - Art 4. Conama 393/2007.</t>
  </si>
  <si>
    <t>Plataforma P-53</t>
  </si>
  <si>
    <t>38, Paragrafo unico Decreto Federal 4.136/2002.</t>
  </si>
  <si>
    <t>F7WUG6EX</t>
  </si>
  <si>
    <t>Apresentar informação falsa em Sistema oficial de controle (Sistema DOF) ao registrar saldo de madeira serrada com 46,7788 metros cúbicos a mais do que o volume encontrado no pátio da empresa em 22 de março de 2021.</t>
  </si>
  <si>
    <t>VCJLIYIU</t>
  </si>
  <si>
    <t>Deixar de apresentar relatório ou informação ambiental nós prazos exibidos pela legislação ou, quando aplicável, naquele determinado pela Autoridade Ambiental.</t>
  </si>
  <si>
    <t>AUTO POSTO DE COMB CARVALHO LTDA ME</t>
  </si>
  <si>
    <t>Av. Generino Maciel, Bairro. Jaguaribe- João Pessoa/PB, n°. 751</t>
  </si>
  <si>
    <t>892O7HYP</t>
  </si>
  <si>
    <t>Ter em cativeiro 12 passeriformes da fauna silvestre brasileira sem a devida autorização da autoridade ambiental competente.</t>
  </si>
  <si>
    <t>Marinei Moreira Silveira Santos</t>
  </si>
  <si>
    <t>Unidade Técnica do IBAMA em Eunápolis/BA</t>
  </si>
  <si>
    <t>ROTINA MARÇO 2021</t>
  </si>
  <si>
    <t>24 3º III Decreto 6514; 70 1º Lei 9605; 72 Lei 9605; 3º II Decreto 6514.</t>
  </si>
  <si>
    <t>1°, caput Lei 5197/1967; 1° , caput IN IBAMA n° 10/2011.</t>
  </si>
  <si>
    <t>OX9M05KY</t>
  </si>
  <si>
    <t>Conduzir veículo automotor em desacordo com os limites e exigências ambientais previstos na legislação. Constatado no TCO da PRF/PA xxx em anexo.</t>
  </si>
  <si>
    <t>Santa Maria do Pará</t>
  </si>
  <si>
    <t>José Maria Lima dos Santos</t>
  </si>
  <si>
    <t>Rodovia BR-316, km 104, Posto da Polícia Rodoviária Federal</t>
  </si>
  <si>
    <t>BKW837EM</t>
  </si>
  <si>
    <t>Permitir a condução de veículo automotor em desacordo com os limites e exigências ambientais previstos na legislação. Constatado no TCO da PRF/PA xxx em anexo.</t>
  </si>
  <si>
    <t>A.C.R. Lobato</t>
  </si>
  <si>
    <t>9M4TJYZ1</t>
  </si>
  <si>
    <t>Destruir 3,13 ha de vegetação nativa na propriedade rural denominada Sítio Nossa Senhora Aparecida , PA Taquaral, lote  68, Corumbá/ MS, no Bioma Pantanal (objeto especial de preservação), sem autorização ambiental, conforme Parecer Técnico xxx</t>
  </si>
  <si>
    <t>Raimundo da Silva Rosseo</t>
  </si>
  <si>
    <t>Sítio Nossa Sra. Aparecida, PA Taquaral, lote 68, Corumbá MS.</t>
  </si>
  <si>
    <t>RLKXKWG9</t>
  </si>
  <si>
    <t>Destruir 1,95 hectares de vegetação nativa no Bioma Pantanal( objeto especial de preservação), sem autorização ambiental, no lote 222 do PATaquaral, Corumbá MS, conforme Parecer Técnico xxx ID 10( 1,16 ha) e ID 11(0,79 ha).</t>
  </si>
  <si>
    <t>Luciene Hulda Vieira</t>
  </si>
  <si>
    <t>PA Taquaral, lote 222, Corumbá MS</t>
  </si>
  <si>
    <t>TEDBMGDI</t>
  </si>
  <si>
    <t>Destruir 956,57 ha de floresta nativa do bioama amazônico, no interior da Terra Indigena Ituna/Itatá, nas coordenadas 4° 4' 34,6" S e 52° 0' 2,7" W.</t>
  </si>
  <si>
    <t>WILSON PAULA DA MOTA</t>
  </si>
  <si>
    <t>Senador José Porfirio</t>
  </si>
  <si>
    <t>1, I Portaria Funai 50/2016.</t>
  </si>
  <si>
    <t>22M3U6AK</t>
  </si>
  <si>
    <t>Destruir 42,97 hectares de floresta, objeto de especial preservação, não passível de autorização para supressão. 
(Terra Indígena Ituna-Itatá)</t>
  </si>
  <si>
    <t>Pedro Humberto Rebouças</t>
  </si>
  <si>
    <t>Fazenda Mutum AK</t>
  </si>
  <si>
    <t>49 Decreto 6514; 70 1º Lei 9605; 72 Lei 9605; 3º II Decreto 6514; 3º VII Decreto 6514; 3º VIII Decreto 6514.</t>
  </si>
  <si>
    <t>MVSZ2Q6Z</t>
  </si>
  <si>
    <t>Destruir 289,45 ha de floresta nativa do bioama amazônico, no interior da Terra Indigena Ituna/Itatá, nas coordenadas 4° 1' 6,8" S e 52° 6' 50,7" W.</t>
  </si>
  <si>
    <t>HELCIO LORENZONI FILHO</t>
  </si>
  <si>
    <t>60GI29L0</t>
  </si>
  <si>
    <t>Destruir 30,44 hectares de floresta, objeto de especial preservação, não passível de autorização para supressão. 
(Terra Indígena Ituna-Itatá)</t>
  </si>
  <si>
    <t>ROGÉRIO LUIS MACHADO</t>
  </si>
  <si>
    <t>Terra Indígena Ituna-Itatá 7</t>
  </si>
  <si>
    <t>7IEP0RWK</t>
  </si>
  <si>
    <t>Destruir 19,55 ha de floresta nativa do bioama amazônico, no interior da Terra Indigena Ituna/Itatá, nas coordenadas 4° 3' 17,1" S e 52° 6' 44,5" W.</t>
  </si>
  <si>
    <t>VXD6NHVM</t>
  </si>
  <si>
    <t>Efetuar a Plataforma FPSO Cidade de Vitoria, em 16-04-19, sob responsabilidade da Petrobras, o descarte continuo de agua deproduçao em desacordo com a regulamentaçao ambiental especifica - Art 4. CONAMA 393/2007.</t>
  </si>
  <si>
    <t>Ibama Sede - Brasiíla</t>
  </si>
  <si>
    <t>38, Paragrafo Unico  Decreto 4.136/2002.</t>
  </si>
  <si>
    <t>X91Y77F1</t>
  </si>
  <si>
    <t>Destruir 143,07 hectares de floresta, objeto de especial preservação, não passível de autorização para supressão. 
(Terra Indígena Ituna-Itatá)</t>
  </si>
  <si>
    <t>BRUCE WHAYNE GOMES DE SOUZA</t>
  </si>
  <si>
    <t>Terra Indígena Ituna-Itatá 6</t>
  </si>
  <si>
    <t>LW00BI5L</t>
  </si>
  <si>
    <t>Destruir 207,65 ha de floresta nativa do bioama amazônico, no interior da Terra Indigena Ituna/Itatá, nas coordenadas 4° 2' 26,5" S e 52° 5' 56,3" W.</t>
  </si>
  <si>
    <t>Evair Plens Vidal</t>
  </si>
  <si>
    <t>R1CLFS5T</t>
  </si>
  <si>
    <t>Destruir 388,98 hectares de floresta nativa do bioma Amazônia, objeto especial de preservação, na Terra Indígena Ituna-Itata, local não passível de autorização para exploração ou supressão.</t>
  </si>
  <si>
    <t>Evandro Carlos de Oliveira</t>
  </si>
  <si>
    <t>Terra Indígena Ituna-Itata, Alvos 25-26-27</t>
  </si>
  <si>
    <t>49 Decreto 6514/2008.</t>
  </si>
  <si>
    <t>QEXSXJC4</t>
  </si>
  <si>
    <t>Destruir 452,91 hectares de floresta nativa do bioma Amazônia, objetivo especial de preservação, na Terra Indígena Ituna-Itata, local não passível de autorização para exploração ou supressão.</t>
  </si>
  <si>
    <t>VITOR ALEXANDRE PONTES</t>
  </si>
  <si>
    <t>Terra Indígena Ituna-Itata, Alvo 15-16</t>
  </si>
  <si>
    <t>3¿, . Portaria FUNAI 50/2016.</t>
  </si>
  <si>
    <t>HX2FHZLB</t>
  </si>
  <si>
    <t>DEIXAR DE APRESENTAR RELATÓRIOS DE QUE TRATA A LEI 10.165/00, REFERENTE AOS ANOS DE 2016/2015, 2017/2016, 2018/2017 E 5049/2018.</t>
  </si>
  <si>
    <t>Dianópolis</t>
  </si>
  <si>
    <t>LOURENÇO DIAS DOS SANTOS - (DIST. DE GAS AGRO SILVA)</t>
  </si>
  <si>
    <t>AV. 7 DE SETEMBRO N. 07 QUADRA 17</t>
  </si>
  <si>
    <t>KNDK5NKH</t>
  </si>
  <si>
    <t>Efetuar a Plataforma P - 54, em 03/06/2019 sob responsabilidade da Petrobras, o descarte contínuo de água de produção em desacordo com a legislação ambiental específica, Art 4 da CONAMA 393 /2007, gerando uma feição de 3,1 L e extensão de 5,4 km, ultrapas</t>
  </si>
  <si>
    <t>Bacia de Campos - RJ.</t>
  </si>
  <si>
    <t>38, Caput  Decreto Federal 4.136 / 2002.</t>
  </si>
  <si>
    <t>HRVOISBH</t>
  </si>
  <si>
    <t>Deixar de apresentar informações ambientais referentes a importação e destinação de
pneumáticos no ano de 2018, por meio do preenchimento do Relatório de Pneumáticos ¿
Resolução Conama nº 416/2009, disponível nos Serviços do Cadastro Técnico Federal, no p</t>
  </si>
  <si>
    <t>Ituporanga</t>
  </si>
  <si>
    <t>Charles Scheidt EIRELI</t>
  </si>
  <si>
    <t>HIGIA</t>
  </si>
  <si>
    <t>7Y7TTJIA</t>
  </si>
  <si>
    <t>Pacajá</t>
  </si>
  <si>
    <t>JOSÉ ERILAN DE ARAÚJO FRERES</t>
  </si>
  <si>
    <t>Fazenda Olhar Digital</t>
  </si>
  <si>
    <t>JD4452ST</t>
  </si>
  <si>
    <t>Ter em depósito 78,200m3 de madeira em toras da essência de jatobá, e 11,346m3 de madeira serrada da essência de jatobá, sem licença da autoridade ambiental competente.</t>
  </si>
  <si>
    <t>D BATISTA DE LIMA</t>
  </si>
  <si>
    <t>Ramal dos Pioneiros s/n, Distrito de Nova Califórnia</t>
  </si>
  <si>
    <t>L09NB364</t>
  </si>
  <si>
    <t>Destruir 70,91 hectares de floresta, objeto de especial preservação, não passível de autorização, para supressão.
(Terra Indígena Trincheira-Bacajá).</t>
  </si>
  <si>
    <t>Gilmar da Silva Sousa</t>
  </si>
  <si>
    <t>Fazenda Águas Claras</t>
  </si>
  <si>
    <t>QPDOTPNE</t>
  </si>
  <si>
    <t xml:space="preserve">Apresentar informações falsas em sistema oficial de controle, SISFLORA/PA, ao informar um saldo de 40,0068 m3 de madeira em toras das essências florestais angelim-vermelho e muiracatiara e um saldo de 10.64,537 m3 de madeira serrada na forma de: mourões, </t>
  </si>
  <si>
    <t>MADEIREIRA PRIMAVERA EIRELI - EPP</t>
  </si>
  <si>
    <t>Madeireira Primavera Eireli</t>
  </si>
  <si>
    <t>CLWIV4DX</t>
  </si>
  <si>
    <t>Executar extração de minerais sem licença da autoridade ambiental competente.</t>
  </si>
  <si>
    <t>Caiçara</t>
  </si>
  <si>
    <t>PREFEITURA MUNICIPAL DE CAIÇARA</t>
  </si>
  <si>
    <t>Rua Rio Branco, 131 - Centro</t>
  </si>
  <si>
    <t>YWFC2ODI</t>
  </si>
  <si>
    <t>Destruir 226,7000 hectares de floresta nativa do bioma Amazônia, objeto especial de preservação, na Terra Indígena Ituna-iatata, local não passível de autorização para exploração ou supressão.</t>
  </si>
  <si>
    <t>Adenilso Fernandes da Cunha</t>
  </si>
  <si>
    <t>Terra Indígena Ituna-iatata - Alvo 20, 21 e 22</t>
  </si>
  <si>
    <t>MUQDOVR7</t>
  </si>
  <si>
    <t>Efetuar a Plataforma PPG 1, em 12/06/2019, sob responsabilidade da Petrobras, o descarte contínuo de água de produção em desacordo com a legislação ambiental específica, Art 4 da CONAMA 393 /2007, gerando uma feição de 16,8 L e extensão de 1, 1 km, ultrap</t>
  </si>
  <si>
    <t>Bacia de Campos - RJ</t>
  </si>
  <si>
    <t>38, Caput  Decreto Federal 4.136 /2002.</t>
  </si>
  <si>
    <t>19G8SH9F</t>
  </si>
  <si>
    <t xml:space="preserve">Efetuar a Plataforma FPSO Cidade de Itajaí em  09/06/2019, sob a responsabilidade da Petrobras, o descarte contínuo de água de produção em desacordo com a legislação ambiental específica, Art 4 da CONAMA 393 /2007, gerando uma feição de 46,2 L e extensão </t>
  </si>
  <si>
    <t>Bacia de Campos - Rio de Janeiro - RJ</t>
  </si>
  <si>
    <t>38, Caput  Decreto Federal 4.136/2002.</t>
  </si>
  <si>
    <t>5CJZN850</t>
  </si>
  <si>
    <t>Deixar de inscrever-se no Cadastro Técnico Federal de que trata o artigo 17 da Lei 6938, de 1981. Categoria moagem de farinha de trigo.</t>
  </si>
  <si>
    <t>Aquiraz</t>
  </si>
  <si>
    <t>SL Alimentos S/A</t>
  </si>
  <si>
    <t>Rua SDO 6, s/n Galpão 01</t>
  </si>
  <si>
    <t>76, III Decreto 6514.</t>
  </si>
  <si>
    <t>1RKMWOVM</t>
  </si>
  <si>
    <t>Apresentar informação enganosa em sistema oficial de controle ao emitir 22 DOF, ideologicamente falsos, permitindo o fluxo virtual de créditos entre empresas, conforme o processo 02023.001713/2020-18.</t>
  </si>
  <si>
    <t>Ramal Nova Califórnia  km 12</t>
  </si>
  <si>
    <t>2QD1V1LQ</t>
  </si>
  <si>
    <t>Deixar de apresentar relatórios ambientais no prazo exigido pela legislação. Auto de infração lavrado em conformidade com determinação DITEC/SUPES/TO (9423335) e solicitação NQA/SUPES/TO (8459945). Segue anexo relatório de fiscalização.</t>
  </si>
  <si>
    <t>Pugmil</t>
  </si>
  <si>
    <t>MINERACAO PUGMIL LTDA - ME</t>
  </si>
  <si>
    <t>Rodovia TO 354, KM 3, Pugmil -TO.</t>
  </si>
  <si>
    <t>SCWY6QG2</t>
  </si>
  <si>
    <t xml:space="preserve">Efetuar a Plataforma FPSO Cidade de Itajaí, em 14/06/2019, sob responsabilidade da Petrobras, o descarte contínuo de água de produção em desacordo com a legislação ambiental específica, Art 4, CONAMA 393 /2007, gerando uma feição de 6,4Le extensão de 5,3 </t>
  </si>
  <si>
    <t>38, Caput  DECRETO FEDERAL 4.136/2002.</t>
  </si>
  <si>
    <t>6CQN9LGB</t>
  </si>
  <si>
    <t>Efetuar a Plataforma FPSO, Cidade de Itajaí, em 04/07/2019, sob responsabilidade da Petrobras, o descarte contínuo de água de produção em desacordo com a legislação ambiental específica, Art. 4, CONAMA 393/2007, gerando uma feição de 3,2 L e extensão de 1</t>
  </si>
  <si>
    <t>07ARNRNO</t>
  </si>
  <si>
    <t>Transportar 400 kg de pescados processados congelados, sem origem e sem identificação de procedência, no dia 24/03/2021, com o uso do veiculo IXI 8760, em Pelotas/RS.</t>
  </si>
  <si>
    <t>Soni Silberto Fell</t>
  </si>
  <si>
    <t>BR 392</t>
  </si>
  <si>
    <t>VHNN2BF8</t>
  </si>
  <si>
    <t>Fazer funcionar atividade utilizados de recursos ambientais considerada efetivamente poluidora sem licença ou autorização do órgão ambiental competente.</t>
  </si>
  <si>
    <t>Brasnorte</t>
  </si>
  <si>
    <t>NICOLAS GUSTAVO DE OLIVEIRA EPP</t>
  </si>
  <si>
    <t>ND madeiras</t>
  </si>
  <si>
    <t>MARAVALHA-MT I</t>
  </si>
  <si>
    <t>EMBXUDYJ</t>
  </si>
  <si>
    <t>Deixar de apresentar informações ambientais no prazo determinado pela Notificação 8IQPAPH8.</t>
  </si>
  <si>
    <t>RUMO MALHA SUL S.A.</t>
  </si>
  <si>
    <t>962JZMOM</t>
  </si>
  <si>
    <t>Transportar 26,6 M3 de estacas de sabiá, sem licença válida para todo o tempo da viagem, outorgada pela autoridade competente.</t>
  </si>
  <si>
    <t>Valença do Piauí</t>
  </si>
  <si>
    <t>João Raimundo Moura Rabêlo</t>
  </si>
  <si>
    <t>Posto da Polícia Rodoviária Federal, km 207 - Valença do Piauí/PI.</t>
  </si>
  <si>
    <t>POL ARLA TRPP PI</t>
  </si>
  <si>
    <t>QYE8CW85</t>
  </si>
  <si>
    <t>Didacio Ribamar dos Santos Aguiar</t>
  </si>
  <si>
    <t>C63PGE2D</t>
  </si>
  <si>
    <t>Desmatar, a corte raso, 17,26 hectares de vegetação nativa do bioma Cerrado, fora de Reserva Legal e APP, no interior da unidade de conservação federal Resex Lago do Cedro, sem autorização do órgão ambiental competente. O mapa com memorial descritivo da á</t>
  </si>
  <si>
    <t>RESEX Lago do Cedro</t>
  </si>
  <si>
    <t>ADEILSON JOSE DA SILVA</t>
  </si>
  <si>
    <t>Fazenda Aricá</t>
  </si>
  <si>
    <t>DIREP</t>
  </si>
  <si>
    <t>PIRACEMA-2021</t>
  </si>
  <si>
    <t>93, - 6514/2008.</t>
  </si>
  <si>
    <t>S1RODWMY</t>
  </si>
  <si>
    <t>Transportar 410 kg de pescado (viola, traíra e jundiá) sem comprovante de origem, conforme Ocorrência Policial n° xxx (Polícia Civil/RS).</t>
  </si>
  <si>
    <t>Eliel Borges Rocha</t>
  </si>
  <si>
    <t>Rodovia BR 116 km 383</t>
  </si>
  <si>
    <t>GIGBNAYO</t>
  </si>
  <si>
    <t>Ter em depósito 170,4 m3 de produtos de origem florestal sem licença válida, sendo 159,227 m3 de madeira em toras das espécies cedroarana e maçaranduba e 11,17 m3 de madeira serrada de essências florestais diversas</t>
  </si>
  <si>
    <t>Alto Astral Madeiras Eireli - EPP</t>
  </si>
  <si>
    <t>Alto Astral Madeiras</t>
  </si>
  <si>
    <t>RTLYMYL1</t>
  </si>
  <si>
    <t>Deixar de manter registro de acervo faunistico e movimentação de plantel em sistemas informatizados de controle de fauna (não atualizou plantel no SISPASS) diante o furto de aves do seu plantel.</t>
  </si>
  <si>
    <t>Guaiçara</t>
  </si>
  <si>
    <t>Paulo Ferreira Gomes</t>
  </si>
  <si>
    <t>Residência do criador amador de passeriformes</t>
  </si>
  <si>
    <t>31 Decreto 6514; 70 1º Lei 9605; 72 Lei 9605; 3º II Decreto 6514.</t>
  </si>
  <si>
    <t>D77K7FAO</t>
  </si>
  <si>
    <t>Ter em depósito 57,236 metros cúbicos de produtos e subprodutos florestais a de origem nativa sem licença válida para o seu armazenamento outorgada pela autoridade ambiental competente, sendo 10,184 metros cúbicos de toras, 29,761 metros cúbicos de madeir</t>
  </si>
  <si>
    <t>MAZUBIL MADEIRAS LTDA</t>
  </si>
  <si>
    <t>Rodovia Transcametá, s/n, km 6 - Setor Industrial, Tucuruí/PA - CEP 68.457-200</t>
  </si>
  <si>
    <t>RK0P9K5T</t>
  </si>
  <si>
    <t>Deixar de atender a exigências legais quando devidamente notificado pela autoridade ambiental competente, no prazo concedido. Notificação H9ALBMKX , AR JU 74585362 6 BR, recebido em 09/10/2020.</t>
  </si>
  <si>
    <t>GBIM IMPORTACAO, EXPORTAÇÃO E COMERCIALIZAÇÃO DE ACESSÓRIOS PARA VEÍCULOS LTDA ME</t>
  </si>
  <si>
    <t>5º, único Res Conama 416/2009.</t>
  </si>
  <si>
    <t>YO5R6L8R</t>
  </si>
  <si>
    <t>Lançar resíduos ou rejeito sólidos in natura a céu aberto. em uma área de 0,511 Hectares nas coordenadas geográfica 01¿48'7.7 N 61¿08'00,6W / 01¿48'7,11'' N 61¿08'01,4 W / 01¿48'7,4'' N 61¿08'01,1 W / 01¿48'8'4'' N 61¿8'1,1'' W.</t>
  </si>
  <si>
    <t>Caracaraí</t>
  </si>
  <si>
    <t>OLIVEIRA LUIZ DE CARVALHO</t>
  </si>
  <si>
    <t>Av. Dr. Danny, 127/Centro/Catacarai-RR</t>
  </si>
  <si>
    <t>MARAVALHA-RR</t>
  </si>
  <si>
    <t>62, X 6.514/2008; 47, II Lei 12.305/2010
.</t>
  </si>
  <si>
    <t>MVHIOGJN</t>
  </si>
  <si>
    <t>Efetuar a platoforma P-51, em 20/05/2019, sob responsabilidade da Petrobras, o descarte continuo de agua de produçao em desacordo com a regulamentaçao ambiental especifica - Art. 4, CONAMA 393/2007.</t>
  </si>
  <si>
    <t>Plataforma P-51</t>
  </si>
  <si>
    <t>6W11BPG6</t>
  </si>
  <si>
    <t>Destruir 275,032 hectares de floresta nativa, no Bioma Amazônia, objeto de especial preservação, sem autorização da autoridade ambiental competente.</t>
  </si>
  <si>
    <t>Valdecir da Silva</t>
  </si>
  <si>
    <t>Vicinal Pavão, Zona Rural de Novo Progresso</t>
  </si>
  <si>
    <t>225, 4 Constituição da República Federativa do Brasil.</t>
  </si>
  <si>
    <t>OF461DZ4</t>
  </si>
  <si>
    <t>Vender 14,387 metros cúbicos de madeira serrada de espécies e bitolas diversas para fins comerciais, subprodutos de origem vegetal, sem licença valida outorgada pela autoridade competente.</t>
  </si>
  <si>
    <t>Madeireira Triunfo Ltda</t>
  </si>
  <si>
    <t>rua Presidente Kennedy, 1100</t>
  </si>
  <si>
    <t>31, parágrafo 1o IN 21/2014 ibama; 32, II, a IN 21/2014 Ibama.</t>
  </si>
  <si>
    <t>IU1LI4V3</t>
  </si>
  <si>
    <t>Deixar de apresentar informações ambientais referentes a importação e destinação de pneumáticos no ano de 2018, por meio do preenchimento do Relatório de Pneumáticos ¿ Resolução Conama nº 416/2009, disponível nos Serviços do Cadastro Técnico Federal, no p</t>
  </si>
  <si>
    <t>Itápolis</t>
  </si>
  <si>
    <t>VALMIR ANTONIO COMARELLA -EPP</t>
  </si>
  <si>
    <t>Avenida dos Amaros, 421</t>
  </si>
  <si>
    <t>ICUK6MGP</t>
  </si>
  <si>
    <t>Deixar de apresentar informações ambientais referentes a importação e destinação de pneumáticos no ano de 2017, por meio do preenchimento do Relatório de Pneumáticos ¿ Resolução Conama nº 416/2009, disponível nos Serviços do Cadastro Técnico Federal, no p</t>
  </si>
  <si>
    <t>BC261KG2</t>
  </si>
  <si>
    <t>Apresentar informações falsas em Sistema Oficial de Controle - DOF (Documento de Origem Florestal) referente às movimentações de produtos florestais de espécies diversas na qualidade de administrador/proprietário da Madeireira (Serraria Oliveira).</t>
  </si>
  <si>
    <t>Oliveira Luiz de Carvalho</t>
  </si>
  <si>
    <t>Av. Dr. Danny, 127 / Centro / Caracaraí - RR</t>
  </si>
  <si>
    <t>1¿ , P.Unico IN-IBAMA 21/2014; 2¿, II/a-b IN-IBAMA 21/2014.</t>
  </si>
  <si>
    <t>HY7Z2QSR</t>
  </si>
  <si>
    <t>Ter em depósito 19,921 m3 de madeira serrada de espécies e bitolas variadas, sem licença válida outorgada pela autoridade competente, sendo:
6,182 m3 de Cupiúba (ripa), 3,546 m3 de Cupiúba (tábua), 6,792 m3 de Cupiúba (ripão/tábua), 0,429 m3 de Cupiúba (t</t>
  </si>
  <si>
    <t>OLIVEIRA L. DE CARVALHO</t>
  </si>
  <si>
    <t>Av. Dr. Zanny n° 127, 
Setor Industrial</t>
  </si>
  <si>
    <t>31, &amp; 1° IN IBAMA 21/2014; 32, II (a IN IBAMA 21/2014.</t>
  </si>
  <si>
    <t>6BUIOK7G</t>
  </si>
  <si>
    <t>Destruir 23,696 hectares de floresta nativa na região Amazônica, objeto de especial preservação, sem autorização da autoridade competente, conforme polígono com coordenadas, anexo ao processo. ID: 225153/2020.</t>
  </si>
  <si>
    <t>Edileila Morais da Cruz</t>
  </si>
  <si>
    <t>Rodovia BR 163 Km 986 - adentrando 30 Km pela Rodovia Vicinal Pavão.</t>
  </si>
  <si>
    <t>P7EJL66X</t>
  </si>
  <si>
    <t>Praticar maus-tratos a um animal silvestre, (papagaio-verdadeiro), conforme descrito no Relatório de Fiscalização Ambiental número xxx e na Informação Técnica número xxx.</t>
  </si>
  <si>
    <t>HELENA INÊS CHASSOT</t>
  </si>
  <si>
    <t>superintendencia</t>
  </si>
  <si>
    <t>29 Decreto 6514; 70 1º Lei 9605; 72 Lei 9605; 3º II Decreto 6514; 3º IV Decreto 6514.</t>
  </si>
  <si>
    <t>IOO3N3ZH</t>
  </si>
  <si>
    <t>Efetuar a plataforma P-53 em 02/06/19,  sob responsabilidade da Petrobras, o descarte continuo de aágua de produção em desacordo com a regulamentaçao ambiental especifica - Art. 4, CONAMA 393/2007</t>
  </si>
  <si>
    <t>P-53</t>
  </si>
  <si>
    <t>38, Paragraáfo Unico  Decreto Federal 4.136/2002.</t>
  </si>
  <si>
    <t>Q5TA1A90</t>
  </si>
  <si>
    <t>Conduzir veículo automotor em desacordo com os limites e exigências ambientais previstos na legislação (utilizando ARLA32 adulterado no veículo placa ONV 0495/GO)</t>
  </si>
  <si>
    <t>Clebson José Costa Negrão</t>
  </si>
  <si>
    <t>Rodovia BR 316, km 102, Posto da Polícia Rodoviária Federal, Santa Maria do Pará/ PA</t>
  </si>
  <si>
    <t>2BLRB9FK</t>
  </si>
  <si>
    <t>Vender 38,730 m3 de madeira serrada, de espécies e bitolas variadas, sem licença válida outorgada pela autoridade competente.</t>
  </si>
  <si>
    <t>Av. Dr. Zanny n° 127 
setor Industrial</t>
  </si>
  <si>
    <t>31, &amp; 1° IN IBAMA 21/2014; 32, II- (a IN IBAMA 21/2014.</t>
  </si>
  <si>
    <t>JZMJD24X</t>
  </si>
  <si>
    <t>Receber  5,986 metros cúbicos de madeira serrada de espécies e bitolas diversas para fins comerciais, subproduto de origem vegetal, sem licença valida outorgada pela autoridade competente.</t>
  </si>
  <si>
    <t>MADEIREIRA TRIUNFO LTDA (MADEIREIRA DUMER)</t>
  </si>
  <si>
    <t>31, parágrafo 1o IN 21/2014 Ibama; 32, II, a IN 21/2014 Ibama.</t>
  </si>
  <si>
    <t>KG4SY5CP</t>
  </si>
  <si>
    <t>Permitir a condução de veículo automotor em desacordo com os limites e exigências previstos na legislação (Uso do produto ARLA 32 fora dos padrões técnicos e do Óleo diesel S500 no caminhão M. Benz, ano 2013, placa FFI 1H03).</t>
  </si>
  <si>
    <t>Miranda, Veronez &amp; Passoni Comércio de Areia e Pedra Ltda</t>
  </si>
  <si>
    <t>Rodovia BR 153, Km 69</t>
  </si>
  <si>
    <t>U3IO4KP2</t>
  </si>
  <si>
    <t>Descumprir o embargo n°. 604256-C, com o plantio de lavoura de milho e arroz na área de 14,745 hectares, conforme polígono com coordenadas geográficas anexo ao processo. Observação: O embargo n°. 604256-C refere-se ao processo n°. 02048.000209/2010-32.</t>
  </si>
  <si>
    <t>Itaituba</t>
  </si>
  <si>
    <t>RUBENS ZILIO</t>
  </si>
  <si>
    <t>Fazenda Santo Antônio, zona rural, Itaituba-PA</t>
  </si>
  <si>
    <t>79E3CPEL</t>
  </si>
  <si>
    <t>Deixar de inscrever-se no Cadastro Técnico Federal-CTF,de que trata o artigo 17 da lei 6938/81.</t>
  </si>
  <si>
    <t>Campina Grande</t>
  </si>
  <si>
    <t>ARYPLAST INDUSTRIA E RECUPERAÇÃO DE MATERIAIS LTDA</t>
  </si>
  <si>
    <t>Rua Luiz Guimarães, 05,  Bairro Jardim Paulistano, Município de Campina Grande-PB</t>
  </si>
  <si>
    <t>V6HL2A29</t>
  </si>
  <si>
    <t>Vender 46,804 metros cúbicos de madeira serrada de espécies e bitolas diversas para fins comerciais, subprodutos de origem vegetal, sem licença valida outorgada pela autoridade competente.</t>
  </si>
  <si>
    <t>rua Presidente Kennedy n.1100</t>
  </si>
  <si>
    <t>BB537L20</t>
  </si>
  <si>
    <t>Transportar 18,21 St de lenha nativa sem licença ambiental outorgada pela autoridade competente.</t>
  </si>
  <si>
    <t>AGAMENON DE SOUSA</t>
  </si>
  <si>
    <t>BR-230, Oeiras/PI</t>
  </si>
  <si>
    <t>E4SEL4Y1</t>
  </si>
  <si>
    <t>Ter em depósito 75,538 m3 de madeira em tora de espécies diversas, sem licença válida outorgada pela autoridade competente.</t>
  </si>
  <si>
    <t>Av. Dr. Zanny n° 127
Distrito Industrial
Caracarai RR.</t>
  </si>
  <si>
    <t>31, &amp; 1° IN IBAMA 21/2014; 32, I (a IN IBAMA 21/2014.</t>
  </si>
  <si>
    <t>TDKSCRJ2</t>
  </si>
  <si>
    <t>Receber 3,188 metros cúbicos de madeira em tora de origem nativa, Tauari, sem licença.</t>
  </si>
  <si>
    <t>32, I, a IN 21\2014.</t>
  </si>
  <si>
    <t>O7AWP63V</t>
  </si>
  <si>
    <t>Vender 8,152 m3  de madeira em tora de espécies diversas, sem licença válida outorgada pela autoridade competente.</t>
  </si>
  <si>
    <t>Av. Dr. Zanny n° 127
Distrito Industrial
Município de Caracarai</t>
  </si>
  <si>
    <t>PVSZTVVU</t>
  </si>
  <si>
    <t>Deixar de inscrever-se no Cadastro Técnico Federal-CTF, de que trata o artigo 17 da lei 6938/81.</t>
  </si>
  <si>
    <t>Santiago e Hamas Comércio de Combustíveis LTDA-ME</t>
  </si>
  <si>
    <t>Rua Waldemar  Galdino Naziazeno, 952, Bairro Geisel</t>
  </si>
  <si>
    <t>9N2OGW6G</t>
  </si>
  <si>
    <t>Destruir 17,837 hectares de floresta nativa na região Amazônica, objeto de especial preservação, sem autorização da autoridade ambiental competente, conforme polígono com coordenadas, anexo ao processo.
Observação: ID 199952/2020.</t>
  </si>
  <si>
    <t>Sidinei Felipe Tolvai</t>
  </si>
  <si>
    <t>Rod. Br 163, Km 986, adentrando 25 Km pela Vicinal Pavão, Novo Progresso-PA.</t>
  </si>
  <si>
    <t>8C8V9YPW</t>
  </si>
  <si>
    <t>Destruir 28,584 hectares de floresta nativa na região Amazônica, objeto de especial preservação, sem autorização da autoridade competente, conforme polígono com coordenadas, anexo ao processo. ID: 215 152/2020.</t>
  </si>
  <si>
    <t>Maria Wanderley Morais da Cruz</t>
  </si>
  <si>
    <t>Rodovia BR 163 Km. 986 - adentrando 30 km pela Rodovia Vicinal Pavão.</t>
  </si>
  <si>
    <t>ZAVUTU8W</t>
  </si>
  <si>
    <t>Vender 819,00 metros cúbicos de madeira em tora de origem nativa, espécies diversas para fins comerciais, sem licença.</t>
  </si>
  <si>
    <t>Av. Pres. Kennedy n.1100</t>
  </si>
  <si>
    <t>32, I, a IN 21\2014 IBAMA.</t>
  </si>
  <si>
    <t>YQDNMOHV</t>
  </si>
  <si>
    <t>Alterar aspecto de local especialmente protegido por lei, em razão de seu valor ecológico, sem a devida licença ambiental, mediante a manutenção de edificação em APP.</t>
  </si>
  <si>
    <t>JOAO BATISTA PEREIRA DO NASCIMENTO</t>
  </si>
  <si>
    <t>X9YYSBHZ</t>
  </si>
  <si>
    <t>Destruir 38,92 hectares de floresta nativa na região Amazônica, objeto de especial preservação, sem autorização da autoridade ambiental competente, conforme polígono com coordenadas, anexo ao processo.
Observação: ID 199952/2020</t>
  </si>
  <si>
    <t>Jose Krupinski</t>
  </si>
  <si>
    <t>Estância Água Cristalina, BR 163, Km 986, adentrando 20 km, Vicinal Pavão, Lt 10, Novo Progresso.</t>
  </si>
  <si>
    <t>JIJSVUUH</t>
  </si>
  <si>
    <t>EVANIO DA SILVA VIANA</t>
  </si>
  <si>
    <t>728YCV49</t>
  </si>
  <si>
    <t>Alterar aspecto de local especialmente protegido por lei, em razão de seu valor ecológico, sem a devida licença ambiental, mediante a manutenção de edificação em área de praia.</t>
  </si>
  <si>
    <t>FRANCISCO REINALDO JERONIMO DA SILVA</t>
  </si>
  <si>
    <t>Y0Z759HL</t>
  </si>
  <si>
    <t>Ter em depósito de 39,607 m3 de madeira em toras sem licença outorgada pela autoridade ambiental competente.</t>
  </si>
  <si>
    <t>D. BATISTA DE LIMA</t>
  </si>
  <si>
    <t>47 1º Decreto 6514; 70 1º Lei 9605; 72 Lei 9605; 3º II Decreto 6514; 3º IV Decreto 6514; 3º VI Decreto 6514.</t>
  </si>
  <si>
    <t>EC0GPKTK</t>
  </si>
  <si>
    <t>Destruir 98,866 hectares, sendo três (03) áreas de 27,895, 35,933 e 35,038, de vegetação nativa na região amazônica, objeto de especial preservação, sem autorização da autoridade competente, conforme polígonos com coordenadas geográficas anexo ao processo</t>
  </si>
  <si>
    <t>Fazenda Santo Antônio, zona rural, Itaituba-PA.</t>
  </si>
  <si>
    <t>3TT773SN</t>
  </si>
  <si>
    <t>Descumprir embargo interposto conforme Termo de Embargo n° 378519-C, que consta no processo 02009.001141/2004-27.</t>
  </si>
  <si>
    <t>Nacib Haddad Neto</t>
  </si>
  <si>
    <t>Paraju</t>
  </si>
  <si>
    <t>XX73MB8T</t>
  </si>
  <si>
    <t>BANCO RODOBENS S/A</t>
  </si>
  <si>
    <t>Q5Z75882</t>
  </si>
  <si>
    <t>Obstar a Ação do Poder Público no exercício de atividades de fiscalização ambiental, quando a embarcação PALMAS II, inscrição 381.045.862-7, RGP:RJ-A 0001738-7, exerceu a atividade de pesca sem o equipamento PREPS (Programa Nacional de Rastreamento de Emb</t>
  </si>
  <si>
    <t>MANUEL PALMAS BRAGADO</t>
  </si>
  <si>
    <t>Capitania dos Portos de São Paulo, regional de Santos.</t>
  </si>
  <si>
    <t>ROTINA LIV II</t>
  </si>
  <si>
    <t>1NX5CXFA</t>
  </si>
  <si>
    <t>Pescar no mar com a embarcação Palmas II inscrição 381.045.862.7, RGP: RJ-A0001738-7, em local não permitido por legislação vigente, ou seja, a menos de 500 metros da plataforma de petróleo.</t>
  </si>
  <si>
    <t>313, - NORMAM 08.</t>
  </si>
  <si>
    <t>V39KPWVK</t>
  </si>
  <si>
    <t>Apresentar informação falsa no Sistema Sisflora-PA/DOF, em virtude de incongruências no saldo de madeira nativa (serrada e em tora) na sua pasta junto ao referido sistema, conforme detalhamento no relatório anexo ao processo.</t>
  </si>
  <si>
    <t>NOVA ESPERANÇA COMERCIO DE MADEIRAS LTDA EPP</t>
  </si>
  <si>
    <t>Pátio da empresa, situ à Rod. Porto da Balsa, km 1,1, s/n, Setor Industrial.</t>
  </si>
  <si>
    <t>I3X2C5RW</t>
  </si>
  <si>
    <t>Ter em depósito 92,095 m3 de madeira nativa, sendo 38,993 m3 de madeira serrada e 53,102m3 de madeira em tora, sem licença válida para todo o tempo de armazenamento, outorgada pela autoridade competente (detalhes das espécies no relatório anexo ao process</t>
  </si>
  <si>
    <t>Rod. Porto da Balsa, s/n, Km, 1,1, Setor Industrial.</t>
  </si>
  <si>
    <t>GFN05WRB</t>
  </si>
  <si>
    <t>Deixar de inscrever-se no Cadastro Técnico Federal (CTF do IBAMA) de que trata o Art. 17 da Lei 6.938 de 1981.</t>
  </si>
  <si>
    <t>São Gonçalo do Amarante</t>
  </si>
  <si>
    <t>J E Pescados LTDA</t>
  </si>
  <si>
    <t>AI resultante da análise do processo IBAMA 02021.001904/2020-91 (J E Pescados Ltda).</t>
  </si>
  <si>
    <t>PGOA2XKF</t>
  </si>
  <si>
    <t>Apresentar informação falsa no Sistema Oficial de Controle do Cadastro Técnico Federal (CTF) do IBAMA, referente ao Relatório Anual Obrigatório do CTF que foi apresentado com a informação de que não desenvolveu atividade de comercialização de pescado, ape</t>
  </si>
  <si>
    <t>Maxaranguape</t>
  </si>
  <si>
    <t>EDEMILSON EDUARDO CARDOSO</t>
  </si>
  <si>
    <t>Autuação decorrente da análise do processo IBAMA 02021.001906/2020-81 (Edemilson Eduardo Cardoso).</t>
  </si>
  <si>
    <t>62M82O32</t>
  </si>
  <si>
    <t>Ter em depósito 23,161 m3 de madeira em toras sem licença válida outorgada pela autoridade competente.</t>
  </si>
  <si>
    <t>F. F. S. DE MATOS EIRELI</t>
  </si>
  <si>
    <t>F.F.S. de Matos EIRELI 
Rodovia Transcametá, KM 6,5, Zona Rural, Tucuruí-PA</t>
  </si>
  <si>
    <t>OO41T5MV</t>
  </si>
  <si>
    <t>Ter em cativeiro espécimes da fauna silvestre em desacordo com a licença obtida (não havia nenhuma ave no endereço cadastrado no SISPASS).</t>
  </si>
  <si>
    <t>Hortolândia</t>
  </si>
  <si>
    <t>RODOLFO SANTOS DA SILVA</t>
  </si>
  <si>
    <t>24 3º I Decreto 6514; 24 3º III Decreto 6514; 24 6º I Decreto 6514; 24 6º III Decreto 6514; 70 1º Lei 9605; 72 Lei 9605; 3º II Decreto 6514; 3º VII Decreto 6514.</t>
  </si>
  <si>
    <t>WSHNRFOM</t>
  </si>
  <si>
    <t>Efetuar, a Instalação FPSO Espírito Santo, o descarte de água de produção em desacordo com o artigo 4° da Resolução CONAMA 393/2007 em 03/05/2019 originando uma feição oleosa de 1,1km de extensão.</t>
  </si>
  <si>
    <t>SHELL BRASIL PETRÓLEO LTDA</t>
  </si>
  <si>
    <t>Instalação FPSO-Espirito Santo</t>
  </si>
  <si>
    <t>38, Caput 4.123/2002.</t>
  </si>
  <si>
    <t>QAWCC3AB</t>
  </si>
  <si>
    <t>Efetuar, a Plataforma PPG-1, o descarte de água de produção em desacordo com o artigo 4° da Resolução CONAMA 393/2007 em 03/05/2019 originando uma feição oleosa de 1,6km de extensão.</t>
  </si>
  <si>
    <t>Plataforma PPG-1</t>
  </si>
  <si>
    <t>38, Caput 4.136/2002.</t>
  </si>
  <si>
    <t>5PK9QEUE</t>
  </si>
  <si>
    <t>Efetuar, a Plataforma P-56, o descarte de água de produção em desacordo com o artigo 4° da Resolução CONAMA 393/2007 em 03/05/2019 originando uma feição oleosa de 1,2km de extensão.</t>
  </si>
  <si>
    <t>Plataforma P-56</t>
  </si>
  <si>
    <t>I2ZIRIVR</t>
  </si>
  <si>
    <t>Efetuar, a Plataforma PPG-1, o descarte de água de produção em desacordo com o artigo 4° da Resolução CONAMA 393/2007 em 08/05/2019 originando uma feição oleosa de 0,92km de extensão.</t>
  </si>
  <si>
    <t>9APAWMJJ</t>
  </si>
  <si>
    <t>Efetuar, a Plataforma P-56, o descarte de água de produção em desacordo com artigo 4° da Resolução CONAMA 393/2007 em 08/05/2019 originando uma feição oleosa de 1,13 km de extensão.</t>
  </si>
  <si>
    <t>FAHU84CL</t>
  </si>
  <si>
    <t>Efetuar, a Plataforma P-56, o descarte de água de produção em desacordo com o artigo 4° da Resolução CONAMA 393/2007 em 14/05/2019 originando uma feição oleosa de 3,7km de extensão.</t>
  </si>
  <si>
    <t>27 III Lei 9966; 70 1º Lei 9605; 72 Lei 9605; 3º II Decreto 6514.</t>
  </si>
  <si>
    <t>Y6Z30UEV</t>
  </si>
  <si>
    <t>Efetuar, a Plataforma P-51, o descarte de água de produção em desacordo com o artigo 4° da Resolução CONAMA 393/2007 em 14/05/2019 originando uma feição oleosa de 5,3km de extensão.</t>
  </si>
  <si>
    <t>1XYR77ZK</t>
  </si>
  <si>
    <t>Efetuar, a Plataforma P-53, o descarte de água de produção em desacordo com o artigo 4° da Resolução CONAMA 393/2007 em 14/05/2019 originando uma feição oleosa de 4,1km de extensão.</t>
  </si>
  <si>
    <t>FTFAC4QN</t>
  </si>
  <si>
    <t>Efetuar, a Plataforma PPG-1, o descarte de água de produção em desacordo com o artigo 4° da Resolução CONAMA 393/2007 em 14/05/2019 originando uma feição oleosa de 2,7 km de extensão.</t>
  </si>
  <si>
    <t>38, Caput 4136/2002.</t>
  </si>
  <si>
    <t>PE7D8Z2O</t>
  </si>
  <si>
    <t>Efetuar, a Plataforma P-58, o descarte de água de produção em desacordo com o artigo 4° da Resolução CONAMA 393/2007 em 15/05/2019 originando uma feição oleosa de 2,6km de extensão.</t>
  </si>
  <si>
    <t>Plataforma P-58</t>
  </si>
  <si>
    <t>THD7NSBG</t>
  </si>
  <si>
    <t>Permitir a condução de veículo automotor em desacordo com os limites e exigências previsto s na legislação (utilizando ARLA32 adulterado no veículo placa ONV 0395/GO)</t>
  </si>
  <si>
    <t>SC Móveis Eletrodomésticos Ltda ME</t>
  </si>
  <si>
    <t>Rodovia BR 316, km 102, Posto da Polícia Rodoviária Federal, Santa Maria do Pará/PA</t>
  </si>
  <si>
    <t>1NSRYHGP</t>
  </si>
  <si>
    <t xml:space="preserve">Impedir a regeneração natural de floresta nativa, numa área de 19,73 hectares, localizada no bioma mata atlântica, objeto de especial preservação, em área de Plano de Manejo Florestal Sustentado - PMFS, objeto do Termo de Manutenção de Floresta Manejada, </t>
  </si>
  <si>
    <t>Timbó Grande</t>
  </si>
  <si>
    <t>ANTONIO GUESSER JUNIOR</t>
  </si>
  <si>
    <t>Localidade de Antinha, Zona Rural, Município de Timbó Grande/SC</t>
  </si>
  <si>
    <t>48 Decreto 6514; 70 1º Lei 9605; 72 Lei 9605; 3º II Decreto 6514; 3º VII Decreto 6514.</t>
  </si>
  <si>
    <t>WEZJN358</t>
  </si>
  <si>
    <t>permitir a condução de veículo automotor em desacordo com os limites e exigências previstos na legislação (Uso do produto ARLA 32 fora dos padrões técnicos no caminhão Scania, ano 2012, Placa AWF 3J98).</t>
  </si>
  <si>
    <t>Vanessa de Oliveira Gibim</t>
  </si>
  <si>
    <t>RHJDVLZZ</t>
  </si>
  <si>
    <t>Ter em Depósito 17,28 m3 de madeira serrada sendo 14,31 m3 de essências diversas, 1,56 m3 de cumaru, 0,1 m3 de andiroba, 0,73 m3 de oiticica, 0,24 cedro arana, 0,34 Louro, sem documento de origem legal emitido pela autoridade competente.</t>
  </si>
  <si>
    <t>JOSÉ MARCIANO DA COSTA NETO</t>
  </si>
  <si>
    <t>Marcenaria do Juca</t>
  </si>
  <si>
    <t>KCY429IQ</t>
  </si>
  <si>
    <t>Funcionar marcenaria e movelaria, utilizando madeiras de espécies nativas, sem autorização do órgão ambiental competente.</t>
  </si>
  <si>
    <t>IKOU35Q5</t>
  </si>
  <si>
    <t>Portar duas motoserras sem licença ou registro da autoridade competente.
Referente as motoserras Husqvarna 288XP s/n 2018 1053572 965 82 04-00 e Husqvarna numeração raspada com final aparente 50251 sem outra identificação visível, ambas com sabre e corren</t>
  </si>
  <si>
    <t>Nova Esperança Comércio de Madeiras Ltda EPP</t>
  </si>
  <si>
    <t>Rodovia Perto da Balsa
km 1.1
Serraria Nova Esperança
Bairro Industrial
Tucuruí PA</t>
  </si>
  <si>
    <t>N2C5XQZQ</t>
  </si>
  <si>
    <t>Deixar de apresentar informações ambientais referentes a importação e destinação de pneumáticos no ano de 2016, por meio do preenchimento do Relatório de Pneumáticos ¿ Resolução Conama nº 416/2009, disponível nos Serviços do Cadastro Técnico Federal, no p</t>
  </si>
  <si>
    <t>Goiânia</t>
  </si>
  <si>
    <t>GOLDMAQ MAQUINAS E EQUIPAMENTOS EIRELI</t>
  </si>
  <si>
    <t>Avenida Anhanguera, 11066</t>
  </si>
  <si>
    <t>XBOQAGEJ</t>
  </si>
  <si>
    <t>Descumprir Embargo de atividades, conforme termo de Embargo nº748631-E.</t>
  </si>
  <si>
    <t>Mulungu</t>
  </si>
  <si>
    <t>CERAMICA UNIÃO LTDA - ME</t>
  </si>
  <si>
    <t>Sítio Poço da Pedra, Mulungu/PB</t>
  </si>
  <si>
    <t>CAS ZENAIDA</t>
  </si>
  <si>
    <t>9XVDBWN0</t>
  </si>
  <si>
    <t>Prestar informação falsa no Sistema Oficial de Controle - Sistema DOF, conforme Relatório de Constatação (anexo), processo 02024.000837/2021-49.</t>
  </si>
  <si>
    <t>CAPANEMA COMÉRCIO E TRANSPORTE EIRELI</t>
  </si>
  <si>
    <t>Rua Grécia, 2214, Bairro Jd. das Seringueiras, Mun. de Ji-Paraná - RO.</t>
  </si>
  <si>
    <t>BX7NPHAX</t>
  </si>
  <si>
    <t>Destruir 2,86 hectares de floresta nativa, pertencente ao Bioma Mata Atlântica, objeto de especial preservação, sem licença ou autorização do órgão ambiental competente.</t>
  </si>
  <si>
    <t>Reserva do Iguaçu</t>
  </si>
  <si>
    <t>Aroldo da Silva Lima</t>
  </si>
  <si>
    <t>Sítio Rei</t>
  </si>
  <si>
    <t>49 1º Decreto 6514; 70 1º Lei 9605; 72 Lei 9605; 3º II Decreto 6514; 3º VII Decreto 6514.</t>
  </si>
  <si>
    <t>YOD9WKZ4</t>
  </si>
  <si>
    <t xml:space="preserve">Desmatar, a corte raso, 18,70 hectares de vegetação nativa do bioma Cerrado, em área de Reserva Legal, no interior da unidade de conservação federal APA Meandros do Rio Araguaia, sem autorização do órgão ambiental competente. O mapa e memorial descritivo </t>
  </si>
  <si>
    <t>Nova Crixás</t>
  </si>
  <si>
    <t>APA Meandros do Araguaia</t>
  </si>
  <si>
    <t>Fábio Guimarães de Freitas</t>
  </si>
  <si>
    <t>Fazenda Paraíso IV</t>
  </si>
  <si>
    <t>8X9I3C4H</t>
  </si>
  <si>
    <t>Desmatar, a corte raso, 39,18 hectares de vegetação nativa do bioma Cerrado, fora de Reserva Legal e APP, no interior da unidade de conservação federal APA Meandros do Rio Araguaia, sem autorização do órgão ambiental competente. O mapa e memorial descriti</t>
  </si>
  <si>
    <t>ZGZ5JCJ6</t>
  </si>
  <si>
    <t>Ter em depósito substância tóxica perigosa ao meio ambiente, agrotóxicos sem registro no país, conforme flagrante informado pela Secretaria da Agricultura no Ofício xxx anexo.</t>
  </si>
  <si>
    <t>Santo Antônio da Patrulha</t>
  </si>
  <si>
    <t>RONALDO CADORIN</t>
  </si>
  <si>
    <t>galpão da granja</t>
  </si>
  <si>
    <t>3, . 7802/1989.</t>
  </si>
  <si>
    <t>TKSRSFCT</t>
  </si>
  <si>
    <t>Elaborar informações falsas, no sistema oficial de controle de atividade ambiental, referente ao relatório de atividade. (Comércio de combustível e derivado de petróleo).</t>
  </si>
  <si>
    <t>Calçoene</t>
  </si>
  <si>
    <t>ATLÂNTICO NORTE COM. E PESCADO LTDA</t>
  </si>
  <si>
    <t>Rua Hugolino Pinheiro, 290 - Centro - Calçoene.</t>
  </si>
  <si>
    <t>4SH1TY7I</t>
  </si>
  <si>
    <t>DEIXAR DE APRESENTAR RELATÓRIO DE ATIVIDADE POTENCIALMENTE POLUIDORA REFERENTE AO EXERCÍCIO 2019/2018.</t>
  </si>
  <si>
    <t>VIDA POSTOS DE COMBUSTIVEIS LTDA</t>
  </si>
  <si>
    <t>Av. Presidente Kennedy, S/N, bairro Zoobotânico.</t>
  </si>
  <si>
    <t>6E3AYBRV</t>
  </si>
  <si>
    <t>Ter em depósito 204,92 me de madeira em tora, sendo 127,63 m3 de maçaranduba e 77,29 m3 de cedroarana sem licença válida.</t>
  </si>
  <si>
    <t>Madeireira Alto Astral.</t>
  </si>
  <si>
    <t>4QFNRHL8</t>
  </si>
  <si>
    <t>Apresentar informação falsa em sistema oficial de controle, SISFLORA/PA.</t>
  </si>
  <si>
    <t>ALTO ASTRAL MADEIRAS EIRELI - EPP</t>
  </si>
  <si>
    <t>Madeireira Alto Astral</t>
  </si>
  <si>
    <t>5XQ5SKF9</t>
  </si>
  <si>
    <t>Vender 1.044,6954 metros cúbicos de madeira serrada sem licença válida (DOF) outorgada pela autoridade competente.</t>
  </si>
  <si>
    <t>Nova Cruz</t>
  </si>
  <si>
    <t>Jailson Gomes de Andrade - ME</t>
  </si>
  <si>
    <t>Jailson Gomes de Andrade - ME (CNPJ: 28.941.335/0001-23)</t>
  </si>
  <si>
    <t>41, caput IN IBAMA 09/2016.</t>
  </si>
  <si>
    <t>ZVWNTBW0</t>
  </si>
  <si>
    <t>DEIXAR DE APRESENTAR RELATÓRIOS DE QUE TRATA A LEI 10.165/00 REFERENTE AOS ANOS DE 2015/2014, 2016/2015, 2017/2016, 2018/2017 E 20118/2018.</t>
  </si>
  <si>
    <t>WANDERSON CARLOS DO VALE</t>
  </si>
  <si>
    <t>AV. AMAPÁ 1652, QUADRA 119, LOTE 14, CENTRO GURUPI TO.</t>
  </si>
  <si>
    <t>ZNA3JNYQ</t>
  </si>
  <si>
    <t>Deixar de atender a Notificação Administrativa n° SEI (7561277), referente ao Processo 02029.000033/2018-02.</t>
  </si>
  <si>
    <t>MARTINELLI E TEIXEIRA LTDA - ME - ECOLAR E OUTROS</t>
  </si>
  <si>
    <t>Rua 4, Quadra 25, Lote 22, Jardim Universitário, 
CEP: 77.500-000. Porto Nacional-TO.</t>
  </si>
  <si>
    <t>VEFL4TND</t>
  </si>
  <si>
    <t>Destruir 330.28 ha de floresta, objeto de especial preservação, não passível de autorização para exploração ou supressão.
(Terra Indígena Ituna-Itatá)</t>
  </si>
  <si>
    <t>FAZENDA BEZERRA</t>
  </si>
  <si>
    <t>SDPT0HNE</t>
  </si>
  <si>
    <t>Destruir 256,47 ha de floresta nativa do bioma Amazônia nas coordenadas 3° 58' 38.3" S e 51° 46' 59', no interior da Terra Indigena Ituna/Itatá.</t>
  </si>
  <si>
    <t>JORGE NOLASCO CASTRO</t>
  </si>
  <si>
    <t>Terra indigena Ituna/Itatá</t>
  </si>
  <si>
    <t>1, I Portaria Funai no. 50/2016.</t>
  </si>
  <si>
    <t>DSL001BU</t>
  </si>
  <si>
    <t>Destruir 385,06 ha de floresta, objeto de especial preservação, não passível de autorização para exploração ou supressão.
(Terra Indígena Ituna-Itatá)</t>
  </si>
  <si>
    <t>JOSE MAURICIO LORENZONI</t>
  </si>
  <si>
    <t>Fazenda São José</t>
  </si>
  <si>
    <t>99CFMH2D</t>
  </si>
  <si>
    <t>Destruir 328,94 ha de floresta, objeto de especial preservação, não passível de autorização para exploração ou supressão.
(Terra Indígena Ituna-Itatá)</t>
  </si>
  <si>
    <t>Helio Varella</t>
  </si>
  <si>
    <t>Fazenda Varella</t>
  </si>
  <si>
    <t>A88F57XT</t>
  </si>
  <si>
    <t>Destruir 217,91 ha de floresta, objeto de especial preservação, não passível de autorização para exploração ou supressão.
(Terra Indígena Ituna-Itatá)</t>
  </si>
  <si>
    <t>ducilneide rocha drumon</t>
  </si>
  <si>
    <t>Fazenda Crescer</t>
  </si>
  <si>
    <t>3º, - Portaria 50/2016 FUNAI.</t>
  </si>
  <si>
    <t>DE3LL5T9</t>
  </si>
  <si>
    <t>Destruir 544,29 ha de floresta nativa do bioma Amazônia, nas coordenadas 3° 56' 56,2" S e 51 ° 59' 17,7" W, no interior da Terra Indigena Ituna/Itatá.</t>
  </si>
  <si>
    <t>Samuel Gomes da Costa</t>
  </si>
  <si>
    <t>Terra Indígena Ituna/Itatá</t>
  </si>
  <si>
    <t>MMBJYWX1</t>
  </si>
  <si>
    <t>TRANSPORTAR 13.200 KG DE TAINHA, NO CAMINHÃO PLACAS DBL-8232, SEM COMPROVAÇÃO DE ORIGEM.</t>
  </si>
  <si>
    <t>Roberto Rivelino Arrieira De Oliveira</t>
  </si>
  <si>
    <t>PRF OSORIO. DBL8232</t>
  </si>
  <si>
    <t>38080DTK</t>
  </si>
  <si>
    <t>Transportar 8,2 toneladas de camarão rosa (Farfantepenaeu paulensis) sem origem legal, na BR 116, em Eldoradobdo Sul, no dia 21/03/2021 com o uso do veiculo QIL 3013.</t>
  </si>
  <si>
    <t>GOLFINHO INDUSTRIA COMERCIO E TRANSPORTE DE PESCADOS EIRELI ME</t>
  </si>
  <si>
    <t>Posto da Policia Rodoviaria Federal - Eldorado do Sul</t>
  </si>
  <si>
    <t>1o, Paragrafo Unico INI MPA/ MMA n.o 04/2014; 1o, paragrafo unico INI MPA / MAPA n.o 04/2014.</t>
  </si>
  <si>
    <t>MKQX2SZ9</t>
  </si>
  <si>
    <t>Transportar 250 kg de pescados diversos processados e congelados, de origem lacustre, na BR 116, em 20/01/2021, em Eldorado do Sul/RS, sem documento de origem e sem identificação de procedência, com o uso do veuculo ITH 0G52</t>
  </si>
  <si>
    <t>Valdemiro Lambrecht</t>
  </si>
  <si>
    <t>Posto de Policia Rodoviaria Estadual de Eldorado do Sul</t>
  </si>
  <si>
    <t>1o, caput INI MPA / MAPA n.o 04/2014.</t>
  </si>
  <si>
    <t>OGFV9EJX</t>
  </si>
  <si>
    <t>TRANSPORTAR 2737 KG DE CAMARÃO ROSA NO CAMINHÃO PLACAS ITL-5109, SEM COMPROVAÇÃO DE ORIGEM.</t>
  </si>
  <si>
    <t>RODRIGO PEDRO SOARES</t>
  </si>
  <si>
    <t>PRF ELD SUL. ITL5109</t>
  </si>
  <si>
    <t>AZHOQKTH</t>
  </si>
  <si>
    <t>Exercer a pesca em águas juridicionais brasileira  (litoral do Amapá) na embarcação de pesca de nacionalidade venezuelana denominada DON JAGINTO, sem autorização dos órgão ambiental competente.</t>
  </si>
  <si>
    <t>Santana</t>
  </si>
  <si>
    <t>Victor José Marin</t>
  </si>
  <si>
    <t>Rio Amazonas, Porto da Capitânia dos Portos, Santana/AP.</t>
  </si>
  <si>
    <t>Y2OP1H8L</t>
  </si>
  <si>
    <t>Pescar no estuário da Lagoa dos Patos, utilizando a embarcação DOUGLAS, insc. MB n. 4610038838, mediante a utilização de petrecho (rede de arrasto de fundo com portas) e método não permitido (arrasto de fundo).</t>
  </si>
  <si>
    <t>GLABIS COSTA DUTRA</t>
  </si>
  <si>
    <t>Arrasto. Ponta Feitoria.</t>
  </si>
  <si>
    <t>35 II Decreto 6514; 42 Decreto 6514; 70 1º Lei 9605; 72 Lei 9605; 3º II Decreto 6514; 3º IV Decreto 6514.</t>
  </si>
  <si>
    <t>MMS2SMM0</t>
  </si>
  <si>
    <t xml:space="preserve">Dificultar a ação do Poder Público no exercício de atividades de fiscalização ambiental embarcada no estuário da Lagoa dos Patos, ao empreender fuga com a embarcação DOUGLAS, insc. MB n. 4610038838 e por quatro vezes tentar abalroar a embarcação patrulha </t>
  </si>
  <si>
    <t>Ponta da Feitoria</t>
  </si>
  <si>
    <t>YBZA1JI9</t>
  </si>
  <si>
    <t>Transportar 4.965 kg de camarão rosa (Farfantepenaeus paulensis) sem origem legal, no dia 21/03/2021, na RS 101 em Capivari do Sul/RS, com o uso do veiculo IVA 7565, por meio da NFe 033.649.476 Serie 890.</t>
  </si>
  <si>
    <t>Eni Valdemar Cardoso Feijó</t>
  </si>
  <si>
    <t>RS 101 Proximo.ao Trevo de Acesso ao municipio</t>
  </si>
  <si>
    <t>35 IV Decreto 6514; 70 1º Lei 9605; 72 Lei 9605; 3º III Decreto 6514; 3º IV Decreto 6514.</t>
  </si>
  <si>
    <t>1o, Paragrafo Unico INI MPA / MAPA n.o 04/2014.</t>
  </si>
  <si>
    <t>HR9QACY4</t>
  </si>
  <si>
    <t>Transportar 2.500 kg de camarão rosa (Farfantepenaeus paulensis), sem origem legal no dia 19/03/2021 na BR 116, em Eldorado do Sul/RS, com o veiculo RDX 5A54, por meio da NFe 000.000.393 Serie 002.</t>
  </si>
  <si>
    <t>CLAUDIO MARCIO SOARES DE SOUZA</t>
  </si>
  <si>
    <t>Posto da Policia Rodovoaria Federal Eldorado do Sul</t>
  </si>
  <si>
    <t>TRISSQRD</t>
  </si>
  <si>
    <t>DESTRUIR 615,67 HECTARES DE FLORESTA NATIVA, SEM AUTORIZAÇÃO OU LICENÇA DA AUTORIDADE AMBIENTAL COMPETENTE.</t>
  </si>
  <si>
    <t>Juara</t>
  </si>
  <si>
    <t>DIEGO MARTIN PAES DE BARROS</t>
  </si>
  <si>
    <t>Fazenda Mandassaia</t>
  </si>
  <si>
    <t>CCLGTZYQ</t>
  </si>
  <si>
    <t>G2HQ0RGT</t>
  </si>
  <si>
    <t>Pescar lagosta, com a embarcação Maria Vitória, inscrição na Marinha do Brasil (TIE) número 181 0054982 mediante utilização de petrecho não permitido (compressor de mergulho).</t>
  </si>
  <si>
    <t>Rio do Fogo</t>
  </si>
  <si>
    <t>Siunei Borges da Silva</t>
  </si>
  <si>
    <t>Praia do Zumbi</t>
  </si>
  <si>
    <t>LAG PANULIRUS II</t>
  </si>
  <si>
    <t>9, Parágrafo Único Instrução Normativa 138/2006.</t>
  </si>
  <si>
    <t>V189OW2V</t>
  </si>
  <si>
    <t>Transportar 27,860 metros cúbicos de madeira serrada sem documento de origem florestal emitido pelo órgão ambiental competente (sem licença válida para todo o tempo da viagem).</t>
  </si>
  <si>
    <t>Cocalinho</t>
  </si>
  <si>
    <t>LOHAN COSTA DE MEDEIROS</t>
  </si>
  <si>
    <t>Avenida Araguaia</t>
  </si>
  <si>
    <t>WPFTOKA7</t>
  </si>
  <si>
    <t>Prestar informação falsa no Sistema Oficial de Controle - Sistema DOF, conforme Relatório de Constatação (anexo), processo  02024.000837/2021-49.</t>
  </si>
  <si>
    <t>Ouro Preto do Oeste</t>
  </si>
  <si>
    <t>CAVALCANTE COMERCIO DE MADEIRAS LTDA - ME</t>
  </si>
  <si>
    <t>Rua Aluizio Ferreira, 1291, Bairro Nova Ouro Preto - Ouro Preto D'Ieste - RO.</t>
  </si>
  <si>
    <t>H2DJMF4E</t>
  </si>
  <si>
    <t>Ttansportar, produto perigoso em desacordo com as exigências estabelecidas em leis ou em seus regulamentos.</t>
  </si>
  <si>
    <t>ELIZANDRO GALDINO MOREIRA</t>
  </si>
  <si>
    <t>BR 230, Km 006</t>
  </si>
  <si>
    <t>TK4DTGWV</t>
  </si>
  <si>
    <t>Destruir 812.14 ha de floresta, objeto de especial preservação, não passível de autorização para exploração ou supressão.
(Terra Indígena Ituna-Itatá)</t>
  </si>
  <si>
    <t>JOSÉ ROBERVAL SOUSA</t>
  </si>
  <si>
    <t>Fazenda Nossa Senhora de Aparecida</t>
  </si>
  <si>
    <t>49 Decreto 6514; 70 1º Lei 9605; 72 Lei 9605; 3º II Decreto 6514; 3º IV Decreto 6514; 3º VII Decreto 6514; 3º VIII Decreto 6514.</t>
  </si>
  <si>
    <t>3¿, - Portaria 50/2016 FUNAI.</t>
  </si>
  <si>
    <t>IK57KCM0</t>
  </si>
  <si>
    <t>Destruir 899,66 ha de floresta nativa do bioma Amazônia, nas coordenadas 3° 55' 57,6" S e 51° 46' 22,8" W, no interior da Terra Indigena Ituna/Itatá.</t>
  </si>
  <si>
    <t>Rafael Bueno</t>
  </si>
  <si>
    <t>Terra Indigena Ituna/Itatá</t>
  </si>
  <si>
    <t>FHSOQCMR</t>
  </si>
  <si>
    <t xml:space="preserve">Fica a empresa notificada a declarar no Cadastro Técnico Federal a atividade  21-45  importação de pneus e similares  Resolução CONAMA nº 416/2009 e a preencher o Relatório de Pneumáticos  Resolução Conama nº 416/2009, disponível nos Serviços do Cadastro </t>
  </si>
  <si>
    <t>YNBXYBMZ</t>
  </si>
  <si>
    <t>Deixar de atender a exigências legais quando devidamente notificado pela autoridade ambiental competente, no prazo concedido. Notificação ESK1LBMM, AR JU 74585450 2 BR, recebido em 14/10/2020.</t>
  </si>
  <si>
    <t>AV ANHANGUERA</t>
  </si>
  <si>
    <t>6XBQ4GCT</t>
  </si>
  <si>
    <t>Deixar de apresentar informações ambientais referente a importação e destinação de pneumáticos no ano  de 2018, por meio de preenchimento do relatório de pneumáticos - Resolução Conama n° 416/2009, disponível nos serviços do Cadastro Técnico Federal, no p</t>
  </si>
  <si>
    <t>PROINOX BRASIL LTDA</t>
  </si>
  <si>
    <t>Rodovia Antônio Hellb1001, LT. São Pedro, Galpão G 2/M7, sala 41, Itaipava/ SC.</t>
  </si>
  <si>
    <t>TT0JUH3S</t>
  </si>
  <si>
    <t>Deixar de atender a exigências legais quando devidamente notificado pela autoridade ambiental competente, no prazo concedido. Notificação ZOJWGZJF, AR JU 74585394 9 BR, recebida em 09/10/2020.</t>
  </si>
  <si>
    <t>Apucarana</t>
  </si>
  <si>
    <t>MUNIZ AUTO CENTER LTDA</t>
  </si>
  <si>
    <t>Avenida Minas Gerais, 211</t>
  </si>
  <si>
    <t>WSU428MR</t>
  </si>
  <si>
    <t>Deixar de apresentar os relatórios anuais de atividades poluidoras nos prazos exigidos pela legislação no sistema oficial de controle do IBAMA CTF relativos aos anos de 2016/2015, 2017/2016, 2018/2017, 2019/2018.</t>
  </si>
  <si>
    <t>TOTAL ITALIA REFORMADORA DE PNEUS LTDA</t>
  </si>
  <si>
    <t>K7PHHYDS</t>
  </si>
  <si>
    <t>Av Minas Gerais 211</t>
  </si>
  <si>
    <t>UMWBOWYZ</t>
  </si>
  <si>
    <t>Apresentar informação falsa nós sistemas oficiais de controle (Sistema DOF rota inversa ) conforme Relatório de Constatação .</t>
  </si>
  <si>
    <t>Juruena</t>
  </si>
  <si>
    <t>ROSA ORIDES COMINI-EPP</t>
  </si>
  <si>
    <t>Rosa Orides Comini- EPP,Juruena, zona rural, Empresa Madeireira CNPJ 25.983.093/0001-42</t>
  </si>
  <si>
    <t>ZPPFFB8Q</t>
  </si>
  <si>
    <t>DEIXAR DE APRESENTAR RELATÓRIO DE ATIVIDADE POTENCIALMENTE POLUIDORA REFERENTE AO EXERCÍCIO 2015/2014, 2016/2015, 2017/2016 e 2018/2017.</t>
  </si>
  <si>
    <t>Santana do Piauí</t>
  </si>
  <si>
    <t>EDIMAR ANTENOR DE MOURA</t>
  </si>
  <si>
    <t>Localidade chapadinha da Lagoa/ zona rural, cep. 64.615-000</t>
  </si>
  <si>
    <t>REIJ49Y4</t>
  </si>
  <si>
    <t>Desmatar, a corte raso, 93,36 hectares de vegetação nativa do bioma Cerrado, fora de Reserva Legal e APP, no interior da unidade de conservação federal Resex Lago do Cedro, sem autorização do órgão ambiental competente. O mapa com memorial descritivo da á</t>
  </si>
  <si>
    <t>JAIRO JOSE DA SILVA</t>
  </si>
  <si>
    <t>F9Q2L7U8</t>
  </si>
  <si>
    <t>Exercer a pesca no Estuario da Lagoa dos Patos/RS, no municipio de São Lourenço do Sul/RS, no dia 18/03/2021, com o uso de embarcação sem nome e sem registro na Autoridade Competente, e sem autorização de pesca, tanto do pescador como da embarcação.</t>
  </si>
  <si>
    <t>Diones de Castro Xavier</t>
  </si>
  <si>
    <t>Arroio São Lourenço</t>
  </si>
  <si>
    <t>42 Decreto 6514; 37 Decreto 6514; 70 1º Lei 9605; 72 Lei 9605; 3º II Decreto 6514.</t>
  </si>
  <si>
    <t>W21XKKJ9</t>
  </si>
  <si>
    <t>Exercer a pesca de arrasto de camarão no Estuario da Lagoa dos Patos/RS (modalidade proibida), no canal do arroio de São Lourenço do Sul, por meio do ato tendente a pesca, no dia 18/03/2021, com o uso de embarcação sem nome e sem registro na autoridade co</t>
  </si>
  <si>
    <t>Dione de Castro Xavier</t>
  </si>
  <si>
    <t>3o, IIi INI SEAP-PR/MMA n.o 03/2004.</t>
  </si>
  <si>
    <t>VQVIVUWR</t>
  </si>
  <si>
    <t>executar manejo florestal em 374,65 hectares de floresta amazônica sem a devida autorização do órgão ambiental competente.</t>
  </si>
  <si>
    <t>Tabaporã</t>
  </si>
  <si>
    <t>DALTON BENONI MARTINI</t>
  </si>
  <si>
    <t>Fazenda Tucandira / Nova Andradina</t>
  </si>
  <si>
    <t>51-A Decreto 6514; 70 1º Lei 9605; 72 Lei 9605; 3º II Decreto 6514; 3º VII Decreto 6514.</t>
  </si>
  <si>
    <t>9RRG3U0Z</t>
  </si>
  <si>
    <t>TER EM CATIVEIRO (Sua Residência), 01 (UM) ESPÉCIME DE PASSERIFORME DA FAUNA SILVESTRE NATIVA. DE  TICO-TICO (ZONOTRICHIA CAPENSIS), SEM A DEVIDA LICENÇA OU AUTORIZAÇÃO DA AUTORIDADE AMBIENTAL COMPETENTE, CONF. CONTEÚDO DO TCO - TERMO CIRCUNSTANCIADO DE O</t>
  </si>
  <si>
    <t>MYKIA KARINE AMBROSIO</t>
  </si>
  <si>
    <t>Fazenda Primavera, 18 - Zona Rural - Satuba - AL.</t>
  </si>
  <si>
    <t>7QF5JLMG</t>
  </si>
  <si>
    <t>Ter em depósito 813,01 m3 de produto de origem vegetal, sendo 53,74m3 de madeira serrada e 759,27 m3 em Toras, sem origem legal comprovada.</t>
  </si>
  <si>
    <t>SURUCUCU INDUSTRIA E COMERCIO DE MADEIRAS EIRELI</t>
  </si>
  <si>
    <t>Rodovia Porto da Balsa 1, Km1, Beira Rio</t>
  </si>
  <si>
    <t>47 1º Decreto 6514; 47 2º Decreto 6514; 70 1º Lei 9605; 72 Lei 9605; 3º II Decreto 6514; 3º VII Decreto 6514.</t>
  </si>
  <si>
    <t>SOKEKALW</t>
  </si>
  <si>
    <t>TER EM CATIVEIRO (Sua Residência), 02 (DOIS) ESPÉCIMES DE PASSERIFORMES DA FAUNA SILVESTRE NATIVA, DE PAPA-CAPIM OU COLEIRO BAIANO (SPOROPHILLA NIGRICOLLIS), SEM A DEVIDA LICENÇA OU AUTORIZAÇÃO DA AUTORIDADE AMBIENTAL COMPETENTE, CONF. CONTEÚDO DO TCO - T</t>
  </si>
  <si>
    <t>VALMIR ANSELMO DA SILVA</t>
  </si>
  <si>
    <t>Rua C, 4 - Fazenda Primavera - Zona Rural - Satuba - AL</t>
  </si>
  <si>
    <t>OD5NFCSQ</t>
  </si>
  <si>
    <t>Permitir a condução do veículo marca Volvo, VM 330 8X2r, placas PPR0H63, em desacordo com o previsto na Resolução Conama n¿ 403/2008, e a Contran 66/2017, ART. 3¿, inciso V.</t>
  </si>
  <si>
    <t>N. S. MOREIRA</t>
  </si>
  <si>
    <t>Rodovia BR 316, Km 102.</t>
  </si>
  <si>
    <t>3WBQMPLO</t>
  </si>
  <si>
    <t>Fazer funcionar atividade utilizadora de recursos ambientais, em desacordo com as normas e regulamentos. Importação de cílios naturais (matéria prima: pelo de animal silvestre exótico) sem licença da autoridade ambiental brasileira.</t>
  </si>
  <si>
    <t>RENATO ARAÚJO CHAVES BRASIL</t>
  </si>
  <si>
    <t>CORREIOS JAGUARÉ</t>
  </si>
  <si>
    <t>1, caput Portaria 93/98.</t>
  </si>
  <si>
    <t>7DQZKRLD</t>
  </si>
  <si>
    <t>Permitir a condução do veículo marca Ford, modelo Cargo 1719 S, em desacordo com a Resolução Contran 66/2017, ART. 3¿, inciso V, que prevê a fiscalização do sistema de controle de emissão de puluentes em veículos produzidos após 2012.</t>
  </si>
  <si>
    <t>VALE LOGISTICA E TRANSPORTE LTDA - EPP</t>
  </si>
  <si>
    <t>Rodovia BR 316, Km 102,0.</t>
  </si>
  <si>
    <t>OAX832SC</t>
  </si>
  <si>
    <t>TER EM CATIVEIRO (Sua Residência), 05 (CINCO) ESPÉCIMES DE PASSERIFORME DA FAUNA SILVESTRE NATIVA, SENDO 03 (TRÊS) PAPA-CAPIM OU COLEIRO BAIANO (SPOROPHILLA NIGRICOLLIS); 01 (UM) SEBITE OU CAMBACICA (COEREBA FLAVEOLA) e;  01 (UM) SANHAÇO CINZENTO (THRAUPI</t>
  </si>
  <si>
    <t>JOSÉ BENEDITO DA SILVA FILHO</t>
  </si>
  <si>
    <t>Fazenda Primavera, 8 - Zona Rural - Satuba - AL.</t>
  </si>
  <si>
    <t>PCTDEFLZ</t>
  </si>
  <si>
    <t>Danificar 4,63 hectares de vegetação natural (mangue) em área considerada de preservação permanente (manguezal), sem autorização do órgão competente.</t>
  </si>
  <si>
    <t>Brejo Grande</t>
  </si>
  <si>
    <t>FRANCISCO JOSE PINHEIRO DA SILVA</t>
  </si>
  <si>
    <t>Manguezal circundante à estrada de acesso ao imóvel rural denominado  "Fazenda Ilha das Mangabeiras"</t>
  </si>
  <si>
    <t>43 Decreto 6514; 70 1º Lei 9605; 72 Lei 9605; 3º II Decreto 6514; 3º VII Decreto 6514.</t>
  </si>
  <si>
    <t>SE7MM8WD</t>
  </si>
  <si>
    <t>COMERCIALIZAR 8.920 KG DE PESCADOS DIVERSOS, CONFORME NFE 3.696 E 3.712 EMITIDAS PELA EMPRESA MAR AZUL COMERCIO DE PESCADOS LTDA EPP, SEM COMPROVAÇÃO DE ORIGEM.</t>
  </si>
  <si>
    <t>Tapes</t>
  </si>
  <si>
    <t>PESCAF COMÉRCIO DE PESCADOS EIRELI</t>
  </si>
  <si>
    <t>RODOVIA RS717. PESCAF</t>
  </si>
  <si>
    <t>5RQIJWYX</t>
  </si>
  <si>
    <t>COMERCIALIZAR 8.920 KG DE PESCADOS DIVERSOS, CONFORME NFE 3.696 E 3.712, SEM COMPROVAÇÃO DE ORIGEM</t>
  </si>
  <si>
    <t>MAR AZUL COMERCIO DE PESCADOS LTDA</t>
  </si>
  <si>
    <t>RODOVIA RS717. MAR AZUL</t>
  </si>
  <si>
    <t>61KHE1IJ</t>
  </si>
  <si>
    <t>Destruir 0,55 hectare de vegetação nativa (mangue) em área considerada de preservação permanente, sem autorização do órgão competente.</t>
  </si>
  <si>
    <t>Angulo Menezes Pimentel</t>
  </si>
  <si>
    <t>Povoado Saramém, viveiro de camarão situado próximo a estrada de acesso a ilha gato preto</t>
  </si>
  <si>
    <t>3C95WPFL</t>
  </si>
  <si>
    <t>Conservar em câmara fria 203 kg de camarão de espécies listadas no Artigo 1° da Instrução Normativa IBAMA 189/2008, sem comprovante de origem, por estar excedente à Declaração de Estoque.</t>
  </si>
  <si>
    <t>Bombinhas</t>
  </si>
  <si>
    <t>Simara Sineia da Cruz</t>
  </si>
  <si>
    <t>Peixaria do Acácio</t>
  </si>
  <si>
    <t>DECAPODA</t>
  </si>
  <si>
    <t>4°, Caput Instrução Normativa IBAMA 189/2008.</t>
  </si>
  <si>
    <t>REUMQ8V2</t>
  </si>
  <si>
    <t>Danificar 21,528 ha de floresta nativa na área da Unidade de Conservação Parque Nacional do Jamanxim, nas Coordenadas Geográfica Lat. 06° 1' 16"S Long. 55° 41' 16"W, município de Itaituba-PA.</t>
  </si>
  <si>
    <t>AILTON FERREIRA BARBOSA</t>
  </si>
  <si>
    <t>Rodovia BR 163, km 25 do Distrito de Morais de Almeida</t>
  </si>
  <si>
    <t>50 Decreto 6514; 70 1º Lei 9605; 72 Lei 9605; 3º II Decreto 6514; 3º IV Decreto 6514; 3º VII Decreto 6514.</t>
  </si>
  <si>
    <t>93, único Decreto Federal 6514/2008.</t>
  </si>
  <si>
    <t>2WQXP5J2</t>
  </si>
  <si>
    <t xml:space="preserve">Deixar de apresentar relatórios de manejo de espécies exóticas invasoras Javali (Sus scrofa)disponível no sítio eletrônico do SIMAF-Sistema integrado de manejo de fauna (IN IBAMA 12/2019), para o período de 23.01.2020 até 23.04.2020, na propriedade rural </t>
  </si>
  <si>
    <t>Rio Brilhante</t>
  </si>
  <si>
    <t>MARCIO CAMARGO</t>
  </si>
  <si>
    <t>Fazenda Santa Rita de Cássia, Rio Brilhante MS</t>
  </si>
  <si>
    <t>J18P646Y</t>
  </si>
  <si>
    <t>Deixar de apresentar relatórios de manejo da espécie exótica invasora javali (Sus scrofa) disponível no sítio eletrônico da SIMAF- sistema integrado de manejo da fauna(IN Ibama 12/2019), para o período 17.09.2019 até dia 17.12.2019,  na Fazenda Jaguaporã,</t>
  </si>
  <si>
    <t>PERICLES SARAVI DE SOUZA</t>
  </si>
  <si>
    <t>Fazenda Jaguaporã, Maracajú/MS.</t>
  </si>
  <si>
    <t>837VWY4G</t>
  </si>
  <si>
    <t>Deixar de apresentar relatórios de manejo da espécie exótica invasora javali (Sus scrofa), disponível no sítio eletrônico do SIMAF- sistema integrado de manejo de fauna (IN Ibama 12/2019), para o período de 17.07.19 até 17.10.19 e 20.07.19 até 21.07.19, a</t>
  </si>
  <si>
    <t>Sonora</t>
  </si>
  <si>
    <t>CICERO SALOMAO CESARIO</t>
  </si>
  <si>
    <t>propriedade de Luiz Eduardo Pinto Galvão</t>
  </si>
  <si>
    <t>T71UCFZY</t>
  </si>
  <si>
    <t>Deixar de apresentar relatórios de manejo da espécie exótica invasora Javali (Sus scrofa), disponível no sítio eletrônico do SIMAF-Sistema Integrado de Manejo de Fauna(IN Ibama 12/19), para o período de 28.11.19 até 28.02.20, na Fazenda Santa Maria, Nioaq</t>
  </si>
  <si>
    <t>Nioaque</t>
  </si>
  <si>
    <t>EDVAL GOMES ALVES</t>
  </si>
  <si>
    <t>Fazenda Santa Maria, BR 419, Km 47, Nioaque/MS.</t>
  </si>
  <si>
    <t>XITZYWID</t>
  </si>
  <si>
    <t>Ter em depósito 12,89 metros cúbicos de madeira serrada de origem nativa sem licença válida outorgada pela autoridade competente e sem comprovação de origem.</t>
  </si>
  <si>
    <t>BLUMENAU LOCAÇÕES EIRELI</t>
  </si>
  <si>
    <t>Rodovia Porto da Balsa, SN, Km 1,6 - Bairro Industrial, Município de Tucuruí/PA - CEP 68457200</t>
  </si>
  <si>
    <t>FJVAMRFI</t>
  </si>
  <si>
    <t>Apresentar informação falsa, enganosa ou omissa ao Ibama, através da Declaração de Estoque Sei n. 6557631, uma vez que afirmou possuir 800 kg de camarão em seu estoque e, de acordo com as notas fiscais de entrada, somente comprou 200 kg.</t>
  </si>
  <si>
    <t>S.E. Pescados Ltda</t>
  </si>
  <si>
    <t>Ibama</t>
  </si>
  <si>
    <t>DCEIB64X</t>
  </si>
  <si>
    <t>Transportar 14.112 exemplares de MINHOCUÇU Goiano (Rhinodrilus motucu Righi), espécimes da fauna silvestre nativa, sem autorização da autoridade competente.</t>
  </si>
  <si>
    <t>Coxim</t>
  </si>
  <si>
    <t>Adailton José Cavalcante</t>
  </si>
  <si>
    <t>Posto da Polícia Rodoviária Federal</t>
  </si>
  <si>
    <t>24, 3°, III Decreto 6514/08.</t>
  </si>
  <si>
    <t>9J0UCWOY</t>
  </si>
  <si>
    <t>Descumprir Embargos de atividade conforme determinado nos termos n° 711378-E e 17603-E.</t>
  </si>
  <si>
    <t>K &amp; A INDUSTRIA E COM. DE MADEIRAS EIRELI</t>
  </si>
  <si>
    <t>Norte Madeiras</t>
  </si>
  <si>
    <t>T9ILZ2GW</t>
  </si>
  <si>
    <t>Ter em depósito 3,4 m3 de madeira serrada amazônica e 90,25m3 de resíduos florestais do beneficiamento da madeira sem origem legal/licença válida.</t>
  </si>
  <si>
    <t>VDC6L3H8</t>
  </si>
  <si>
    <t>Apresentar informação falsa, enganosa ou omissa no sistema oficial de controle (Sisdof): em 13/03/2019, o saldo livre de produtos florestais não foi localizado no endereço do pátio M.F. Madeiras Ltda - rua Mário Feitosa Rodrigues, 1420, Altos do Indaiá, D</t>
  </si>
  <si>
    <t>MF MADEIRAS LTDA - ME</t>
  </si>
  <si>
    <t>UT II Dourados/IBAMA/ MS</t>
  </si>
  <si>
    <t>0RNNO7XO</t>
  </si>
  <si>
    <t>Dificultar a ação da fiscalização ambiental por meio da ocultação de 13 espécimes da fauna ameaçada de extinção, sendo 06 CHERNES POVEIRO e 07 CHERNES VERDADEIRO, na carga do caminhão placas MJN-3255.</t>
  </si>
  <si>
    <t>JORGE ADÍLIO BATISTA</t>
  </si>
  <si>
    <t>BABM RIO GRANDE</t>
  </si>
  <si>
    <t>L2LH8XA3</t>
  </si>
  <si>
    <t>Deixar de atender a exigências legais quando devidamente notificado pela autoridade ambiental competente, no prazo concedido. Notificação SV2YKFOQ, AR JU 74585393 5 BR, recebido em 14/10/2020.</t>
  </si>
  <si>
    <t>ROVEMA VEÍCULOS E MÁQUINAS LTDA</t>
  </si>
  <si>
    <t>JQC9PELQ</t>
  </si>
  <si>
    <t>Deixar de atender a exigências legais quando devidamente notificado pela autoridade ambiental competente, no prazo concedido. Notificação RRT4GXE1, AR JU 74585393 5 BR, recebido em 14/10/2020.</t>
  </si>
  <si>
    <t>Núcleo de Conciliação Ambiental/AC</t>
  </si>
  <si>
    <t>Rio Branco</t>
  </si>
  <si>
    <t>AC</t>
  </si>
  <si>
    <t>ROVEMA VEÍCULOS E MAQUINAS LTDA</t>
  </si>
  <si>
    <t>63K0W329</t>
  </si>
  <si>
    <t>Deixar de apresentar informações ambientais referentes a importação e destinação de pneumáticos no ano de 2018, por meio do preenchimento do Relatório de Pneumáticos Resolução Conama nº 416/2009, disponível nos Serviços do Cadastro Técnico Federal, no pra</t>
  </si>
  <si>
    <t>MD0W8JB7</t>
  </si>
  <si>
    <t>Deixar de inscrever-se no Cadastro Técnico Federal de que trata o art. 17 da Lei nº 6.938, de 1981.</t>
  </si>
  <si>
    <t>RCMKD51L</t>
  </si>
  <si>
    <t>TRANSPORTAR NO CAMINHÃO PLACAS MJN-3255, 13 ESPECIMES DA FAUNA AMEAÇADA DE EXTINÇÃO, SENDO 06 CHERNES POVEIRO E 07 CHERNES VERDADEIRO, SEM AUTORIZAÇÃO DA AUTORIDADE COMPETENTE.</t>
  </si>
  <si>
    <t>24 1º II Decreto 6514; 24 1º III Decreto 6514; 24 7º II Decreto 6514; 24 7º III Decreto 6514; 70 1º Lei 9605; 72 Lei 9605; 3º II Decreto 6514; 3º IV Decreto 6514.</t>
  </si>
  <si>
    <t>QRGLXBGG</t>
  </si>
  <si>
    <t>MDEP3OWX</t>
  </si>
  <si>
    <t>Y70X8AII</t>
  </si>
  <si>
    <t>APRESENTAR INFORMAÇÃO FALSA NO SISTEMA OFICIAL DE CONTROLE DOF REFERENTE AO PROCEDIMENTO ADMINISTRATIVO DE RECEBIMENTO DE 05 (CINCO) DOCUMENTOS FLORESTAIS IDEOLOGICAMENTE FALSOS (RESÍDUO PARA APROVEITAMENTO INDUSTRIAL E RIPAS CURTAS, ANO 2017), CONFORME I</t>
  </si>
  <si>
    <t>FRANCISCO PIRES DE MOURA ME</t>
  </si>
  <si>
    <t>AVENIDA, HENRIQUE COELHO, 447 BAIRRO CENTRO MUNICÍPIO DE SÃO JOÃO DO PIAUÍ/PI, CEP: 64.760-000, OBS ESTAS COORDENADAS GEOGRÁFICAS NÃO É DA LOCALIZAÇÃO DA EMPRESA.</t>
  </si>
  <si>
    <t>VJ8DX6T7</t>
  </si>
  <si>
    <t>Destruir 1,72 hectares de vegetação nativa no Bioma Pantanal (objeto especial de preservação) no projeto de assentamento Taquaral, Agrovila 3, lote 65, sítio Canaã, em Corumbá MS, sem autorização ambiental de acordo com parecer técnico xxx -ID 2</t>
  </si>
  <si>
    <t>Aldivir Batista de Souza</t>
  </si>
  <si>
    <t>PA Taquaral, lote 65, Agrovila 3, Sítio Canaã Dois,  Corumbá/MS</t>
  </si>
  <si>
    <t>AFIV6J9W</t>
  </si>
  <si>
    <t>Destruir 7,41 hectares de vegetação nativa no Boma Pantanal (objeto especial de preservação), no PA Tamarineiro II, lote 15,Corumbá MS, de acordo com Parecer Técnico xxx -ID 26, sem autorização ambiental.</t>
  </si>
  <si>
    <t>Wellington de Jesus Macena</t>
  </si>
  <si>
    <t>PA Tamarineiro II, lote 15, Corumbá/MS</t>
  </si>
  <si>
    <t>90XCGHFM</t>
  </si>
  <si>
    <t>Transportar produto perigoso em desacordo com as exigências estabelecidas em leis ou em seus regulamentos.</t>
  </si>
  <si>
    <t>Jorge José Santino da Cruz</t>
  </si>
  <si>
    <t>BR 230, Km 16</t>
  </si>
  <si>
    <t>PIZBUZ04</t>
  </si>
  <si>
    <t>Transportar, produto perigoso em desacordo com as exigências estabelecidas em leis ou em seus regulamentos.</t>
  </si>
  <si>
    <t>São Miguel de Taipu</t>
  </si>
  <si>
    <t>Edinaldo José de Queiroz</t>
  </si>
  <si>
    <t>BR 230, Km 65</t>
  </si>
  <si>
    <t>MSZ313A3</t>
  </si>
  <si>
    <t>DEIXAR DE APRESENTAR RELATÓRIOS NOS PRAZOS EXIGIDOS PELA LEGISLAÇÃO DA LEI 10.165/2000 REFERENTE AOS ANOS DE 2018/2017 e 2010/2018 NÃO FORAM ENTREGUES CONFORME CONSULTA IMPEDITIVOS SEI (xxx).</t>
  </si>
  <si>
    <t>Bonfim do Piauí</t>
  </si>
  <si>
    <t>POSTO BONFIM DO PIAUÍ LTDA - ME</t>
  </si>
  <si>
    <t>RUA, FRANCISCO XAVIER, S/N, BAIRRO CENTRO MUNICÍPIO BONFIM DO PIAUÍ/PI, CEP: 64.775-000, OBS ESTAS COORDENADAS GEOGRÁFICAS NÃO É DA LOCALIZAÇÃO DA EMPRESA.</t>
  </si>
  <si>
    <t>VQJDR3UA</t>
  </si>
  <si>
    <t>Ter em depósito 392,42 m3 de madeira sem licença válida outorgada pela autoridade competente, sendo: 154,91 m3 de madeira em todas, 39,01 m3 de madeira serrada e 198,50 m3 de resíduos.</t>
  </si>
  <si>
    <t>Nortuc Madeiras EIRELI</t>
  </si>
  <si>
    <t>Nortuc Madeiras EIRELI - Rodovia Porto da Balsa, S/N, Km 1,7, Zona Rural, Tucuruí-PA</t>
  </si>
  <si>
    <t>DLZFUSMD</t>
  </si>
  <si>
    <t>Deixar de apresentar relatórios ou informações ambientais no prazo determinado pela autoridade ambiental conforme Notificação n. Y7JBEPVH lavrada em 07/10/20 e recebida em 02/12/20.</t>
  </si>
  <si>
    <t>ITALO NOGUEIRA ALVES DE MELO</t>
  </si>
  <si>
    <t>Rua PV-7, Módulo 11, Qd. 13, S/N, Distrito Agroindustrial  de  Anápolis CEP 75132140 Anápolis  GO</t>
  </si>
  <si>
    <t>YDI2RII8</t>
  </si>
  <si>
    <t>Destruir 1,20 hectares de vegetação nativa no bioma Pantanal (objeto especial de preservação), no Sítio Vale do Rio Doce,Tamarineiro I, lote 40, Corumbá/MS, de acordo com o parecer técnico xxx -ID 03, sem autorização ambiental.</t>
  </si>
  <si>
    <t>Cido Rodrigues da Silva</t>
  </si>
  <si>
    <t>Sítio Vale do Riacho Doce, lote 40, PA Tamarineiro I, Corumbá MS.</t>
  </si>
  <si>
    <t>R4W4T7BV</t>
  </si>
  <si>
    <t>Ter em depósito 437,086 m³ de madeira serrada de espécies diversas, sem licença para o armazenamento, outorgada pela autoridade competente.</t>
  </si>
  <si>
    <t>MADEIREIRA J &amp; Y LTDA</t>
  </si>
  <si>
    <t>Madeireira J &amp; Y Ltda - ME, Ramal Porto Condomínio, S/nº, Condomínio Industrial</t>
  </si>
  <si>
    <t>KFO47EG2</t>
  </si>
  <si>
    <t>TER EM CATIVEIRO ESPÉCIMES DA FAUNA SILVESTRE BRASILEIRA SEM LICENÇA DO ÓRGÃO AMBIENTAL COMPETENTE.</t>
  </si>
  <si>
    <t>Presidente Kennedy</t>
  </si>
  <si>
    <t>VINÍCIUS ROSA GOMES BARBOZA</t>
  </si>
  <si>
    <t>RUA OLIMPIO P C FIGUEREDO.</t>
  </si>
  <si>
    <t>J6GKKWKR</t>
  </si>
  <si>
    <t>Portar motoserra Stihl MS 651, número de série  36939352, sem licença da autoridade ambiental competente.</t>
  </si>
  <si>
    <t>Nortuc Madeiras EIRELI - Rodovia Porto da Balsa, S/N, KM-1,7, Zona Rural,  Tucuruí-PA</t>
  </si>
  <si>
    <t>CDVNK1TL</t>
  </si>
  <si>
    <t>Apresentar informação falsa no sistema oficial de controle DOF referente ao procedimento administrativo de recebimento de 09 
(nove) documentos florestais ideologicamente falsos (resíduos para apreveitamento industrial e ripas curtas, ano 2017).</t>
  </si>
  <si>
    <t>Betânia do Piauí</t>
  </si>
  <si>
    <t>J. F. RODRIGUES - ME</t>
  </si>
  <si>
    <t>Rua Moisés Rodrigues, 607 - centro</t>
  </si>
  <si>
    <t>KEQORBZ9</t>
  </si>
  <si>
    <t>Ter em depósito 92,8 m3 de produtos de origem florestal sem licença válida.</t>
  </si>
  <si>
    <t>Serraria Primaveira</t>
  </si>
  <si>
    <t>AMAZÔNIA VERDE - BASE PA1 - II</t>
  </si>
  <si>
    <t>4RN353Q1</t>
  </si>
  <si>
    <t>CIRUMED DISTRIBUIDORA DE MEDICAMENTOS LTDA</t>
  </si>
  <si>
    <t>C3BB2UCN</t>
  </si>
  <si>
    <t>Instalar atividade utilizadora de recursos ambientais considerada potencialmente poluidora (carcinicultura) em uma área de 1,85 hectares sem licença ou autorização dos órgãos ambientais competentes.</t>
  </si>
  <si>
    <t>Povoado Saramém, viveiro construído próximo a estrada de acesso a Ilha do Gato</t>
  </si>
  <si>
    <t>SXT32J8J</t>
  </si>
  <si>
    <t>Destruir (108,86 hectares) de floresta de vegetação nativa, objeto de especial preservação (Floresta Amazônica na Amazônia Legal), sem licença da autoridade ambiental competente.</t>
  </si>
  <si>
    <t>Agnaldo Deziderio</t>
  </si>
  <si>
    <t>Área anexa a Fazenda Chapadão.
Agnaldo Deziderio.
Alvo 20 - P2NMIMT</t>
  </si>
  <si>
    <t>MI8149Y9</t>
  </si>
  <si>
    <t>Destruir 244,88 hectares de vegetação nativa, objeto de preservação (Amazônia Brasileira) sem licença da autoridade ambiental competente.</t>
  </si>
  <si>
    <t>Tailândia</t>
  </si>
  <si>
    <t>RONEY ARAUJO VALADARES</t>
  </si>
  <si>
    <t>Rodovia PA 150, km 142, Vila Bom Jesus, adentro 7km, Tailândia PA</t>
  </si>
  <si>
    <t>225, 4 Constituição Federal de 1988.</t>
  </si>
  <si>
    <t>FVFE1O32</t>
  </si>
  <si>
    <t>introduzir 01 espécime animal silvestre exótico no país sem licença expedida pela autoridade ambiental competente, quando exigível. conforme parecer técnico nº xxx.</t>
  </si>
  <si>
    <t>Maria Aparecida Fernandes Martins</t>
  </si>
  <si>
    <t>Q  N Q 4 CONJUNTO 16 CASA 4 CEILÂNDIA NORTE BRASÍLIA DF</t>
  </si>
  <si>
    <t>25 I Decreto 6514; 70 1º Lei 9605; 72 Lei 9605; 3º II Decreto 6514.</t>
  </si>
  <si>
    <t>7315XUTW</t>
  </si>
  <si>
    <t>Permitir a condução de veículo automotor em desacordo com os limites e exigências previstos na legislação (Uso de óleo diesel S500 no caminhão VW, Placa MMH 1B67, ano 2014.</t>
  </si>
  <si>
    <t>Natali de Domenico Durante</t>
  </si>
  <si>
    <t>V3YYZJVK</t>
  </si>
  <si>
    <t>Permitir a condução de veículo automotor em desacordo com os limites e exigências previstos na legislação (uso de óleo diesel S500 no caminhão IVECO, Placa BDV 3A46, Ano 2019).</t>
  </si>
  <si>
    <t>GD Logística e Transportes Ltda</t>
  </si>
  <si>
    <t>WYVVHPCY</t>
  </si>
  <si>
    <t>Apresentar Informação Falsa no Sistema Oficial de controle do IBAMA (sistema DOF)</t>
  </si>
  <si>
    <t>SR DE OLIVEIRA INDUSTRIA E COMERCIO DE MADEIRAS LT</t>
  </si>
  <si>
    <t>Quadra 213, Lote 04, Bloco B, apt.603 - Águas Claras Brasília/DF.</t>
  </si>
  <si>
    <t>PBGQUQ43</t>
  </si>
  <si>
    <t>Transportar 4.000 kg de camarao rosa (Farfantepenaeus paulensis) no dia 17/03/2021, na BR 116 Camaquã/RS, com o uso do veiculo MJN 3255, por meio da NP 183 853250 e NFe 000.000354 Serie 002, documento de origem do pescado invalido.</t>
  </si>
  <si>
    <t>jorge Adilio Batista</t>
  </si>
  <si>
    <t>Posto da Policia Rodoviaria Federal Camaquã</t>
  </si>
  <si>
    <t>1o , Paragrafo Unico INI MPA MAPA n.o 04/2014.</t>
  </si>
  <si>
    <t>VG6Q5KY7</t>
  </si>
  <si>
    <t>Transportar 500 kg de pescado (tainha) no dia 16/03/2021, na BR 116 Camaquã/RS, com o uso do veiculo IUJ 7648, sem documento de origem do pescado.</t>
  </si>
  <si>
    <t>Bruno Dimmer</t>
  </si>
  <si>
    <t>Posto da Policia Rodovoaria Federal de Camaquä</t>
  </si>
  <si>
    <t>Z2D3Y446</t>
  </si>
  <si>
    <t>Deixar de apresentar informações ambientais: relatório trimestral referente ao manejo de espécies invasoras/javali exigido pela IN 03/2013-Ibama, mesmo após notificado (Ofício 290/2020/Nubio-MS/DITEC-MS/SUPES-MS).</t>
  </si>
  <si>
    <t>JOSUÉ RODRIGUES BISCAIA</t>
  </si>
  <si>
    <t>UT II Dourados/IBAMA/MS</t>
  </si>
  <si>
    <t>ZDLIW348</t>
  </si>
  <si>
    <t>Deixar de apresentar informações ambientais: relatório trimestral referente ao manejo de espécies invasoras/javali exigido pela IN 03/2013-Ibama, mesmo após notificado (Ofício 316/2020/Nubio-MS/DITEC-MS/SUPES-MS).</t>
  </si>
  <si>
    <t>CARLOS PIRES DE MELLO</t>
  </si>
  <si>
    <t>UT II Dourados/ IBAMA/ MS</t>
  </si>
  <si>
    <t>JBD8D0CR</t>
  </si>
  <si>
    <t>Deixar de apresentar relatórios ambientais no prazo exigido pela legislação. Auto de infração lavrado em conformidade com determinação DITEC/SUPES/TO (9423236) e solicitação NQA/SUPES/TO (8511927). Segue anexo relatório de fiscalização.</t>
  </si>
  <si>
    <t>Almas</t>
  </si>
  <si>
    <t>TAMBORA AGROINDUSTRIA E COM DE PESCA</t>
  </si>
  <si>
    <t>Rodovia Almas Pindorama, Km 20, n/s,</t>
  </si>
  <si>
    <t>EDG7MJUI</t>
  </si>
  <si>
    <t>Transportar 2.000 kg de pescado (abrótea e pescada) no dia 16/03/2021, na BR 116 em Camaquã/RS, com o uso do veiculo MJZ 3B47, por meio da NFe 033.581.300 Serie 890, com documento de origem invalido.</t>
  </si>
  <si>
    <t>Paulo Sérgio Pereira dos Santos</t>
  </si>
  <si>
    <t>Posto da PRF em Camaquã</t>
  </si>
  <si>
    <t>6LTP0JIX</t>
  </si>
  <si>
    <t>TRANSPORTAR 14 TORAS DE MADEIRAS DE ESSÊNCIAS DIVERSAS, SEM LICENÇA OUTORGADA PELA AUTORIDADE COMPETE.</t>
  </si>
  <si>
    <t>Nova Santa Helena</t>
  </si>
  <si>
    <t>JOSÉ ANTÔNIO GARCIA</t>
  </si>
  <si>
    <t>Estrada Valdirene</t>
  </si>
  <si>
    <t>5HSBY4D0</t>
  </si>
  <si>
    <t>Destruir 9,35 hectares de vegetação nativa no Bioma Pantanal (objeto especial de preservação), no PA Tamarineiro II, lote 189,Corumbá MS,  de acordo com parecer técnico xxx -ID 04, sem autorização ambiental.</t>
  </si>
  <si>
    <t>Alexandre Roberto do Amaral</t>
  </si>
  <si>
    <t>PA Tamarineiro II, lote 189, Corumbá/MS.</t>
  </si>
  <si>
    <t>JIXQO53X</t>
  </si>
  <si>
    <t>Exercer a pesca na modalidade de rede de emalhar de superfície, no litoral do município de Imbé-RS, com o uso da embarcação "Zoinho do Mar" (RS-0027537-1 / TIE 445-111645-7), no dia 28/11/2019, sem autorização de pesca para a modalidade.</t>
  </si>
  <si>
    <t>Imbé</t>
  </si>
  <si>
    <t>Bruno Pereira de Souza</t>
  </si>
  <si>
    <t>Oceano Atlântico, a 1,6 milhas náuticas da costa brasileira.</t>
  </si>
  <si>
    <t>37 Decreto 6514/2008.</t>
  </si>
  <si>
    <t>S1QGQFNG</t>
  </si>
  <si>
    <t>Hugo Napoleão</t>
  </si>
  <si>
    <t>RAIMUNDO ANTÃO DE SOUSA</t>
  </si>
  <si>
    <t>SEDE DA EMPRESA (trabalho remoto inseridas as coordenadas da SUPES-PI).</t>
  </si>
  <si>
    <t>MLQ0ZVC6</t>
  </si>
  <si>
    <t>Destruir (65,04 hectares) de floresta nativa (Floresta Amazônica /Amazônia Legal), objeto de especial preservação, sem licença da autoridade ambiental competente.</t>
  </si>
  <si>
    <t>EDNILSON FILISMINO BRANDAO</t>
  </si>
  <si>
    <t>Sítio Juína.
Ednilso Filismino Brandao.
Alvo 14, P2/2021.</t>
  </si>
  <si>
    <t>NEZ2LI5J</t>
  </si>
  <si>
    <t>Deixar de atender exigência legal quando devidamente notificado (7728456). Auto lavrado em conformidade com determinação DITEC/SUPES/TO (9423236) e solicitação NQA/SUPES/TO (8511927). Segue anexo relatório de fiscalização.</t>
  </si>
  <si>
    <t>Rodovia Almas/Pindorama, Km 20, s/n, Almas TO.</t>
  </si>
  <si>
    <t>GZ8W6VFI</t>
  </si>
  <si>
    <t>Transportar 75 espécimes da fauna silvestre brasileira de Sphyrna zygaena, tubarão-martelo, constante de lista oficial de fauna brasileira ameaçada de extinção, sem a devida permissão, licença ou autorização da autoridade ambiental competente. Lavrado con</t>
  </si>
  <si>
    <t>CARLOS TEODORO FREITAS TIMM</t>
  </si>
  <si>
    <t>BR 392 - distrito industrial</t>
  </si>
  <si>
    <t>1, Anexo I Portaria MMA nº 445/2014.</t>
  </si>
  <si>
    <t>SR2Y7RYB</t>
  </si>
  <si>
    <t>Deixar de apresentar informações Ambientais no Relatório Anual de Atividades Potencialmente Poluidoras e Utilizadoras de Recursos Ambientais (RAPP) referentes ao exercício de 2015 no prazo determinado na notificação n° 11/2020-UT SANTA MARIA-RS/SUPES-RS.</t>
  </si>
  <si>
    <t>METALURGICA PAMPA INDUSTRIA E COMERCIO LTDA-EPP</t>
  </si>
  <si>
    <t>Rua. Eng. Carlos Firmo Schmidt Rover (Rua A) 5220, Distrito Industrial,Rio Grande/RS.</t>
  </si>
  <si>
    <t>Z1RK3XV4</t>
  </si>
  <si>
    <t>Mamanguape</t>
  </si>
  <si>
    <t>TLGA - TRANSPORTES E LOGISTICA GRALHA AZUL DO BRASIL LTDA.</t>
  </si>
  <si>
    <t>BR 101, Km 38, Mamanguape-PB</t>
  </si>
  <si>
    <t>44FJZ24O</t>
  </si>
  <si>
    <t>Exercer a pesca na modalidade rede de emalhar de superfície no litoral de Tramandaí/RS, com o uso da embarcação Astro Rei IV (TIE 4660018890), na data de 28/11/2019, sem autorização de pesca.</t>
  </si>
  <si>
    <t>Tramandaí</t>
  </si>
  <si>
    <t>RIVADAVIA DA SILVA BACELAR</t>
  </si>
  <si>
    <t>Área de exclusão de pesca de emalhar de até 01 milha náutica da linha da costa no litoral do RS.</t>
  </si>
  <si>
    <t>5FT8J3X4</t>
  </si>
  <si>
    <t>Deixar de apresentar relatórios ou informaçôes ambientais referente aos anos, 2013/2012, 2014/2013, 2015/2014, 2016/2015, 2017/2016, 2018/2017, nos prazos exigidos pela legislação ou quando aplicáveis naquele determinado pela autoridade ambiental.</t>
  </si>
  <si>
    <t>Mossoró</t>
  </si>
  <si>
    <t>GARBOS TRADE HOTEL LTDA</t>
  </si>
  <si>
    <t>Avenida Lauro Monte, 1301 - Abolição I - Mossoró/RN</t>
  </si>
  <si>
    <t>MOSSORO/UNID_TEC</t>
  </si>
  <si>
    <t>KWU0F7UU</t>
  </si>
  <si>
    <t>Praticar maus-tratos num tubarão da espécie cabeça-chata (Carcharhinus leucas).</t>
  </si>
  <si>
    <t>Cascavel</t>
  </si>
  <si>
    <t>Francisco Otaviano das Chagas</t>
  </si>
  <si>
    <t>Praia da Balbina</t>
  </si>
  <si>
    <t>COWLEP4X</t>
  </si>
  <si>
    <t>Ter em cativeiro 04 animais silvestres sem autorização da autoridade ambiental competente. Obs: Animais com anilha falsa:
SISPASS 2,2 PE/A 007759
SISPASS 2,2 PE/A 007763 - Mantido no plantel no período de 22/11/2019 a 01/03/2020.
SISPASS 2,2 PE/A 007419 -</t>
  </si>
  <si>
    <t>Paulista</t>
  </si>
  <si>
    <t>DIOGENIS DA SILVA RIBEIRO</t>
  </si>
  <si>
    <t>Rua Boa Esperança, 351 Nossa Senhora da Conceição Paulista PE</t>
  </si>
  <si>
    <t>MDSWUSA2</t>
  </si>
  <si>
    <t>deixar de apresentar relatórios ou informação ambientais referente aos anos 2015/2014, 2016-2015/2017-2016/2018-2017/2019-2018, nos prazos exigidos pela legislação ou, quando aplicáveis naquele determinado pela autoridade ambiental.</t>
  </si>
  <si>
    <t>São Francisco do Oeste</t>
  </si>
  <si>
    <t>GUTO GRACIO D.FREITAS CHAVES EIRELI-ME(CERAM. SÃO FRANCISCO</t>
  </si>
  <si>
    <t>Sítio Curralinho S/N - Zona .</t>
  </si>
  <si>
    <t>2H07L6JO</t>
  </si>
  <si>
    <t>Apresentar informação falsa em sistema oficial de controle. Apresentou no SISFLORA informação falsa referente a um total de 167,5049 m3 de madeira em toras</t>
  </si>
  <si>
    <t>Nova Maringá</t>
  </si>
  <si>
    <t>YPE INDUSTRIA E COMERCIO EXPORTACAO DE MADEIRAS EIRELI</t>
  </si>
  <si>
    <t>Ypê industria Comércio e Exportação de Madeiras Eirelli</t>
  </si>
  <si>
    <t>82 Decreto 6514; 70 1º Lei 9605; 72 Lei 9605; 3º II Decreto 6514; 3º VII Decreto 6514.</t>
  </si>
  <si>
    <t>DBF3DNZK</t>
  </si>
  <si>
    <t>Exercer a pesca na modalidade de rede de emalhar de superfície no litoral de Tramandaí/RS, com o uso da embarcação Astro Rei IV (TIE 4660018890), na data de 28/11/2019, em local proibido, na faixa de exclusão de até 01 milha náutica a partir da linha de c</t>
  </si>
  <si>
    <t>Faixa de exclusão de pesca de até 01 milha náutica de distância da linha de costa.
Litoral Tramandaí</t>
  </si>
  <si>
    <t>ONG8P2OZ</t>
  </si>
  <si>
    <t>Desmatar, a corte raso,  15,15 hectares de vegetação nativa, Bioma Cerrado, fora da reserva legal, sem autorização da autoridade competente, conforme Parecer Técnico n° xxx.</t>
  </si>
  <si>
    <t>ALAIR RIBEIRO FERNADES</t>
  </si>
  <si>
    <t>Fazenda São Pascoal</t>
  </si>
  <si>
    <t>B8V6EWJY</t>
  </si>
  <si>
    <t>Ter em cativeiro uma ave silvestre da espécie Tiziu, sem licença ou autorização da autoridade competente.</t>
  </si>
  <si>
    <t>Borborema</t>
  </si>
  <si>
    <t>DOGIVAL PEREIRA DE LIMA</t>
  </si>
  <si>
    <t>Av. Governador Pedro Gondim 157, centro , Borborema-PB.</t>
  </si>
  <si>
    <t>24 I Decreto 6514; 24 III Decreto 6514; 70 1º Lei 9605; 72 Lei 9605; 3º II Decreto 6514.</t>
  </si>
  <si>
    <t>XPJM1UYB</t>
  </si>
  <si>
    <t>Ter em deposito 150,7618 m3 de madeiras em toras e 5,9949 m3 de madeira serrada, sem autorização do órgão ambiental competente.</t>
  </si>
  <si>
    <t>8UWY8A2Y</t>
  </si>
  <si>
    <t>Deixar de atender exigência legal quando devidamente notificado (7407900). Auto de infração lavrado em conformidade com determinação DITEC/SUPES/TO (9423195) e solicitação NQA/SUPES/TO (8591375). Segue anexo relatório de fiscalização.</t>
  </si>
  <si>
    <t>Alvorada</t>
  </si>
  <si>
    <t>CARLOS HUMBERTO PEREIRA</t>
  </si>
  <si>
    <t>Rua Basílio Batista de Oliveira, número 285, Centro, Sala B, Alvorada - TO.</t>
  </si>
  <si>
    <t>1DMX6RQC</t>
  </si>
  <si>
    <t>Destruir (suprimir)  7,12 hectares de fragmentos de vegetação secundária no estágio avançado/médio de regeneração BIOMA MATA ATLÂNTICA, considerada objeto de especial preservação, não passíveis de autorização para exploração ou supressão, conforme Parecer</t>
  </si>
  <si>
    <t>NYQAX61M</t>
  </si>
  <si>
    <t>DEIXAR DE APRESENTAR RELATÓRIO DE ATIVIDADE POTENCIALMENTE POLUIDORA REFERENTE AO EXERCÍCIO, 2019/2018, NO PRAZO EXIGIDO PELA LEGISLAÇÃO.</t>
  </si>
  <si>
    <t>CONCREMAX - INDUSTRIA E COMERCIO LTDA</t>
  </si>
  <si>
    <t>Av. Henry Wall de Carvalho, 7585, Distrito Industrial, Cep. 64.022-050</t>
  </si>
  <si>
    <t>J6GNSOHO</t>
  </si>
  <si>
    <t>Deixar de manter atualizada a movimentação de plantel no Sispass.</t>
  </si>
  <si>
    <t>Av. Governador Pedro Gondim 157, centro, Borborema-PB.</t>
  </si>
  <si>
    <t>31 Decreto 6514; 70 1º Lei 9605; 72 Lei 9605; 3º II Decreto 6514; 3º IV Decreto 6514.</t>
  </si>
  <si>
    <t>FVS0CJNO</t>
  </si>
  <si>
    <t>Praticar Maus-tratos em um tubarão da espécie Cabeça chata ( Carcharhinus Leucos).</t>
  </si>
  <si>
    <t>Francisco Santos Ferreira</t>
  </si>
  <si>
    <t>Praia do Balbino</t>
  </si>
  <si>
    <t>3WRR19LB</t>
  </si>
  <si>
    <t>Praticar maus-tratos em um tubarão da espécie cabeça-chata (Carcharhinus leucos).</t>
  </si>
  <si>
    <t>Herbenildo Santos Ferreira</t>
  </si>
  <si>
    <t>7TOC04FB</t>
  </si>
  <si>
    <t>Praticar maus-tratos em um tubarão da espécie cabeça-chata (Carcharhinus leucas).</t>
  </si>
  <si>
    <t>Raimundo Ferreira de Sena</t>
  </si>
  <si>
    <t>E37ND62P</t>
  </si>
  <si>
    <t>Transportar 7.500 kg de pescados na BR 116, Camaquã/RS, no dia 15/03/2021, com predominancia de tainha (Mugil lisa) no veiculo DBL 8232, originado da pesca ilegal, com documento de origem invalido.</t>
  </si>
  <si>
    <t>Roberto Rivelino Arriera de Oliveira</t>
  </si>
  <si>
    <t>Posto da Poicia Rodoviaria Federal de Camaquã</t>
  </si>
  <si>
    <t>07K8Y673</t>
  </si>
  <si>
    <t>Prática maus-tratos em um tubarão da espécie Cabeça chata.( Carcharhinus Leucos)</t>
  </si>
  <si>
    <t>Herbeno Santos Ferreira</t>
  </si>
  <si>
    <t>Rua da Vitória s/n</t>
  </si>
  <si>
    <t>2TR0UIOE</t>
  </si>
  <si>
    <t>Transporta pescado  ( Tubarão Cabeça chata ), sem autorização do órgão ambiental competente.</t>
  </si>
  <si>
    <t>Raimundo Ferreira de Senna</t>
  </si>
  <si>
    <t>VFVLP6A2</t>
  </si>
  <si>
    <t>Deixar de apresentar relatórios de atividades potencialmente poluidoras - Lei 10.165/00 (período de 2017/2016, 2018/2017, 2019/2018) no prazo exigido pela legislação em vigor e Ofícios 324 e 447/2019/NQA-MS/DITEC-MS/SUPES-MS.</t>
  </si>
  <si>
    <t>ALCIDES ROCHA DE ALMEIDA ME</t>
  </si>
  <si>
    <t>84CT3KQX</t>
  </si>
  <si>
    <t>Deixar de apresentar os relatórios anuais da Lei 10.165/2000 referentes aos anos 2017/16, 2019/18 e 2020/19 no prazo exigido pela legislação.</t>
  </si>
  <si>
    <t>AIR SERVICE INDUSTRIA E COMERCIO LTDA</t>
  </si>
  <si>
    <t>Sicafi</t>
  </si>
  <si>
    <t>M5G89ZV5</t>
  </si>
  <si>
    <t>TRANSPORTAR 8.920 KG DE PESCADOS DIVERSOS NO CAMINHÃO PLACAS MJB-0431, SEM COMPROVAÇÃO DE ORIGEM.</t>
  </si>
  <si>
    <t>MARCELO CORREA MOYSES</t>
  </si>
  <si>
    <t>JOV88Z2D</t>
  </si>
  <si>
    <t>DISCUPRIR EMBARGO DE ATIVIDADE ,CONFORME TERMO DE EMBARGO 696930-E ,CONSTANTE NO PROCESSO 02012000503/2014-85</t>
  </si>
  <si>
    <t>Grajaú</t>
  </si>
  <si>
    <t>ALEXANDRE FLEURI DE MARINHO E  SIQUEIRA</t>
  </si>
  <si>
    <t>Fazenda Marajá</t>
  </si>
  <si>
    <t>TGS2KWMJ</t>
  </si>
  <si>
    <t>DESCUPRIR EMBARGO DE ATIVIDADES CONFORME TERMO DE EMBARGO DO IBAMA N 613362-E CONSTATE NO PROCESSO 020510000142016-29</t>
  </si>
  <si>
    <t>Barão de Grajaú</t>
  </si>
  <si>
    <t>JOSE ENILDO SOUZA</t>
  </si>
  <si>
    <t>Fazenda Solta</t>
  </si>
  <si>
    <t>1ZX9WWSM</t>
  </si>
  <si>
    <t>Descumprir embargo de atividades, conforme Termo de Embargo 702215-E, contido no processo 02592.000012/2015-31.</t>
  </si>
  <si>
    <t>IVALDO ARAUJO DOS SANTOS</t>
  </si>
  <si>
    <t>Fazenda São Rafael, Zona Rural, Grajaú-Ma.</t>
  </si>
  <si>
    <t>EYCQOF6F</t>
  </si>
  <si>
    <t>Permitir a condução de veículo automotor em desacordo com os limites e exigèncias ambientais previstos na legislação apresentando problemas no sistema SCR e utilização de Diesel S500 do veículo Mercedes Benz AXOR 2831 K6x4 de placa OAI2133 AM, conforme Bo</t>
  </si>
  <si>
    <t>FERGEL INDUSTRIA DE FERRO E ACO LTDA.</t>
  </si>
  <si>
    <t>BR 174 Km 892</t>
  </si>
  <si>
    <t>6CANF36R</t>
  </si>
  <si>
    <t>Permitir a condução de veículo automotor em desacordo com os limites e exigèncias ambientais previstos na legislação apresentando problemas no sistema SCR devido a ausência de ARLA 32 do veículo Mercedes Benz AXOR 3131 de placa NOM050 AM, conforme Boletim</t>
  </si>
  <si>
    <t>Planalto Tintas Ltda</t>
  </si>
  <si>
    <t>IXH1F90B</t>
  </si>
  <si>
    <t>Apresentar informação falsa em sistema oficial de controle. Apresentou no SISFLORA informação falsa referente a um total de 249,90 m3 de créditos de produtos florestais 162,4468 m3 de madeira em toras e 87,46m3 de madeira serrada.</t>
  </si>
  <si>
    <t>WM INDUSTRIA E COMERCIO DE MADEIRAS EIRELI</t>
  </si>
  <si>
    <t>WM INDUSTRIA E COMÉRCIO DE MADEIRAS EIRELI</t>
  </si>
  <si>
    <t>GULGJ904</t>
  </si>
  <si>
    <t>Destruir, consumando com uso do fogo, 54 hectares de vegetação sem licença do órgão ambiental competente.</t>
  </si>
  <si>
    <t>Ramal da União, Santo
Antônio do Matupi,
1532,</t>
  </si>
  <si>
    <t>50 Decreto 6514/2008; 60 Inc. 1 Decreto 6514/2008.</t>
  </si>
  <si>
    <t>6C2ZYS31</t>
  </si>
  <si>
    <t>Permitir a condução de veículo automotor em desacordo com os limites e exigèncias ambientais previstos na legislação apresentando problemas no sistema SCR devido a ausência de ARLA 32 do veículo Mercedes Benz AXOR 3131 de placa PHA3934 AM, conforme Boleti</t>
  </si>
  <si>
    <t>Rodovia BR174 km 892</t>
  </si>
  <si>
    <t>9JLSJAJ1</t>
  </si>
  <si>
    <t xml:space="preserve">Ter em depósito 163,30 m3 de madeiras sendo 160,30 m3 de madeira em toras e 3,00 m3 de madeira serrada, sem autorização do órgão ambiental competente.
madeira em tora: Peroba (cupiúba) 5,15m3; Cambará 16,74 m3; Sucupira-amarela 21,28m3; Cedrinho 13,64m3; </t>
  </si>
  <si>
    <t>IV5M46LX</t>
  </si>
  <si>
    <t>DESCUPRIR EMBARGO CONFORME TERMO TE 499559-C,REFERENTE A AUTO DE INFRAÇÃO  AI 570556-D, CINSTANTE EM PROCESSO 02051000696/2007-89</t>
  </si>
  <si>
    <t>Sítio Novo</t>
  </si>
  <si>
    <t>Aldenor Alves dos Santos</t>
  </si>
  <si>
    <t>FAZENDA BELA VISTA I , ZONA RURAL, Sítio Novo-Ma.</t>
  </si>
  <si>
    <t>TVI0VWD3</t>
  </si>
  <si>
    <t>Deixar de apresentar os relatórios anuais de atividades poluidoras nos prazos exigidos pela legislação no sistema oficial de controle do IBAMA CTF relativos aos anos de 2016/2015, 2017/2016 e 2018/2017.</t>
  </si>
  <si>
    <t>Conceição do Canindé</t>
  </si>
  <si>
    <t>J G COELHO COMBUSTIVEIS LTDA</t>
  </si>
  <si>
    <t>1XVQ3GD4</t>
  </si>
  <si>
    <t>PIRELLI PNEUS LTDA</t>
  </si>
  <si>
    <t>Campinas-São Paulo</t>
  </si>
  <si>
    <t>9TI025GF</t>
  </si>
  <si>
    <t>Destruir 1,38 hectares de vegetação nativa no Bioma Pantanal (objeto especial de preservação), no sítio Porto seguro Tamarineiro 2,  lote 195, Corumbá MS de acordo com parecer técnico Ibama nº xxx-ID 19,sem autorização ambiental.</t>
  </si>
  <si>
    <t>Edgar de Souza Tavares</t>
  </si>
  <si>
    <t>Sítio Porto Seguro, PA Tamarineiro II, lote 195, Corumbá MS</t>
  </si>
  <si>
    <t>RD3DUGOB</t>
  </si>
  <si>
    <t>Descumprir embargo de atividades, conforme Termo de Embargo 499557-C, constante no processo 02051.000697/2007-23.</t>
  </si>
  <si>
    <t>Fazenda Bela Vista, Zona Rural, Sítio Novo-Ma.</t>
  </si>
  <si>
    <t>14CBMITC</t>
  </si>
  <si>
    <t>Descumprimento do embargo conforme TE 499559-E ,referente ao auto de infração AI 570556-D ,constante no processo 02051000696/2007-89</t>
  </si>
  <si>
    <t>Distrito de Sítio Novo</t>
  </si>
  <si>
    <t>QQ17PXSN</t>
  </si>
  <si>
    <t>Deixar de apresentar informações ambientais referentes a importação e destinação de pneumáticos no ano de 2017 e 2018, por meio do preenchimento do Relatório de Pneumáticos ¿ Resolução Conama nº 416/2009, disponível nos Serviços do Cadastro Técnico Federa</t>
  </si>
  <si>
    <t>Campinas- São Paulo</t>
  </si>
  <si>
    <t>ZQ2SW7B0</t>
  </si>
  <si>
    <t>COMERCIO E IMPORTACAO MULTIMARCAS DE PNEUS LTDA</t>
  </si>
  <si>
    <t>CGO5CSE5</t>
  </si>
  <si>
    <t>3XIAOU5E</t>
  </si>
  <si>
    <t>Destruir 0,67 hectares de vegetação nativa no Bioma Pantanal (objeto especial de preservação), no Sítio Minas novas, 
PA Tamarineiro I, lote 01,Corumbá/MS, de acordo com o Parecer Técnico xxx- ID 05, sem autorização ambiental.</t>
  </si>
  <si>
    <t>CLAUDIONOR PAULINO DA ROCHA</t>
  </si>
  <si>
    <t>Sítio Minas Novas, lote 01, PA Tamarineiro I, Corumbá/MS</t>
  </si>
  <si>
    <t>RW2KAN3U</t>
  </si>
  <si>
    <t>Destruir 2,00 hectares de vegetação nativa no Bioma Pantanal (objeto especial de preservação), no Sítio Belo Horizonte,PA Tamarineiro II, lote 32, Corumbá/MS, conforme Parecer Técnico xxx - ID 22, sem autorização ambiental.</t>
  </si>
  <si>
    <t>JOSE BENEDITO DOS SANTOS</t>
  </si>
  <si>
    <t>PA Tamarineiro II, lote 32, Corumbá MS</t>
  </si>
  <si>
    <t>C7YZMRWM</t>
  </si>
  <si>
    <t>Ter em depósito 11 pássaros da fauna silvestre nativa sem autorização da autoridade competente. Ilícito praticado com a finalidade de comércio.</t>
  </si>
  <si>
    <t>Deivson Mateus Crispim Cavalcanti</t>
  </si>
  <si>
    <t>Rua João Francisco Batista, 172, apt 101, Janga, Paulista PE</t>
  </si>
  <si>
    <t>24 1º I Decreto 6514; 24 1º III Decreto 6514; 24 3º I Decreto 6514; 24 3º III Decreto 6514; 70 1º Lei 9605; 72 Lei 9605; 3º II Decreto 6514; 3º IV Decreto 6514.</t>
  </si>
  <si>
    <t>RWFXXWMD</t>
  </si>
  <si>
    <t>Expor a venda, através do OLX,  6 espécimes de Animal Silvestre sem autorização do órgão ambiental competente.
Obs: animais constantes da CITES</t>
  </si>
  <si>
    <t>Rua Rivadávia Miranda de Souza, 172 Edf Maria Vieira Apt 101</t>
  </si>
  <si>
    <t>24 1º II Decreto 6514; 24 1º III Decreto 6514; 24 3º II Decreto 6514; 24 3º III Decreto 6514; 70 1º Lei 9605; 72 Lei 9605; 3º II Decreto 6514.</t>
  </si>
  <si>
    <t>H5EZFMVY</t>
  </si>
  <si>
    <t>DEIXAR DE APRESENTAR RELATÓRIO DE ATIVIDADE POTENCIALMENTE POLUIDORA AO EXERCÍCIO 2017/2016, 2018/2017 e 2019/2018.</t>
  </si>
  <si>
    <t>Maranata transportadora de Cargas ltda</t>
  </si>
  <si>
    <t>Av. deputado Paulo Ferraz, 3321, Q-78 C-53 LJ C, 3321, bairro Itararé. 
Cep. 64.078-005, Teresina-Pi</t>
  </si>
  <si>
    <t>VZH14QJF</t>
  </si>
  <si>
    <t>Penetrar na unidade de conservação federal APA Meandros do Rio Araguaia conduzindo instrumento próprio para exploração de produto florestal (um motosserra Sthil MS 170), sem licença da autoridade ambiental competente.</t>
  </si>
  <si>
    <t>Waldir Rodrigues de Souza</t>
  </si>
  <si>
    <t>Margem esquerda do Rio Araguaia</t>
  </si>
  <si>
    <t>92 Decreto 6514; 70 1º Lei 9605; 72 Lei 9605; 3º II Decreto 6514; 3º IV Decreto 6514.</t>
  </si>
  <si>
    <t>RA68DJ9O</t>
  </si>
  <si>
    <t>Receber 22,1000m3 de madeira serrada sem licença valida autorização pela autoridade ambiental competente, pois, acusou o recebimento do DOF 18270874 inválido. Despacho NUFIS-AM 9349131 embasado na Informação Técnica xxx (xxx) Proc. 02007.000208/2021-27</t>
  </si>
  <si>
    <t>Iranduba</t>
  </si>
  <si>
    <t>ARMAZEM COMERCIO DE MADEIRAS EIRELI - ME</t>
  </si>
  <si>
    <t>Armazém Comércio de Madeiras Eirelli-ME</t>
  </si>
  <si>
    <t>52U97V9N</t>
  </si>
  <si>
    <t>Pescar mediante a utilização de petrecho não permitido ( oito redes, três tarrafas, seis espinhéis e 29 cambuís) na margem direita do Rio Araguaia, interior da unidade de conservação federal APA Meandros do Rio Araguaia.</t>
  </si>
  <si>
    <t>Margem direita do Rio Araguaia</t>
  </si>
  <si>
    <t>42 e 93, - 6514/2008.</t>
  </si>
  <si>
    <t>LRS0OV3R</t>
  </si>
  <si>
    <t>Receber 10,0000m3 de madeira serrada sem licença válida outorgada pela autoridade ambiental competente, pois, acusou o recebimento do DOF 19070446 INVÁLIDO. Despacho NUFIS-AM 9395206 embasada na Informação Técnica xxx (xxx) Proc. 02007.000424/2021-72</t>
  </si>
  <si>
    <t>EDMILSON FERREIRA DA SILVA NETO xxx</t>
  </si>
  <si>
    <t>Av. Des. João Machado, n. 02 Q/C2 Conjunto JEDEN</t>
  </si>
  <si>
    <t>SBFCM7IA</t>
  </si>
  <si>
    <t>Impedir a regeneração natural de floresta e demais formas de vegetação nativa em 0,0228 hectares (228,5 metros quadrados), considerada como área de preservação permanente do reservatório da UHE de Ilha Solteira, sem autorização do órgão ambiental competen</t>
  </si>
  <si>
    <t>Djaimes Rogers Alves</t>
  </si>
  <si>
    <t>4, III Lei 12651/2012.</t>
  </si>
  <si>
    <t>LBH2I0SI</t>
  </si>
  <si>
    <t>Receber 33,0000m3 de madeira serrada (ripa) sem licença válida outorgada pela autoridade ambiental competente, pois, acusou o recebimento do DOF 19862583(9346280) inválido. Despacho NUFIS-AM 9398024 embasado na Informação Técnica xxx (xxx) Proc. 02007.0</t>
  </si>
  <si>
    <t>Rio Preto da Eva</t>
  </si>
  <si>
    <t>R DE SOUZA MAIA FILHO EIRELI</t>
  </si>
  <si>
    <t>Rodovia AM 010 Km 128 Ramal Boa Esperança</t>
  </si>
  <si>
    <t>KBLW76EV</t>
  </si>
  <si>
    <t>Deixar de entregar os relatórios anuais das atividades potencialmente poluidoras, referente aos anos de 2017/2016 e 2018/2017, no prazo estabelecido pela legislação.</t>
  </si>
  <si>
    <t>ARREFICES COMÉRCIO DE PESCADO LTDA - EPP</t>
  </si>
  <si>
    <t>Rua Nagib Ourives, 192 - Carandá Bosque</t>
  </si>
  <si>
    <t>1YECIXJ3</t>
  </si>
  <si>
    <t>Transportar 530 kg de camarão rosa processado congelado cozido, na BR 116 em Camaquã/RS, com o uso do veiculo BBG OD33, no dia 14/03/2021, sem comprovante de origem.</t>
  </si>
  <si>
    <t>DOMICIO BENTO DOS SANTOS</t>
  </si>
  <si>
    <t>Posto da PRF de Camaquã RS</t>
  </si>
  <si>
    <t>0L5GOLZF</t>
  </si>
  <si>
    <t>Apresentar informação parcialmente falsa (romaneio com espécies divergentes das espécies constatadas no pátio) em procedimento de fiscalização ambiental.</t>
  </si>
  <si>
    <t>COMERCIO DE MADEIRAS COMODORO EIRELI-ME</t>
  </si>
  <si>
    <t>Distrito de Vista Alegre do Abuna</t>
  </si>
  <si>
    <t>HT10I6V1</t>
  </si>
  <si>
    <t>Ter em depósito 1088,439 m3 de madeira nativa (sendo 363,186 m3 de madeira serrada e 725,253 m3 de madeira em tora) sem licença válida outorgada pela autoridade competente.</t>
  </si>
  <si>
    <t>VKIV8SLM</t>
  </si>
  <si>
    <t>Apresentar informação falsa em sistema oficial de controle ao declarar a existência de 2.373,12 m3 de madeira nativa no sistema DOF (sendo 379,3668 m3 de madeira serrada e 1993,76 m3 de madeira em tora) sem correspondência de madeira física em seu pátio.</t>
  </si>
  <si>
    <t>FTK1PY7I</t>
  </si>
  <si>
    <t>Comércio de Madeiras Comodoro</t>
  </si>
  <si>
    <t>70 1º Lei 9605; 72 Lei 9605; 3º Decreto 6514.</t>
  </si>
  <si>
    <t>DL7H4ASH</t>
  </si>
  <si>
    <t>Ter em depósito 1.410,70 M3 de madeira (sendo 1.277,97 M3 de madeira em tora e 129,45 M3 de madeira serrada) sem licença válida outorgada pela autoridade ambiental competente.</t>
  </si>
  <si>
    <t>AMAZONIA INDUSTRIA E COMERCIO DE MADEIRAS EIRELI - EPP</t>
  </si>
  <si>
    <t>Pátio da empresa Amazonia Industria e Comércio de Madeira Eireli</t>
  </si>
  <si>
    <t>GI7L5P1M</t>
  </si>
  <si>
    <t>Apresentar informação falsa em sistema oficial de controle ao declarar a existência de 860,67 M3 de madeira no sistema DOF (sendo 731,22 M3 de madeira em tora e 129,45 M3 de madeira serrada), sem correspondência de madeira física em seu Pátio.</t>
  </si>
  <si>
    <t>Pátio da empresa Amazonia Industria e Comércio de Madeira Eirelli</t>
  </si>
  <si>
    <t>CV1JD71W</t>
  </si>
  <si>
    <t>Fazer funcionar atividade potencialmente poluidora e utilizadora de recursos naturais (Serraria) sem licença válida outorgado por órgão ambiental competente.</t>
  </si>
  <si>
    <t>Pátio da Serraria Amazonia Industria e Comércio de Madeiras Eirelli - EPP</t>
  </si>
  <si>
    <t>66 Decreto 6514; 70 1º Lei 9605; 72 Lei 9605; 3º II Decreto 6514; 3º IX Decreto 6514; 3º VII Decreto 6514.</t>
  </si>
  <si>
    <t>NT0WYDPJ</t>
  </si>
  <si>
    <t xml:space="preserve">Apresentar informação falsa em sistema oficial de controle - Sistema DOF, sendo: 479,245 m3 de madeira serrada e 586,939 m3 de madeira em toras, totalizando 1.066,890 m3 de produto florestal, que apareceu no SISDOF, porém,  não foram encontrados no pátio </t>
  </si>
  <si>
    <t>DIVISA INDUSTRIA E COMERCIO DE MADEIRAS IMP E EXP EIRELI-ME</t>
  </si>
  <si>
    <t>Divisa Indústria e Comércio de Madeiras Eireli - ME.</t>
  </si>
  <si>
    <t>6XWVVCT6</t>
  </si>
  <si>
    <t>Ter em depósito 259,303 m3 de madeira serrada e 167,982 m3 de madeira em toras, totalizando 427,285 m3 de produto florestal, conforme Planilha do Quadro Resumo anexa, sem licença válida outorgada pela autoridade ambiental competente.</t>
  </si>
  <si>
    <t>Divisa Indústria e Comércio de Madeiras</t>
  </si>
  <si>
    <t>EBX9ZW9Y</t>
  </si>
  <si>
    <t>Deixar de atender exigências determinadas através da notificação nº/cód 38BSIIH6 do processo 02026.004315/2020-15</t>
  </si>
  <si>
    <t>MAURY CUSTÓDIO PEDRO</t>
  </si>
  <si>
    <t>Rua dos Pinheiros 296, Praia do Campeche, Florianópolis, SC.</t>
  </si>
  <si>
    <t>F9DD1C3Z</t>
  </si>
  <si>
    <t>Apresentar informação falsa em sistema oficial de controle ( sistema SISDOF). A empresa informou no referido sistema que haviam 6.273,2073 metros cúbicos de madeiras nativas em toras e 722,3114 metros cúbicos de madeiras serradas, após realização de mediç</t>
  </si>
  <si>
    <t>C D VIEIRA COMERCIO DE MADEIRA E PAISAGISMO</t>
  </si>
  <si>
    <t>Superintendência do IBAMA em Rondônia</t>
  </si>
  <si>
    <t>JFNWPF1O</t>
  </si>
  <si>
    <t>Instalar obra potencialmente poluidora sem licença do órgão ambiental competente</t>
  </si>
  <si>
    <t>MAURY CUSTODIO PEDRO</t>
  </si>
  <si>
    <t>ADM SUPES SC
Maury Custódio Pedro</t>
  </si>
  <si>
    <t>SOVRA3U3</t>
  </si>
  <si>
    <t>Ter em depósito 432,182 metros cúbicos de madeiras nativas, sendo: 353,9856 metros cúbicos de madeiras em toras e 78,196 metros cúbicos de madeiras serradas, sem autorização do órgão ambiental competente.</t>
  </si>
  <si>
    <t>7ON7RXGB</t>
  </si>
  <si>
    <t>Destruir 2,56 hectares de vegetação nativa no bioma Pantanal (objeto especial de preservação), no Projeto de Assentamento Tamarineiro 1,  lote 55,em Corumbá MS, conforme Parecer Técnico Ibama xxx -ID 07, sem licença ambiental.</t>
  </si>
  <si>
    <t>PA Tamarineiro I, lote 55, Corumbá MS</t>
  </si>
  <si>
    <t>K7QBFO43</t>
  </si>
  <si>
    <t>DEIXAR DE ATENDER EXIGÊNCIAS DETERMINADAS ATRAVÉS DA NOTIFICAÇÃO N°/CÓD 759MCNTZ do processo 02026.003747/2020-17</t>
  </si>
  <si>
    <t>CRISTINA DA NOVA AMORIM</t>
  </si>
  <si>
    <t>ADM SUPES SC
Cristina da Nova Amorim</t>
  </si>
  <si>
    <t>Y4C0TF08</t>
  </si>
  <si>
    <t>Comercializar 90 indivíduos de organismos aquáticos ornamentais, sendo 01 indivíduo de Budianus pulchellus, 05 de Chaetodon sedentarius, 04 de Holacanthus ciliares e 80 exemplares de Centropyge aurantonotus, conforme comparativo das notas fiscais de entra</t>
  </si>
  <si>
    <t>ZOOPLANCTON VIDA AQUATICA PEIXES ORNAMENTAIS LTDA</t>
  </si>
  <si>
    <t>SUPES ES</t>
  </si>
  <si>
    <t>FYGIIPSC</t>
  </si>
  <si>
    <t>Instalar obra potencialmente poluidora sem licença do órgão ambiental competente.</t>
  </si>
  <si>
    <t>RUA DOS PINHEIROS, 306, Praia do Campeche, Bairro Campeche, município de Florianópolis/SC</t>
  </si>
  <si>
    <t>975VCWZT</t>
  </si>
  <si>
    <t>Comercializar 71 indivíduos da espécie de peixe ornamental acará-disco, conforme nota fiscal de saída 1636, sem comprovante de origem, ao informar RGP não encontrado na base de dados do SisRGP SAP/MAPA.</t>
  </si>
  <si>
    <t>A. E. M. BENTES LTDA - ME (TAPAJOS AQUARIUS)</t>
  </si>
  <si>
    <t>62PC4SKG</t>
  </si>
  <si>
    <t>Comercializar 228 indivíduos de diversas espécies de organismos aquáticos para fins ornamentais oriundos da Pesca, conforme notas fiscais de entrada n° 1656, 1676, 1689 e 1717, emitidas pela zooplâncton vida aquática peixes ornamentais Ltda, sem comprovan</t>
  </si>
  <si>
    <t>JOCIMAR SARTORIO CAMARA</t>
  </si>
  <si>
    <t>AU0LLHVU</t>
  </si>
  <si>
    <t>Exercer a pesca sem registro do órgão competente, ao comercializar 228 indivíduos de diversas espécies de organismos aquáticos para fins ornamentais, conforme notas fiscais de entrada n° 1656, 1676, 1689, 1717, emitidas pela Zooplâncton vida aquática peix</t>
  </si>
  <si>
    <t>A3B7P0HV</t>
  </si>
  <si>
    <t>Comercializar 300 kg de algas calcárias, conforme nota fiscal de saída nº 4, sem comprovante de origem,  a APEMAR não possui registro no RGP SAP/MAPA</t>
  </si>
  <si>
    <t>ASSOCIAÇÃO DO PESCADORES EXTRATIVISTAS MARINHOS</t>
  </si>
  <si>
    <t>BLRBPLNX</t>
  </si>
  <si>
    <t xml:space="preserve">Deixar de atender a Notificação YEV4MQ10, para providenciar e documentar o recolhimento, o transporte e a destruição ambientalmente adequada de 4,835 kg de agrotóxicos vencidos há mais de seis meses, conforme relação anexa, em atendimento à legislação em </t>
  </si>
  <si>
    <t>Cruz Alta</t>
  </si>
  <si>
    <t>Valmir Grassi</t>
  </si>
  <si>
    <t>Granja São Jorge</t>
  </si>
  <si>
    <t>8°, caput Decreto 4074; 53, Parágrafo 1° Decreto 4074; 85, III Decreto 4074.</t>
  </si>
  <si>
    <t>29XNY6NS</t>
  </si>
  <si>
    <t>Comercializar 71 indivíduos da espécie ornamental acará-disco, conforme nota fiscal de saída n° 1336, sem comprovante de origem, ao informar RGP não encontrado na base de dados do SisRGP SAP/MAPA.</t>
  </si>
  <si>
    <t>Santa Cruz da Vitória</t>
  </si>
  <si>
    <t>Y6UVHETK</t>
  </si>
  <si>
    <t>Exercer a pesca sem prévio registro do órgão competente, ao comercializar 300 kg de algas calcárias, conforme nota fiscal de saída nº 4 sem inscrição no RGP SAP/MAPA</t>
  </si>
  <si>
    <t>18AJKV4W</t>
  </si>
  <si>
    <t>Exercer a pesca sem prévio registro no órgão competente, ao comercializar 71 indivíduos da espécie de peixe ornamental Symphysodon discus, conforme nota fiscal de saída 1636, sem inscrição no RGP SAP/MAPA.</t>
  </si>
  <si>
    <t>37 Decreto 6514; 70 1º Lei 9605; 72 Lei 9605; 3º II Decreto 6514; 3º VII Decreto 6514.</t>
  </si>
  <si>
    <t>KFK85DFW</t>
  </si>
  <si>
    <t>Apresentar informação falsa na nota fiscal de saída n° 1636, instrumento oficial de controle da origem de pescados, conforme instrução normativa interministerial MAP/MAPA nº 04 2014, ao informar RGP não encontrado na base de dados do SisRGP SAP/MAPA.</t>
  </si>
  <si>
    <t>SUPES/ES</t>
  </si>
  <si>
    <t>SB3A4HXK</t>
  </si>
  <si>
    <t>Destruir 8,24 hectares de vegetação nativa no bioma Pantanal (objeto especial de preservação), no projeto de assentamento Taquaral , lote 87, Corumbá/ MS, conforme parecer técnico xxx -ID 29, sem autorização ambiental.</t>
  </si>
  <si>
    <t>Divino Freitas de Souza</t>
  </si>
  <si>
    <t>PA Taquaral lote 87, Corumbá MS</t>
  </si>
  <si>
    <t>6OT3VRWZ</t>
  </si>
  <si>
    <t>Deixar de atender a Notificação M8KO1KZ8, para providenciar e documentar o recolhimento, o transporte e a destruição ambientalmente adequada de 80 gramas do agrotóxico HerbexMax 75% WDG, acondicionado no sacolacre 2594, em atendimento à legislação em vigo</t>
  </si>
  <si>
    <t>8°, caput Decreto 4074; 85, III Decreto 4074.</t>
  </si>
  <si>
    <t>VMDC3MV6</t>
  </si>
  <si>
    <t>Vender 24,951 m3 de madeiras serradas de várias essencias florestais sem autorização prévia do órgão ambiental competente, conforme informação xxx, processo 02007.003639/2020-64.</t>
  </si>
  <si>
    <t>IND. E COM. DE ESQUADRIAS UNIÃO</t>
  </si>
  <si>
    <t>Ibama Supes ro</t>
  </si>
  <si>
    <t>ZDIW8IX6</t>
  </si>
  <si>
    <t>Vender 30,0481 m3 de madeiras serradas de várias essencias florestais sem autorização prévia do órgão ambiental competente, conforme informação xxx, processo 02007.003639/2020-64.</t>
  </si>
  <si>
    <t>MADEIREIRA LEAL IND COM IMP E EXP LTDA</t>
  </si>
  <si>
    <t>Z8PU6UEJ</t>
  </si>
  <si>
    <t>Desmatar a corte raso 11,31 hectares de vegetação nativa na Amazônia legal, objeto de especial preservação, sem autorização da autoridade ambiental competente, no polígono de coordenadas centrais 2° 44' 18.19" N 51° 20' 38.50" W, de ID 2021KML000014, conf</t>
  </si>
  <si>
    <t>Rozete Vieira Silva</t>
  </si>
  <si>
    <t>Projeto de Assentamento do Distrito do Carnot, BR 156, Município de Calçoene.</t>
  </si>
  <si>
    <t>52 Decreto 6514; 70 1º Lei 9605; 72 Lei 9605; 3º II Decreto 6514.</t>
  </si>
  <si>
    <t>LTLMMHUG</t>
  </si>
  <si>
    <t>Deixar de apresentar Relatório de RAPP referente aos anos 2015/2014, 2016/2015, 2016/2015, 2017/2016, 2018/2017 e 2019/2018, nós prazos exigido pela Legislação, conforme despacho SEI 9424623/2021-NQA-GO/DITEC-GO/ SUPES-GO do Proc. 02001.004323/2010-78.</t>
  </si>
  <si>
    <t>Buriti de Goiás</t>
  </si>
  <si>
    <t>SERRADOURADA EXT. E COM. DE PEDRAS LTDA</t>
  </si>
  <si>
    <t>Rodovia Mônica Córrego do Ouro, KM 3.</t>
  </si>
  <si>
    <t>VXSITPAU</t>
  </si>
  <si>
    <t>DEIXAR DE APRESENTAR RELATÓRIO DE ATIVIDADE POTENCIALMENTE POLUIDORA REFERENTE AO EXERCÍCIO 2014/2013,  2015/2014, 2016/2015, 2017)2016, 2018)2017 e 2019/2018, NO PRAZO EXIGIDO PELA LEGISLAÇÃO VIGENTE.</t>
  </si>
  <si>
    <t>SOTECNICA SERVICOS TECNICOS COMERCIO E REPRESENTACAO LTDA</t>
  </si>
  <si>
    <t>Av. 19 de Outubro, qda 39 frente 09</t>
  </si>
  <si>
    <t>KHJTLEXP</t>
  </si>
  <si>
    <t>Vender 11,0012 m3 de madeiras serradas das essências florestais maracatiara, pequi,Angelin e Tauari vermelho,sem autorização prévia do órgão ambiental competente, conforme informação xxx processo 02007.003838/2020-14.</t>
  </si>
  <si>
    <t>MADEIREIRA CALAMA LTDA  - ME</t>
  </si>
  <si>
    <t>N0VE1HQR</t>
  </si>
  <si>
    <t>Vender 10,0083 m3 de madeiras serradas das essências faveira ferro,copaíba e Embira branca, sem autorização prévia do órgão ambiental competente, conforme informação xxx, processo 02007.003677/2020-17.</t>
  </si>
  <si>
    <t>WQEB6A7F</t>
  </si>
  <si>
    <t>Deixar de Apresentar Relatório de Atividade Potencialmente Poluidora Referente ao Exercício 2017/2016, 2018/2017 e 2019/2018, no Prazo Exigido pela Legislação vigente.</t>
  </si>
  <si>
    <t>Eliseu Martins</t>
  </si>
  <si>
    <t>Jatobá Diesel Distribuidora de Petróleo Ltda</t>
  </si>
  <si>
    <t>Av Manoel Rodrigues, 248 - Centro</t>
  </si>
  <si>
    <t>QJP61WY5</t>
  </si>
  <si>
    <t>apresentar informação falsa no Cadastro Técnico Federal, sistema oficial de controle, declarando que possuía LAO 001/2016 para a atividade potencialmente poluidora de fabricação de máquinas agrícolas, a qual é inexistente.</t>
  </si>
  <si>
    <t>Rua Mariano Soares, 315</t>
  </si>
  <si>
    <t>YL6T0NUX</t>
  </si>
  <si>
    <t>Fazer funcionar atividade potencialmente poluidora, fabricação de máquinas agrícolas, sem Licença Ambiental do Órgão Ambiental Competente.</t>
  </si>
  <si>
    <t>41ZVH9NN</t>
  </si>
  <si>
    <t>Destruir 34,99 hectares de vegetação nativa no bioma Mata Atlântica e em área de manejo florestal não passível de autorização para supressão.</t>
  </si>
  <si>
    <t>Santa Cecília</t>
  </si>
  <si>
    <t>ALOISIO FERNANDO DRISSEN</t>
  </si>
  <si>
    <t>Fazenda Serra do Girau
Santa Cecília, SC</t>
  </si>
  <si>
    <t>WXS6T668</t>
  </si>
  <si>
    <t>Beneditinos</t>
  </si>
  <si>
    <t>POSTO BENEDITINOS LTDA - ME</t>
  </si>
  <si>
    <t>CFBD2T1I</t>
  </si>
  <si>
    <t>Impedir a regeneração natural em 0,2175 ha de vegetação nativa da área de preservação permanente do Rio Irani por meio de execução de limpeza e roçada. Fato ocorrido no interior da Terra Indígena Toldo Chimbague.</t>
  </si>
  <si>
    <t>Marsal da Veiga</t>
  </si>
  <si>
    <t>Município de Chapecó.</t>
  </si>
  <si>
    <t>7°, . Lei 12651/12.</t>
  </si>
  <si>
    <t>676X8QN5</t>
  </si>
  <si>
    <t>Ter em depósito substância tóxica (agrotóxicos) sem registro no Brasil conforme flagrante informado pela Secretaria da Agricultura. Ofício xxx anexo.</t>
  </si>
  <si>
    <t>Giruá</t>
  </si>
  <si>
    <t>Cleider Joel da Motta</t>
  </si>
  <si>
    <t>Galpao da granja</t>
  </si>
  <si>
    <t>6SXP27HD</t>
  </si>
  <si>
    <t>DEIXAR DE ENTREGAR RELATÓRIO DE TRATA A LEI 10.165/00, REFERENTE AOS ANOS DE 2017/2016 E 2018/2017.</t>
  </si>
  <si>
    <t>VR COMERCIO VAREJISTA DE COMBUSTIVEIS LTDA - EPP</t>
  </si>
  <si>
    <t>QUADRA 602 SUL, AV. LO 13, COJ. 02, LITE 16 PLANO DIRETOR SUL.</t>
  </si>
  <si>
    <t>7NXH29QJ</t>
  </si>
  <si>
    <t>DEIXAR DE ATENDER A NOTIFICAÇÃO QUE CONSTA O PROCESSO DE N. 02029.100567/2017-49.</t>
  </si>
  <si>
    <t>AV. AMAPA 1652, QUADRA, 190, LOTE 14,  CENTRO, GURUPI/TO</t>
  </si>
  <si>
    <t>33GVVLK1</t>
  </si>
  <si>
    <t>Receber 18,0000m3 de madeiras serradas (ripas) sem licença válida outorgada pela autoridade ambiental competente, pois, acusou o recebimento do DOF 20676185(9337934) inválido. Despacho NUFIS-AM 9430825 embasado na Informação Técnica xxx (xxx) Proc. 0200</t>
  </si>
  <si>
    <t>OGROGREEN COMERCIO DE MADEIRA EIRELI - EPP</t>
  </si>
  <si>
    <t>AM 070 Ramal Km 26, n. 28</t>
  </si>
  <si>
    <t>B9306OGD</t>
  </si>
  <si>
    <t xml:space="preserve">Elaborar ou apresentar informações enganosas em sistema oficial de controle SISPASS ao incluir informações, em acesso ao cadastro individual do criador,  constatado em Despacho n°. 9442813/2021-NUBIO-PR/DITEC-PR/SUPES-PR em Processo 02017.000456/2021-59, </t>
  </si>
  <si>
    <t>Arapongas</t>
  </si>
  <si>
    <t>IVO BERNARDES DE ALMEIDA FERNANDES DE ANDRADE</t>
  </si>
  <si>
    <t>Rua Drongo 2210, Vila Aymore,  Arapongas</t>
  </si>
  <si>
    <t>YB4ZZKHZ</t>
  </si>
  <si>
    <t>Efetuar  a plataforma FPSO Cidade de Itajaí, em 31/03/2019, sob responsabilidade da Petrobrás, o descarte contínuo de água de produção  em desacordo com a legislação ambiental especifica - Art. 4°. CONAMA 393/2007 - gerando uma feição  de 9,1 l e extensão</t>
  </si>
  <si>
    <t>FPSO Cidade de Itajaí</t>
  </si>
  <si>
    <t>38, PARÁGRAFO ÚNICO  Decreto Federal 4.136/2002.</t>
  </si>
  <si>
    <t>FOR2TN7Q</t>
  </si>
  <si>
    <t>Efetuar  a Plataforma FPSO Cidade de Itajaí, em 24/02/19, sob responsabilidade  da Petrobrás, o descarte contínuo de água de produção em desacordo com a legislação ambiental especifica - Arte. 4°. CONAMA  393/2007 - gerando uma feição oleosa de 16,7L e ex</t>
  </si>
  <si>
    <t>I101BS48</t>
  </si>
  <si>
    <t xml:space="preserve">Transportar 55,708 m³ de madeira serrada sem licença válida para todo o tempo da viagem, outorgada pela autoridade competente, visto que não respeitou o preconizado no Inciso VI do Artigo 48 da IN IBAMA nº 21/2014 no preenchimento dos DOF's nº 24447506 e </t>
  </si>
  <si>
    <t>Jatapu Indústria e Comércio de Madeiras EIRELI</t>
  </si>
  <si>
    <t>Porto HP Log, Estrada da Ascensão, nº 447, Maracacuera</t>
  </si>
  <si>
    <t>48, 6 IN IBAMA nº 21/2014.</t>
  </si>
  <si>
    <t>1JERL7OT</t>
  </si>
  <si>
    <t>Transportar 18,438 m3 de madeira serrada em desacordo com o DOF N° 23357381</t>
  </si>
  <si>
    <t>TRINDADE E TRINDADE</t>
  </si>
  <si>
    <t>Porto Super Terminais, Rua Ponta Grossa, 256, Colônia Oliveira Machado, Manaus AM, CEP 69.074-190</t>
  </si>
  <si>
    <t>47 1º Decreto 6514; 47 3º Decreto 6514; 70 1º Lei 9605; 72 Lei 9605; 3º II Decreto 6514; 3º IV Decreto 6514.</t>
  </si>
  <si>
    <t>INH0S7JX</t>
  </si>
  <si>
    <t>Efetuar a Plataforma FPSO Cidade de Itajaí, em  19/03/2019, sob responsabilidade  da Ppe, o descarte contínuo de água de produção em desacordo com a legislação ambiental especifica - Arte. 4°. CONAMA 393 DE 2007, gerando uma feição oleosa de 19,3 litros e</t>
  </si>
  <si>
    <t>38, Parágrafo único  Decreto Federal 4.136/2002.</t>
  </si>
  <si>
    <t>J965X4LD</t>
  </si>
  <si>
    <t>Vender 25,323 m3 de Madeira serrada da especie maçaranduba sem licenca valida para todo o tempo da viagem.
Carga apreendida via Termo de Apreensao 5GH6CMAE.</t>
  </si>
  <si>
    <t>A. J. DE OLIVEIRA COMERCIO DE MADEIRAS EIRELI - EPP</t>
  </si>
  <si>
    <t>Porto da empresa HP LOG</t>
  </si>
  <si>
    <t>47 § 1,4 Decreto 6514/2008.</t>
  </si>
  <si>
    <t>48, inciso VI IN IBAMA 21/2014.</t>
  </si>
  <si>
    <t>BQPCB8QH</t>
  </si>
  <si>
    <t xml:space="preserve">Efetuar a plataforma P-53, em 16/03/2019, sob responsabilidade  da Petrobrás, o descarte contínuo de água de produção em desacordo com a legislação ambiental especifica - Art. 4°. CONAMA 393/2007 - gerando uma feição oleosa de 69,3 L, e extensão  de 2.95 </t>
  </si>
  <si>
    <t>A1QV3E5X</t>
  </si>
  <si>
    <t>Destruir 1,39 hectares de vegetação nativa no bioma Pantanal (objeto especial de preservação), sem autorização ambiental, de acordo com o parecer xxx -ID 569 e parecer técnico xxx,  ocorrido nos lotes 48,49,65,66,67 e 69, no PA Urucum e</t>
  </si>
  <si>
    <t>CARMEM APARECIDA DA SILVA GONCALVES</t>
  </si>
  <si>
    <t>lotes 48, 49, 65, 66 e 69, PA Urucum, Corumbá/MS.</t>
  </si>
  <si>
    <t>Z82KKEYU</t>
  </si>
  <si>
    <t>Cortar árvores em área considerada de preservação permanente sem permissão da autoridade competente. 0,45 hectares de mangue.</t>
  </si>
  <si>
    <t>José Nerineudo Bezerra</t>
  </si>
  <si>
    <t>Sítio Mãe Branca, zona rural - Aracati-CE.</t>
  </si>
  <si>
    <t>44 Decreto 6514; 70 1º Lei 9605; 72 Lei 9605; 3º II Decreto 6514; 3º VII Decreto 6514.</t>
  </si>
  <si>
    <t>0YROXWZW</t>
  </si>
  <si>
    <t>Deixar de apresentar os Relatórios de Atividades Potencialmente Poluidoras - RAPP, no prazo definido pela Lei N° 6.938/1981, Art. 17-C, Parágrafo 1°, referentes aos anos de 2016/2015, 2017/2016, 2018/2017, 2019/2018 e 2020/2019.</t>
  </si>
  <si>
    <t>Pirenópolis</t>
  </si>
  <si>
    <t>AUTO POSTO PIRENOPOLIS DE GOIÁAS LTDA - ME</t>
  </si>
  <si>
    <t>Rodovia GO-225, Km 2, Auto Posto Sauro Pirenópolis</t>
  </si>
  <si>
    <t>ART. 17-C, Parágrafo 1° Lei n. 6.938/1981.</t>
  </si>
  <si>
    <t>E1AVNL3H</t>
  </si>
  <si>
    <t>Efetuar a plataforma P-53, em 13/03/2019, sob responsabilidade da Petrobrás, o descarte continuo de agua de produção em desacordo com a regulamentação ambiental especifica - Art. 4°. CONAMA 393/2007 - gerando feição oleosa de 37.2 l e extensão de 5.1km, p</t>
  </si>
  <si>
    <t>38, PARÁGRAFO único  Decreto Federal 4.136/2002.</t>
  </si>
  <si>
    <t>76OTI82E</t>
  </si>
  <si>
    <t>Efetuar a plataforma P-53, em 02/03/19, sob responsabilidade da Petrobrás, o descarte contínuo de água de produção em desacordo com a regulamentação ambiental especifica - Art. 4°. CONAMA 393/2007 - gerando feição oleosa de 47.8l e extensão  de 4,3 km, ul</t>
  </si>
  <si>
    <t>BD8A847N</t>
  </si>
  <si>
    <t>Efetuar a FPSO Espirito Santo, em 06/03/2019, sob responsabilidade da Shell, o descarte continua de agua de produção em desacordo com a regulamentação  ambiental específica - Art. 4°. Conama 393/2007 - gerando feição oleosa com volume de 66L e extensão de</t>
  </si>
  <si>
    <t>FPSO Espirito Santo</t>
  </si>
  <si>
    <t>38, Parágrafo  único  Decreto Federal 4.136/2002.</t>
  </si>
  <si>
    <t>6ASN5OHS</t>
  </si>
  <si>
    <t>Transportar 131,421 metros cúbicos de madeira serrada de essências diversas na balsa de registro 14678 e inscrição 0011436191 em desacordo com a licença obtida.</t>
  </si>
  <si>
    <t>H P Logística e Navegação LTDA</t>
  </si>
  <si>
    <t>Porto HP Log - Estrada Velha do Outeiro, Lote 03, Setor A, Quadra 1 - Bairro Campina de Icoaraci.</t>
  </si>
  <si>
    <t>FJTIJPHL</t>
  </si>
  <si>
    <t>Transportar 50,39 m³ de madeira serrada de diversas essências sem licença válida para todo o tempo de viagem</t>
  </si>
  <si>
    <t>TEOBALDO P. JUNIOR - ME</t>
  </si>
  <si>
    <t>Porto da empresa H. P. Logística e Navegação LRDA-ME</t>
  </si>
  <si>
    <t>47 1º Decreto 6514; 47 2º Decreto 6514; 47 3º Decreto 6514; 47 4º Decreto 6514; 70 1º Lei 9605; 72 Lei 9605; 3º II Decreto 6514; 3º IV Decreto 6514.</t>
  </si>
  <si>
    <t>48, IV IN IBAMA 21/2014.</t>
  </si>
  <si>
    <t>8AVBKVK0</t>
  </si>
  <si>
    <t>Fazer funcionar atividades (extração mineral irregular na Terra Indígena Sararé ) consideradas efetivamente poluidoras contrariando as normas legais e pertinentes.</t>
  </si>
  <si>
    <t>Joilson Vilela de Oliveira</t>
  </si>
  <si>
    <t>Joilson Vilela de Oliveira/Terra Indígena Sararé próximo Faz. São Francisco, garimpo irregular</t>
  </si>
  <si>
    <t>7916AECP</t>
  </si>
  <si>
    <t>Exercer a pesca com a embarcação ÁGUA VIVA I (TIE 441-009811-0, RGP 0000192-0, frota 5.02.002 - 5.10), durante a faina terminada em 17/02/2021 em desacordo com a autorização de pesca obtida (PREPS inativo)</t>
  </si>
  <si>
    <t>Guarujá</t>
  </si>
  <si>
    <t>Tiffany Santos Datoguia</t>
  </si>
  <si>
    <t>Pier da empresa São Pedro, Rio Santo Amaro</t>
  </si>
  <si>
    <t>C7S30XOI</t>
  </si>
  <si>
    <t>Transportar 50,39 m³ de madeira serrada de diversas essências sem licença válida para todo o tempo da viagem</t>
  </si>
  <si>
    <t>TEOBALDO P. JUNIOR -ME</t>
  </si>
  <si>
    <t>Porto da empresa H.P. Logística e Navegação LTDA-ME</t>
  </si>
  <si>
    <t>48, VI IN IBAMA 21/2014.</t>
  </si>
  <si>
    <t>OR6C32PT</t>
  </si>
  <si>
    <t>Joilson Vilela de Oliveira/Terra Indígena Sararé próximo Faz. São Francisco garimpo irregular,</t>
  </si>
  <si>
    <t>UZ3747JM</t>
  </si>
  <si>
    <t>DEIXOU DE ENTREGAR RELATÓRIO DE QUE TRATA A LEI 10.165/00 REFERENTE AOS ANOS DE 2016/2015, 2017/2016, 2017/2018 E 2049/2018.</t>
  </si>
  <si>
    <t>AV. 7 DE SETEMBRO N. 07 QD. 17,  BAIRRO CAVALCANTE, DIANOPILIS/TO.</t>
  </si>
  <si>
    <t>NOCBBP6B</t>
  </si>
  <si>
    <t>Pescar em local proibido ao colocar rede de pesca as margens da Lagoa do Passo, em Osório/RS, no dia 06 de setembro de 2013, conforme o Procedimento de Ocorrência Ambiental n.º xxx da 1ªCia de Polícia Militar Ambiental do 1ºBABM/RS.</t>
  </si>
  <si>
    <t>JOSE JEZUS DA SILVA</t>
  </si>
  <si>
    <t>Bacia do Rio Tramandaí - Lagoa do Passo.
RS 389 Km 17</t>
  </si>
  <si>
    <t>A02R45S2</t>
  </si>
  <si>
    <t>Manoel Jesus da Silva</t>
  </si>
  <si>
    <t>T0QO5UN2</t>
  </si>
  <si>
    <t>Saul Antunes Pinto</t>
  </si>
  <si>
    <t>VQ913AAT</t>
  </si>
  <si>
    <t>Praticar ato tendente da pesca no rio Araguaia (Lagoão), interior da unidade de conservação federal APA meandros do rio Araguaia, mediante a utilização de petrechos não permitindos (uma rede de malha 17 cm, uma rede de malha 15 cm e uma tarrafa de malha 0</t>
  </si>
  <si>
    <t>Edinaldo Rodrigues Martins</t>
  </si>
  <si>
    <t>Rio Araguaia (lagoão)</t>
  </si>
  <si>
    <t>93, - 6.514/08.</t>
  </si>
  <si>
    <t>2YMQPSTA</t>
  </si>
  <si>
    <t>Deixar de inscrever-se no Cadastro Técnico Federal de que trata o art. 17 da Lei Federal 6938/1981.</t>
  </si>
  <si>
    <t>Semear Comércio e Representação de Produtos Agropecuária Ltda</t>
  </si>
  <si>
    <t>Rua Barão de Santa Tecla 505 Centro Pelotas/RS</t>
  </si>
  <si>
    <t>76, V Decreto Federal 6514/2008.</t>
  </si>
  <si>
    <t>D0YH44FD</t>
  </si>
  <si>
    <t>U M QUEIROZ METALURGICA</t>
  </si>
  <si>
    <t>TGRY37G4</t>
  </si>
  <si>
    <t>Fazer funcionar atividades ( extração mineral irregular na T.I. Sararé ) consideradas efetivamente poluidoras, contrariando as normas legais e pertinentes.</t>
  </si>
  <si>
    <t>José Onivaldo de Santana</t>
  </si>
  <si>
    <t>José Onivaldo de Santana /Terra Indígena Sararé próximo Fazenda São Francisco, garimpo irregular,</t>
  </si>
  <si>
    <t>LXKHEY0U</t>
  </si>
  <si>
    <t>Destruir 17,31 hectares de vegetação nativa na Amazônia Legal, no PDS ESPERANÇA, objeto de especial preservação, sem licença da autoridade ambiental competente.</t>
  </si>
  <si>
    <t>CECÍLIO PEREIRA DA SILVA NETO</t>
  </si>
  <si>
    <t>PDS ESPERANÇA.</t>
  </si>
  <si>
    <t>SFS62P6G</t>
  </si>
  <si>
    <t>Deixar de apresentar relatórios ambientais no prazo exigido pela legislação. Auto de infração lavrado em conformidade com determinação DITEC/SUPES/TO (9423158) e solicitação NQA/SUPES/TO (8590791). Segue anexo relatório de fiscalização.</t>
  </si>
  <si>
    <t>Palmeirópolis</t>
  </si>
  <si>
    <t>ENOQUE SOUZA ALVES</t>
  </si>
  <si>
    <t>Avenida Castelo Branco, s/n, CEP 77365-000.</t>
  </si>
  <si>
    <t>KF43A7XZ</t>
  </si>
  <si>
    <t>Apresentar informação falsa no sistema oficial de controle do Dof, com recebimento de créditos indevidos de madeiras conforme processo investigatorio 02024000185/2020-42 e relatório de investigatigacao xxx</t>
  </si>
  <si>
    <t>MADEIREIRA ASTEKA LTDA</t>
  </si>
  <si>
    <t>Estrada da Canelinha km 11,5 lote 02 gleba 10B</t>
  </si>
  <si>
    <t>., . in Conjunta 02/2020.</t>
  </si>
  <si>
    <t>T90WT2IR</t>
  </si>
  <si>
    <t>Utilizar 20 espécimes de aves da fauna silvestre brasileira em desacordo com a licença obtida.</t>
  </si>
  <si>
    <t>Vazante</t>
  </si>
  <si>
    <t>Residência do criador de passeriformes</t>
  </si>
  <si>
    <t>92QUA1EL</t>
  </si>
  <si>
    <t>Passo Fundo</t>
  </si>
  <si>
    <t>Gpd Vetquimica Agronegócios Ltda</t>
  </si>
  <si>
    <t>RS-153, km 4, n°4000, Santo Antão/Distrito Santa Marta, Passo Fundo/RS.</t>
  </si>
  <si>
    <t>V8T4XNIN</t>
  </si>
  <si>
    <t>Dificultar a ação do poder público no exercício de atividades de fiscalização ambiental, mediante falha/interrupção do sinal do PREPS da embarcação ÁGUA VIVA I (TIE 441-009811-0, RGP 0000192-0, frota 5.02.002 - 5.10) no período de 01/08/2020 à 23/02/2021.</t>
  </si>
  <si>
    <t>Rio Santo Amaro Pier da empresa São Pedro</t>
  </si>
  <si>
    <t>UF1ZZY9Q</t>
  </si>
  <si>
    <t>Fazer funcionar atividades ( extração mineral irregular na T.I. Sararé ) considerado efetivamente poluidor contrariando as normas legais e pertinentes.</t>
  </si>
  <si>
    <t>JOEMES SOUZA SILVA</t>
  </si>
  <si>
    <t>Joemes Souza Silva/Terra Indígena Sararé próximo Fazenda São Francisco Pontes e Lacerda-MT.</t>
  </si>
  <si>
    <t>BWAZV8WN</t>
  </si>
  <si>
    <t>Fazer funcionar atividades ( extração mineral irregular na T.I.Sarare ) considerada efetivamente poluidor, contrariando as normas legais e regulamentos pertinentes..</t>
  </si>
  <si>
    <t>Pedro Lopes Peres</t>
  </si>
  <si>
    <t>Pedro Lopes Peres Terra Indígena Sararé, próximo Faz. São Francisco, z. rural de Pontes e Lacerda,</t>
  </si>
  <si>
    <t>BZR0B314</t>
  </si>
  <si>
    <t>Deixar de cumprir a reposição florestal obrigatória de 15,940 m³ de madeira em tora.</t>
  </si>
  <si>
    <t>São Geraldo do Araguaia</t>
  </si>
  <si>
    <t>EMPRESA MOREIRA DE INDUSTRIA COMERCIO E EXPORTAÇÃO LTDA ME</t>
  </si>
  <si>
    <t>Sede da empresa</t>
  </si>
  <si>
    <t>B354WRTW</t>
  </si>
  <si>
    <t>Receber 15,6336m3 de madeira serrada(ripas) sem licença válida outorgada pela autoridade ambiental competente, pois acusou o recebimento de DOF 19391986 (9391767) inválida.
Despacho NUFIS-AM 9431712 Processo: 02007.000597/2021-91</t>
  </si>
  <si>
    <t>R GUEDES DE ARAÚJO ME</t>
  </si>
  <si>
    <t>Rua Rio Javari, 1079</t>
  </si>
  <si>
    <t>CW1K1CXB</t>
  </si>
  <si>
    <t>Prestar Informação falsa  no  Sistema Oficial de Controle  - Sistema Dof , conforme Relatório de Constatação em anexo, Processo 02024.002791/ 2020-11.</t>
  </si>
  <si>
    <t>J. S. DE OLIVEIRA ME</t>
  </si>
  <si>
    <t>Rua Rio Branco , SN Jaci Paraná , Município de Porto Velho</t>
  </si>
  <si>
    <t>YD9KF5ER</t>
  </si>
  <si>
    <t>Transportar 37,50 M3 de madeira serrada de essências diversas, sem licença válida para todo o tempo da viagem, outorgada pela autoridade competente.</t>
  </si>
  <si>
    <t>LEANDRO D CEZAR SANTANA MARTINS</t>
  </si>
  <si>
    <t>Posto da Polícia Rodoviária Federal, BR 316, KM 12</t>
  </si>
  <si>
    <t>TN2G3M57</t>
  </si>
  <si>
    <t>Queimar resíduos sólidos a céu aberto não licenciados para a atividade.</t>
  </si>
  <si>
    <t>E P SIQUEIRA EIRELI</t>
  </si>
  <si>
    <t>Ramal do Marmelo, km 60, Fazenda Santa Rosa, SN.</t>
  </si>
  <si>
    <t>62, Inciso XI Decreto n. 6.514/2008.</t>
  </si>
  <si>
    <t>XO2VDROH</t>
  </si>
  <si>
    <t>Ter em depósito 123,8888 M3 de madeira serrada e 752,9580 M3 de madeira em tora, totalizando 876,8468 M3 de produto florestal sem licença válida outorgada pela autoridade ambiental competente.</t>
  </si>
  <si>
    <t>22ZVJYF2</t>
  </si>
  <si>
    <t>Prestar informação falsa no Sistema Oficial de Controle - Sistema DOF, conforme Relatório de Constatação em anexo, processo 02024.000710/2021-20.</t>
  </si>
  <si>
    <t>Rua Aluízio Ferreira, 1291, Bairro Nova Ouro Preto, Município de Ouro Preto D'Oeste - RO.</t>
  </si>
  <si>
    <t>EMYBY368</t>
  </si>
  <si>
    <t>Deixar de apresentar relatórios ambientais anuais de 2016 a 2020</t>
  </si>
  <si>
    <t>Itaiçaba</t>
  </si>
  <si>
    <t>Aquicultura Amaral &amp; Amaral Ltda</t>
  </si>
  <si>
    <t>Baixo Giqui</t>
  </si>
  <si>
    <t>HNZ8X21J</t>
  </si>
  <si>
    <t>apresentar informação falsa no sistema oficial de controle do Dof, com recebimento de créditos indevidos de madeiras conforme processo investigatorio 02024000185/2020-42 e relatório investigatorio xxx</t>
  </si>
  <si>
    <t>IND. E COM. DE MADEIRAS SÃO CARLOS LTDA - ME</t>
  </si>
  <si>
    <t>Rua São Carlos 2756</t>
  </si>
  <si>
    <t>.,   in Conjunta 02/2020.</t>
  </si>
  <si>
    <t>VA51FBLM</t>
  </si>
  <si>
    <t>Danificar floresta nativa, objeto de especial preservação, sem autorização da autoridade ambiental competente.</t>
  </si>
  <si>
    <t>Anita Siuza Jeremias</t>
  </si>
  <si>
    <t>Vicinal Pau Furado KM 12, Zona rural de Anapú</t>
  </si>
  <si>
    <t>3F46DJ2N</t>
  </si>
  <si>
    <t>Apresentar informação falsa no sistema oficial de controle do Dof, com recebimento de créditos indevidos de madeiras conforme processo investigatorio 02024000185/2020-42 e relatório investigatorio  xxx</t>
  </si>
  <si>
    <t>Estrada Sérgio Português  kmv04</t>
  </si>
  <si>
    <t>V1Q9K5DJ</t>
  </si>
  <si>
    <t>"Efetuar a Plataforma com suas instalações de apoio o descarte de água de processo ou produção (TOG) em desacordo com os procedimentos aprovados pela autoridade marítima ". Obs.: Plataforma P-56 da Petrobrás com identificação/inspeção pelo Ibama de feição</t>
  </si>
  <si>
    <t>Plataforma de Exploração de Petróleo P-56 da Petrobrás, Bacia Sedimentar Campos, Bloco Marlon Sul.</t>
  </si>
  <si>
    <t>38, - Decreto Federal 4.136/2002.</t>
  </si>
  <si>
    <t>6777SEFT</t>
  </si>
  <si>
    <t>"Efetuar a Plataforma com suas instalações de apoio o descarte de água de processo ou produção (TOG) em desacordo com os procedimentos aprovados pela autoridade marítima ". Obs.: Plataforma P-51 da Petrobrás com identificação/inspeção pelo Ibama de feição</t>
  </si>
  <si>
    <t>Plataforma de Exploração de Petróleo P-51 da Petrobrás, Bacia Sedimentar Campos, Bloco Marlim Leste.</t>
  </si>
  <si>
    <t>TMZZB1F8</t>
  </si>
  <si>
    <t>Piratini</t>
  </si>
  <si>
    <t>Cooperativa Tritícola Caçapavana Ltda</t>
  </si>
  <si>
    <t>BR-392, km 174.5, s/n, Chácara V Maneti, Piratini/RS</t>
  </si>
  <si>
    <t>FBUYY9JZ</t>
  </si>
  <si>
    <t>DEIXOU DE ATENDER A NOTIFICACAO N. ES7DHVAQ</t>
  </si>
  <si>
    <t>SIDINEI MARINHO DE OLIVEIRA</t>
  </si>
  <si>
    <t>87A9CTL9</t>
  </si>
  <si>
    <t>Apresentar informação falsa no sistema oficial de controle do Dof, com recebimento de créditos indevidos de madeiras,  conforme processo investigatorio 02024000185/2920-52 e relatório investigatorio xxx</t>
  </si>
  <si>
    <t>MADERALTO COMERCIO E DEPÓSITO DE MADEIRAS LTDA ME</t>
  </si>
  <si>
    <t>Av Venceslau Bras 3239</t>
  </si>
  <si>
    <t>KIJWLTHD</t>
  </si>
  <si>
    <t>Apresentar informação falsa no sistema oficial de controle do Dof, com recebimento de créditos indevidos de madeiras conforme processo investigatorio 02024000185/2029-42 e relatório investigatorio xxx</t>
  </si>
  <si>
    <t>MADEROESTE COMERCIO DE MADEIRAS LTDA</t>
  </si>
  <si>
    <t>Av Nações Unidas  sn°</t>
  </si>
  <si>
    <t>4EX9XCYC</t>
  </si>
  <si>
    <t>apresentar informação falsa no sistema oficial de controle do Dof, com recebimento de créditos indevidos de madeiras, conforme processo investigatorio 02024000185/2020-42 e relatório  investigatorio xxx</t>
  </si>
  <si>
    <t>I. V. DOS SANTOS MADEIRAS EPP</t>
  </si>
  <si>
    <t>Rua Valência dos Santos Ramos</t>
  </si>
  <si>
    <t>6ULV9D1J</t>
  </si>
  <si>
    <t>Apresentar informação falsa no sistema oficial de controle do Dof, com recebimento de créditos indevidos de madeiras, conforme processo investigatorio 02024000185/2020-42 e relatório investigatorio  xxx.</t>
  </si>
  <si>
    <t>RIO BRANCO MADEIRAS EIRELI-EPP</t>
  </si>
  <si>
    <t>Avenida Nações Unidas, 752</t>
  </si>
  <si>
    <t>MDTCQMSN</t>
  </si>
  <si>
    <t>Impedir ou dificultar a regeneração natural de Floresta Ombrófila nativa em área previamente embargada pelo IBAMA (TE 439532-C).</t>
  </si>
  <si>
    <t>DIRCEU LUIZ FLUMIAN</t>
  </si>
  <si>
    <t>IBAMA sede
Açao executada por sensoriamento remoto</t>
  </si>
  <si>
    <t>XLNJB9EL</t>
  </si>
  <si>
    <t>Vender 41,0000 m3 de madeiras  serradas de várias essencias florestais, sem licença valida outorgada pela autoridade ambiental competente, conforme informação xxx, processo 02028.000112/2020-30.</t>
  </si>
  <si>
    <t>6SQX64II</t>
  </si>
  <si>
    <t>DEIXOU DE ENTREGAR O RELATÓRIO ANUAL DA LEI 10.165/00 REFERENTE AO ANO DE 2019/2018</t>
  </si>
  <si>
    <t>MANARA COMÉRCIO DE VEÍCULOS AUTOMOTORES LTDA</t>
  </si>
  <si>
    <t>IBAMA PALMAS SUPES TO</t>
  </si>
  <si>
    <t>CLYK7JUR</t>
  </si>
  <si>
    <t>DEIXOU DE ENTREGAR OS RELATÓRIOS ANUAL DO PROTOCOLO DE MONTREAL REFERENTE AO ANO DE 2019/2018 E O RELATÓRIO ANUAL RAPP LEI 6938/81 ART 17-C DA LEI 10.165/00</t>
  </si>
  <si>
    <t>CAETÉS COMÉRCIO DE VEÍCULOS AUTOMOTORES LTDA</t>
  </si>
  <si>
    <t>OWS55E49</t>
  </si>
  <si>
    <t>Destruir 777,05 hectares de Floresta Ombrófila Nativa localizada no bioma Amazônia, mediante uso de fogo, sem autorização do Órgão Ambiental Competente</t>
  </si>
  <si>
    <t>Santa Terezinha</t>
  </si>
  <si>
    <t>Fazenda Granada II
Zona rural</t>
  </si>
  <si>
    <t>225, Parágrafo 4 Constituição Federal.</t>
  </si>
  <si>
    <t>I6VJRTQK</t>
  </si>
  <si>
    <t>"Efetuar a Plataforma com suas instalações de apoio o descarte de água de processo ou produção (TOG) em desacordo com os procedimentos aprovados pela autoridade marítima ". Obs.: Plataforma P-53 da Petrobrás com identificação/inspeção pelo Ibama de feição</t>
  </si>
  <si>
    <t>Plataforma de Exploração de Petróleo P-53 da Petrobrás, Bacia Sedimentar de Campos, Bloco Marlon Sul</t>
  </si>
  <si>
    <t>PPI98RXY</t>
  </si>
  <si>
    <t>Destruir 4 hectares de floresta nativa objeto de especial preservação, Amazonia Legal, não passível de autorização para supressão, terra indigena Cachoeira Seca.</t>
  </si>
  <si>
    <t>Rurópolis</t>
  </si>
  <si>
    <t>Reginaldo Sousa Parente</t>
  </si>
  <si>
    <t>Travessão da cachoeira, km 43</t>
  </si>
  <si>
    <t>49 Decreto 6514; 70 1º Lei 9605; 72 Lei 9605; 3º II Decreto 6514; 3º IV Decreto 6514; 3º VII Decreto 6514.</t>
  </si>
  <si>
    <t>BBDY4ITV</t>
  </si>
  <si>
    <t>Praticar ato tendente da pesca no rio Araguaia (lagoão), portanto petrechos proibido (redes e tarrafa), com a utilização de embarcação, conforme termo de apreensão anexo.</t>
  </si>
  <si>
    <t>Cocalzinho de Goiás</t>
  </si>
  <si>
    <t>Edimilton Alves de Andrade</t>
  </si>
  <si>
    <t>42 Decreto 6514; 35 II Decreto 6514; 70 1º Lei 9605; 72 Lei 9605; 3º II Decreto 6514; 3º IV Decreto 6514.</t>
  </si>
  <si>
    <t>93, - 6514/08.</t>
  </si>
  <si>
    <t>DLHOL1XI</t>
  </si>
  <si>
    <t>Descumprir embargo de atividade de carcinicultura, área de 9,24 hectares, referente ao Termo de embargo n. 810592-E, processo n. 02007.001372/2018-56.</t>
  </si>
  <si>
    <t>Jaguaruana</t>
  </si>
  <si>
    <t>Francisco Dix Seept Loureiro de Oliveira</t>
  </si>
  <si>
    <t>Sítio São José SN -Distrito de São José, Jaguaruana-CE.</t>
  </si>
  <si>
    <t>XN5I6T5H</t>
  </si>
  <si>
    <t>Deixar de atender exigência legal quando devidamente notificado (7399398). Auto lavrado em conformidade com determinação DITEC/SUPES/TO (9423148) e solicitação NQA/SUPES/TO (8590791). Segue anexo relatório de fiscalização.</t>
  </si>
  <si>
    <t>Avenida Castelo Branco, s/n, Vila União, Palmeirópolis - TO.</t>
  </si>
  <si>
    <t>0AFI6RL0</t>
  </si>
  <si>
    <t>Praticar maus tratos a animais nativo ou exótico ( Envio dele peixes vivos por meio postal _ CORREIO).</t>
  </si>
  <si>
    <t>São José</t>
  </si>
  <si>
    <t>roberto eduardo sentanin</t>
  </si>
  <si>
    <t>Centro de Tratamento de Encomenda Correios em São José SC</t>
  </si>
  <si>
    <t>Y9SZ27DQ</t>
  </si>
  <si>
    <t>Santa Maria</t>
  </si>
  <si>
    <t>Agro Rio Platense Comércio de Produtos Agropecuários Ltda</t>
  </si>
  <si>
    <t>Av Prefeito Evandro Behr 3133 sala 2 Camobi, Santa Maria/RS.</t>
  </si>
  <si>
    <t>NQIOE2HW</t>
  </si>
  <si>
    <t>destruir 36,07 há de floresta nativa na Amazônia legal, objeto de especial preservação, sem licença outorgada pelo órgão ambiental competente, no ID 2021KLM000008, polígono de coordenadas centrais 02 14' 43,46'' N 51 02'46,53''W.</t>
  </si>
  <si>
    <t>Antonio Rodrigues Nascimento</t>
  </si>
  <si>
    <t>sítio boa sorte, adestrando o ramal água verde.</t>
  </si>
  <si>
    <t>P7J4OBPM</t>
  </si>
  <si>
    <t>Destruir 20'78 hectares de floresta nativa na Amazônia legal objeto de especial preservação, sem licença outorgarda pelo órgão ambiental competente, no ID 2021KML000009, polígono de coordenadas centrais 02° 15' 38,19" N 51° 2' 41,52" W, conforme mapa de a</t>
  </si>
  <si>
    <t>Pedro Pereira de Araújo</t>
  </si>
  <si>
    <t>BR 156, sentido Amapá/Calçoene, adentrando Ramal Água Verde Km 13.
Sítio São Pedro.</t>
  </si>
  <si>
    <t>8VDNPI26</t>
  </si>
  <si>
    <t>Deixar de apresentar os relatórios anuais de atividades poluidoras nos prazos exigidos pela legislação no sistema oficial de controle do IBAMA CTF relativos aos anos de 2017/2016, 2018/2017 e 2019/2018.</t>
  </si>
  <si>
    <t>SOUSA COMÉRCIO DE PETRÓLEO LTDA.</t>
  </si>
  <si>
    <t>SEDE DA EMPRESA (trabalho remoto inseridas as coordenadas da SUPES-PI)</t>
  </si>
  <si>
    <t>9N5S8UFF</t>
  </si>
  <si>
    <t>Efetuar, a Instalação FPSO Cidade de Itajaí, o descarte de água de produção em desacordo com o art. 4° da Resolução CONAMA 393/2007 em 02/05/2019 originando uma feição oleosa de 1,6 km de extensão.</t>
  </si>
  <si>
    <t>C94AOH51</t>
  </si>
  <si>
    <t>Efetuar, a Plataforma P-57, o descarte de água de produção em desacordo com o art. 4° da Resolução CONAMA 393/2007 em 26/04/2019 originando uma feição oleosa de 2,9 km de extensão.</t>
  </si>
  <si>
    <t>Plataforma P-57</t>
  </si>
  <si>
    <t>NGI07IF0</t>
  </si>
  <si>
    <t>Fazer funcionar estabelecimento de carcinicultura sem licença do órgão ambiental competente</t>
  </si>
  <si>
    <t>Paulo Jorge Leão Serafim</t>
  </si>
  <si>
    <t>Sítio Volta</t>
  </si>
  <si>
    <t>4M8KOE87</t>
  </si>
  <si>
    <t>DEIXAR DE APRESENTAR RELATÓRIOS AMBIENTAIS NOS PRAZOS EXIGIDOS PELA LEGISLAÇÃO (Lei 6.938/81 Att. 17-C e Lei 10.165/2000) OU, NAQUELE DETERMINADO PELA AUTORIDADE AMBIENTAL, NOS ANOS: 2015/2014, 2016/2015 e 2017/2016.</t>
  </si>
  <si>
    <t>Guadalupe</t>
  </si>
  <si>
    <t>CARVALHO E ALMEIDA LTDA</t>
  </si>
  <si>
    <t>QUADRA 03 CASA 28 VILA PARNAÍBA
64.840-000 - GUADALUPE - PIAUÍ</t>
  </si>
  <si>
    <t>YUUS9F5W</t>
  </si>
  <si>
    <t>Deixar de apresentar relatórios ambientais no prazo exigido pela legislação, determinado pela autoridade ambiental competente, referente aos anos de 2015/2014, 2016/2015, 2017/2016, 2018/2017  e 2019/2018.</t>
  </si>
  <si>
    <t>COMPANHIA DE BEBIDAS DO PIAUI LTDA</t>
  </si>
  <si>
    <t>Rod. PI 140, 9840-KM 03 - Bairro Santa Rita- Floriano-PI.</t>
  </si>
  <si>
    <t>AQ95RHUP</t>
  </si>
  <si>
    <t>Apresentar informação falsa no sistema oficial de controle do Dof, com recebimentos de créditos indevidos de madeiras, conforme processo investigatorio 02024000185/2020-42 e relatório  investigatorio xxx</t>
  </si>
  <si>
    <t>COMERCIO DE MADEIRAS PALMEIRA LTDA EPP</t>
  </si>
  <si>
    <t>Rua Curitiba 2648 Bairro Liberdade</t>
  </si>
  <si>
    <t>., . In Conjunta 02/2020.</t>
  </si>
  <si>
    <t>0IQLAD34</t>
  </si>
  <si>
    <t>Efetuar, a Instalação FPSO ESPÍRITO SANTO, o descarte de água de produção em desacordo com o art. 4°da Resolução CONAMA 393/2007 em 26/04/2019 originando uma feição oleosa de 9,4 km de extensão.</t>
  </si>
  <si>
    <t>FPSO Espírito Santo</t>
  </si>
  <si>
    <t>ZDJULL30</t>
  </si>
  <si>
    <t>Descumprir embargo de atividade de carcinicultura, área de 15,05 hectares, sem licença ou autorização dos órgãos ambientais competentes, as coordenadas
 04 46 16 S  37 47 50 W, conforme despacho n. 7595869/2020-Cetas-Fortaleza-Ce/Supes-CE. processo SEi. 0</t>
  </si>
  <si>
    <t>Letícia Camarões Ltda-ME</t>
  </si>
  <si>
    <t>Sítio Volta, zona rural, Jaguaruana-CE</t>
  </si>
  <si>
    <t>VE3KFL1E</t>
  </si>
  <si>
    <t>Apresentar informação falsa no sistema oficial de controle do Dof,  com recebimento de créditos  indevidos de madeiras, conforme processo investigatorio 02024000185/2020-42 e  relatório investigatorio de constatação  xxx</t>
  </si>
  <si>
    <t>REAL COMÉRCIO DE MADEIRAS EIRELI EPP</t>
  </si>
  <si>
    <t>Rua Alto Piquiri n° 3605 vista Alegre</t>
  </si>
  <si>
    <t>., .  In Conjunta 02/2020.</t>
  </si>
  <si>
    <t>RUIJ1HGE</t>
  </si>
  <si>
    <t>apresentar informação falsa, porte da empresa anos 2018, 2019 e 2020, em sistema oficial de controle - Cadastro Técnico Federal.</t>
  </si>
  <si>
    <t>DAL SANTO TRANSPORTES LTDA</t>
  </si>
  <si>
    <t>SRV Odila Maggioni Torment, n. 127E</t>
  </si>
  <si>
    <t>FDTOBTD9</t>
  </si>
  <si>
    <t>Ter em depósito 17,7072 m³ de madeira serrada sem licença ambiental DOF outorgada pela autoridade competente.</t>
  </si>
  <si>
    <t>THARCIO C DE ARAUJO</t>
  </si>
  <si>
    <t>Rua Central, S/N, Bairro Betel, São Pedro do Piauí/PI</t>
  </si>
  <si>
    <t>DG41C7DE</t>
  </si>
  <si>
    <t>Ter em depósito 27,2482 M3 de madeiras em toras, sem licença outorgada pela autoridade ambiental competente, sendo 22,2374 M3 da especie Ipê e 5,0108 M3 da espécie Vinhático.</t>
  </si>
  <si>
    <t>Iguatama</t>
  </si>
  <si>
    <t>SABINO ANTONIO MACEDO</t>
  </si>
  <si>
    <t>Fazenda Lagoa Preta</t>
  </si>
  <si>
    <t>único, 1 Leis Estadual 9.743/1988.</t>
  </si>
  <si>
    <t>R7FI7FYS</t>
  </si>
  <si>
    <t>Deixar de atender a exigências legais ou regulamentares quando devidamente notificado pela autoridade ambiental competente, visando a regularização, correção ou adoção de medidas de controle para cessar a degradação ambiental.
OBS: deixou de atender a not</t>
  </si>
  <si>
    <t>Naviraí</t>
  </si>
  <si>
    <t>JOSE MAXIMO VOLPON</t>
  </si>
  <si>
    <t>Fazenda Cascalho</t>
  </si>
  <si>
    <t>6WI8JADI</t>
  </si>
  <si>
    <t>Usar produto ou substância tóxica, perigosa ou nociva a saúde humana ou ao meio ambiente (mercúrio - Hg), em desacordo com as exigências estabelecidas em leis ou em seus regulamentos.</t>
  </si>
  <si>
    <t>Vitória do Xingu</t>
  </si>
  <si>
    <t>Pedro Viana Senna</t>
  </si>
  <si>
    <t>Boca do Rio Bacajá</t>
  </si>
  <si>
    <t>829OTF8O</t>
  </si>
  <si>
    <t>Apresentar informação falsa no sistema oficial de controle do Dof,  com recebimento de créditos indevidos de madeiras conforme processo investigatorio 02024 000185/2020-42 e relatório de investigação  xxx.</t>
  </si>
  <si>
    <t>Rod 387 km 32,5 sn°</t>
  </si>
  <si>
    <t>SFNOM8H4</t>
  </si>
  <si>
    <t>Apresentar informação falsa no sistema oficial de controle do Dof, com recebimento de créditos indevidos de madeiras, conforme processo investigatorio 02024000185/202-42 e relatório investigatorio  de constatação  xxx</t>
  </si>
  <si>
    <t>Rua Alto piquiri 3605</t>
  </si>
  <si>
    <t>IJY1FESN</t>
  </si>
  <si>
    <t>Palmeira Comércio de Madeiras Ltda</t>
  </si>
  <si>
    <t>Rua Curitiba, 2648</t>
  </si>
  <si>
    <t>SMMPETKW</t>
  </si>
  <si>
    <t>Rod. Ro 387 sn° Km 32,5</t>
  </si>
  <si>
    <t>Y3NQY8W2</t>
  </si>
  <si>
    <t>Executar extração mineral (ouro) sem a autorização ou licença da autoridade competente dentro da Terra Indígena Paquiçamba.</t>
  </si>
  <si>
    <t>GILIARDE JACINTO PEREIRA</t>
  </si>
  <si>
    <t>Terra Indígena Paquiçamba.</t>
  </si>
  <si>
    <t>63 Decreto 6514; 70 1º Lei 9605; 72 Lei 9605; 3º II Decreto 6514.</t>
  </si>
  <si>
    <t>JCZYYUFY</t>
  </si>
  <si>
    <t>Destruir 1,89 hectares de vegetação nativa no Bioma Pantanal (objeto especial de preservação), no Projeto de Assentamento Taquaral, lote 221 , em Corumbá MS,sem autorização ambiental, de acordo com parecer técnico xxx -ID 11.</t>
  </si>
  <si>
    <t>DIRCEU SCHEEL</t>
  </si>
  <si>
    <t>PA Taquaral, lote 221, Corumbá/MS.</t>
  </si>
  <si>
    <t>74ODO4QN</t>
  </si>
  <si>
    <t>Deixar de atender as exigências legais/regulamentares quando devidamente notificado pela autoridade ambiental competente, no prazo concedido (não atendeu as determinações expressas pela Notificação n° B0KNEVWE, de 23/06/2020, recebida em 03/07/2020, confo</t>
  </si>
  <si>
    <t>ROGERIO MARQUES FIRMINIO</t>
  </si>
  <si>
    <t>Unidade Técnica do IBAMA em São José do Rio Preto/SP.</t>
  </si>
  <si>
    <t>1G3D16BX</t>
  </si>
  <si>
    <t>Destruir a corte raso 59,589 ha de vegetação nativa, tipo floresta, no Bioma Amazônico, objeto de especial preservação, sem autorização do Autoridade Ambiental competente na fazenda Boi Não Berra, localidade Vila do Isol Novo Progresso-PA, em parte da áre</t>
  </si>
  <si>
    <t>Edevaldo Camargo Zimermann</t>
  </si>
  <si>
    <t>Fazenda Boi Não Berra, BR 163. Vila Isol, s/n. Zona Rural. Novo Progresso</t>
  </si>
  <si>
    <t>AMAZÔNIA VERDE - BASE PA2 - II</t>
  </si>
  <si>
    <t>225, Parágrafo 4o Constituição Federal 1988.</t>
  </si>
  <si>
    <t>P0D2COO4</t>
  </si>
  <si>
    <t>Apresentar informação falsa no sistema oficial de controle do Dof, com o regimentos de créditos indevidos  de madeiras, conforme processo investigatorio  02024000185/202-42 e relatório de investigação xxx.</t>
  </si>
  <si>
    <t>Rua Ervino Prochnow 3036</t>
  </si>
  <si>
    <t>., . In conjunta 02/2020 .</t>
  </si>
  <si>
    <t>PRRRVWZR</t>
  </si>
  <si>
    <t>Ter em depósito 296,41 m³ de madeiras de especies nativas sem licença válida para todo o tempo de armazenamento, outorgada pela autoridade competente. O saldo Sisflora da empresa foi desconsiderado por não ser possível comprovar a origem por não possuir c</t>
  </si>
  <si>
    <t>Uruará</t>
  </si>
  <si>
    <t>LAMINADOS ALVORADA LTDA</t>
  </si>
  <si>
    <t>Rodovia Transamazônica km 140, Vila Alvorada</t>
  </si>
  <si>
    <t>ILG222NT</t>
  </si>
  <si>
    <t>Apresentar informação falsa no sistema oficial de controle, SISFLORA, mantendo saldo divergente do volume de madeira física depositado no pátio da empresa.</t>
  </si>
  <si>
    <t>IDELCIDES FALQUETO</t>
  </si>
  <si>
    <t>Vila Alvorada</t>
  </si>
  <si>
    <t>V419UU93</t>
  </si>
  <si>
    <t>Destruir a corte raso 13,14ha de floresta nativa objeto de especial preservação, sem autorização da autoridade Ambiental competente dentro da Unidade de conservação (Flona do Jamanxim), na Chácara Bom Sucesso ID 172639.</t>
  </si>
  <si>
    <t>Sivaldo Martins Simões</t>
  </si>
  <si>
    <t>Vicinal Marajoara, Km 35</t>
  </si>
  <si>
    <t>0NEP2J5S</t>
  </si>
  <si>
    <t>Apresentar informação falsa nos sistemas oficiais de controle (SISFLORA)  ao declarar ter no pátio a volumetria de 107,06 m3 de madeira sem corresponder ao encontrado durante vistoria do Pátio da Empresa.</t>
  </si>
  <si>
    <t>CAMPONOVENSE MADEIRAS EIRELLI</t>
  </si>
  <si>
    <t>Empresa Camponovense Madeiras Eireli. Rodovia Transamazônica Km 140 Norte Vila Alvorada S/N.</t>
  </si>
  <si>
    <t>5RBD610C</t>
  </si>
  <si>
    <t>Fazer funcionar atividade utilizadora de recursos ambientais - importação da encomenda RA804109610UA (duas presas de morsa), enquadrada na atividade 21-57 (importação/exportação de fauna exótica sem autorização de importação emitida pelo IBAMA</t>
  </si>
  <si>
    <t>Guilherme de Camargo Marcondes</t>
  </si>
  <si>
    <t>Centro Internacional dos Correios em Pinhais
Rua Salgado Filho 476 Pinhais PR</t>
  </si>
  <si>
    <t>M4PJ40H3</t>
  </si>
  <si>
    <t xml:space="preserve">Danificar 10,494 ha de floresta em estágio médio de regeneração, objeto de especial preservação, não passível de autorização para supressão ao realizar supressão de subbosque atingindo espécies ameaçadas de extinção, em área com Termo de responsabilidade </t>
  </si>
  <si>
    <t>Guilda Rickli Prestes</t>
  </si>
  <si>
    <t>Propriedade rural sob matrícula xxx. Zona rural.</t>
  </si>
  <si>
    <t>5° e 14°, Caput 6.514/08.</t>
  </si>
  <si>
    <t>0N7UI82B</t>
  </si>
  <si>
    <t>Apresentar informação falsa em sistema oficial de controle (Sisflora/PA) ao possuir créditos de madeira no sistema sem possuir o correspondente volume no pátio físico.</t>
  </si>
  <si>
    <t>Rodovia Transamazônica, km 140 s/n, Vila Alvorada.</t>
  </si>
  <si>
    <t>1MDDVLET</t>
  </si>
  <si>
    <t>Ter em depósito 762,29 m3 de madeira sem licença valida, o saldo SISFLORA da empresa foi desconsiderado por não ser possível comprovar a origem por não possuir cadeia de custódia.</t>
  </si>
  <si>
    <t>81RX5657</t>
  </si>
  <si>
    <t>Destruir a corte raso 17,81ha de floresta nativa, objeto de especial preservação, sem autorização da autoridade Ambiental competente na Chácara Bom Sucesso, ID 172639</t>
  </si>
  <si>
    <t>Y8HZ1H4I</t>
  </si>
  <si>
    <t>Impedir a regeneração natural de 250 hectares de florestas ou demais formas de vegetação nativa em área de Reserva Legal cuja regeneração indicada no Termo de Embargo n. 447567/C. Agropecuária BN LTDA, parte desmembrada da antiga Fazenda São José I II III</t>
  </si>
  <si>
    <t>AGROPECUÁRIA BN LTDA</t>
  </si>
  <si>
    <t>Agropecuária BN LTDA, Fazenda São Lucas.</t>
  </si>
  <si>
    <t>48 § único Decreto 6514/2008.</t>
  </si>
  <si>
    <t>TWX9YY5V</t>
  </si>
  <si>
    <t>Transportar 13,86 estéros de madeira (mourão), de origem nativa, sem licença válida para todo o tempo da viagem outorgada pela autoridade competente.</t>
  </si>
  <si>
    <t>JOSE TADEU COSTA</t>
  </si>
  <si>
    <t>Posto da Polícia Militar de Goiás, Rodovia GO 206 KM 1 .</t>
  </si>
  <si>
    <t>V7GEMNUC</t>
  </si>
  <si>
    <t>Descumprir embargo por meio de atividade agropastoril, em uma área de 370 hectares, objeto do Termo de Embargo n. 447567/C, na Fazenda São José I, II, III e IV.</t>
  </si>
  <si>
    <t>OTAVIO DIAS</t>
  </si>
  <si>
    <t>LEENBI9L</t>
  </si>
  <si>
    <t>Pescar com petrecho proibido, fazendo uso de rede de arrasto de camarão sete-barbas com tamanho de malha inferior a 24mm no ensacador.</t>
  </si>
  <si>
    <t>Penha</t>
  </si>
  <si>
    <t>Arilson Crispim</t>
  </si>
  <si>
    <t>Litoral de Santa Catarina</t>
  </si>
  <si>
    <t>1°, caput Portaria SUDEPE N-56/84.</t>
  </si>
  <si>
    <t>L4Q7D4XC</t>
  </si>
  <si>
    <t>DEIXAR DE APRESENTAR RELATÓRIOS AMBIENTAIS NOS PRAZOS EXIGIDOS PELA LEGISLAÇÃO (Lei 6.938/81 Art. 17-C e Lei 10.165/2000) OU, NAQUELE DETERMINADO PELA AUTORIDADE AMBIENTAL, NOS ANOS: 2016/2015, 2017/2016, 2018/2017 e 2019/2018.</t>
  </si>
  <si>
    <t>Pedro II</t>
  </si>
  <si>
    <t>R V MENDES BARROSO</t>
  </si>
  <si>
    <t>EST FELIPE S/N° ZONA RURAL
64.255-000 - PEDRO II PIAUÍ</t>
  </si>
  <si>
    <t>OBNMEPB4</t>
  </si>
  <si>
    <t>Danificar 45,126 ha de floresta secundária em estágio médio de regeneração, objeto de especial preservação, não passível de autorização para supressão ao realizar supressão de subbosque atingindo espécies ameaçadas de extinção, em área com Termo de respon</t>
  </si>
  <si>
    <t>SUZANA RICKLI</t>
  </si>
  <si>
    <t>60, II 6.514/08; 5° e 14°, Caput Lei Federal 11.428/2006.</t>
  </si>
  <si>
    <t>OCM89BTN</t>
  </si>
  <si>
    <t>Ter em depósito 52,352 (cinquenta e dois vírgula trezentos e cinquenta e três) metros cúbicos de madeira serrada nativa sem licença - Documento de Origem Florestal (DOF) durante o tempo de armazenamento, de acordo com o levantamento de pátio executado por</t>
  </si>
  <si>
    <t>Maringá</t>
  </si>
  <si>
    <t>GUARIBA YPE MATERIAIS DE CONTRUÇAO LTDA</t>
  </si>
  <si>
    <t>Pátio da Madeireira Guarujá Ypê Materiais de Construção 
Avenida Prefeito Sinclair Sambati, 9202
Mar</t>
  </si>
  <si>
    <t>YV88YKGQ</t>
  </si>
  <si>
    <t>Pescar na modalidade de arrasto motorisado de camarão sete-barbas durante o defeso, periodo em que a pesca é proibida.</t>
  </si>
  <si>
    <t>9OJR7WSB</t>
  </si>
  <si>
    <t xml:space="preserve">Executar lavra garimpeira compreendendo 04,13 hectares dentro do perímetro com  coordenadas de referência 07° 30' 48,7" S, 055° 15' 54" W, area  de posse de Ivaine Dezengrini Dapont, lavra garimpeiras sem  a competente autorização da autoridade ambiental </t>
  </si>
  <si>
    <t>Adeilton Garcia Soares</t>
  </si>
  <si>
    <t>Rodovia BR 163, km 1026</t>
  </si>
  <si>
    <t>63 Decreto 6514; 70 1º Lei 9605; 72 Lei 9605; 3º II Decreto 6514; 3º IV Decreto 6514.</t>
  </si>
  <si>
    <t>CPQUDQVL</t>
  </si>
  <si>
    <t>Transportar  59,100m3 de madeira serrada das espécies, Angelim (Hymenolobiun heterocarpum Ducke) 10,701m³, Cupiúba (Goupia glabra  Aubl.) 21,558m³, Louro (Ocotea  neesiana (Miq.) Kosterm.) 13,739m³ e Jatobá (Hymenaea courbaril L.) 13,102m³, sem licença vá</t>
  </si>
  <si>
    <t>M Otaviano Comércio de Artefatos de Madeiras Eireli</t>
  </si>
  <si>
    <t>Avenida Bernardo Sayão n¿ 4504 - Guamá</t>
  </si>
  <si>
    <t>8911UFP0</t>
  </si>
  <si>
    <t>Fornecer dados inconsistentes/fraudados sobre o nascimento de pássaro silvestre no sistema oficial de controle das atividades da criação amadorista de passeriformes - SISPASS, de seu criatório, cadastrado sob o n° xxx no IBAMA (declarou data de nascim</t>
  </si>
  <si>
    <t>MICHEL MOCHIZUKE</t>
  </si>
  <si>
    <t>33, 2° IN 10/2011; 34, 10 IN 10/2011.</t>
  </si>
  <si>
    <t>1FMSUN4V</t>
  </si>
  <si>
    <t>Usar produtos nocivo à saúde humana e ao meio ambiente (10 g de mercúrio em atividade de garimpo) em desacordo com as exigências legais conforme consta na apreensão J9EYDPAN referente ao AI 0MLXCPAJ.</t>
  </si>
  <si>
    <t>Terra Indígena Paquiçamba</t>
  </si>
  <si>
    <t>VRCR72D0</t>
  </si>
  <si>
    <t>Permitir a condução de veículo automotor em desacordo com os limites e exigências previstos na legislação (Uso de óleo diesel S500 no caminhão M. Benz, ano 2013, Placa FHF 6651).</t>
  </si>
  <si>
    <t>MINERAÇÃO GRANDES LAGOS LTDA.</t>
  </si>
  <si>
    <t>Rodovia BR 154, Km 59</t>
  </si>
  <si>
    <t>FBSWNVWK</t>
  </si>
  <si>
    <t>Destruir a corte raso 11,19 hectares de vegetação nativa, tipo floresta, no Bioma Amazônico, objeto de especial preservação, sem autorização da autoridade ambiental competente no Sítio Bonança, Vicinal Dois PDS Terra Nossa, na área do ID DETER 2020/154292</t>
  </si>
  <si>
    <t>Manoel Jose do Nascimento</t>
  </si>
  <si>
    <t>Sítio Bonança. Vicinal 02, Projeto de Desenvolvimento Sustentável -PDS Terra Nossa, Novo Progresso.</t>
  </si>
  <si>
    <t>225, parágrafo 4o Constituição Federal 1988.</t>
  </si>
  <si>
    <t>Y5C3N0DF</t>
  </si>
  <si>
    <t>Danificar 43,31 ha de vegetação nativa, objeto de especial preservação (floresta amazônica), sem licença da autoridade competente.</t>
  </si>
  <si>
    <t>RILDO FISTAROL</t>
  </si>
  <si>
    <t>Zona Rural de Medicilândia</t>
  </si>
  <si>
    <t>E0FF79WF</t>
  </si>
  <si>
    <t>Permitir a condução de veículo automotor em desacordo com os limites e exigências previstos na legislação (Uso de óleo diesel S500 no caminhão Volvo, placa IWB 7097, ano 2014).</t>
  </si>
  <si>
    <t>ORLEGESSO COM. E INDUSTRIA DE GESSO LTDA ME</t>
  </si>
  <si>
    <t>Rodovia BR 153, Km 69,</t>
  </si>
  <si>
    <t>YX9QP17I</t>
  </si>
  <si>
    <t>Fazer funcionar atividade potencialmente poluidora (Garimpo de Ouro), sem licença da autoridade competente.</t>
  </si>
  <si>
    <t>Edson do Nascimento</t>
  </si>
  <si>
    <t>Sítio Santo Antônio, zona Rural, município de Novo Progresso, BR 163 Km 1026, lado direito.</t>
  </si>
  <si>
    <t>GOMFOQ4Q</t>
  </si>
  <si>
    <t>Desmatar a corte raso, 5,56337 há de vegetação nativa, fora da Reserva Legal, sem a licença do órgão ambiental competente</t>
  </si>
  <si>
    <t>Piquet Carneiro</t>
  </si>
  <si>
    <t>Francisco Reginaldo Oliveira Rolim</t>
  </si>
  <si>
    <t>P.A.Milagres.</t>
  </si>
  <si>
    <t>52 Decreto 6514; 60 I Decreto 6514; 70 1º Lei 9605; 72 Lei 9605; 3º II Decreto 6514; 3º VII Decreto 6514.</t>
  </si>
  <si>
    <t>LTOKQORC</t>
  </si>
  <si>
    <t>Deixar de apresentar relatórios ambientais no prazo exigido pela legislação. Auto de infração lavrado em conformidade com determinação DITEC/SUPES/TO (9423118) e solicitação NQA/SUPES/TO (8591579). Segue anexo relatório de fiscalização.</t>
  </si>
  <si>
    <t>Miracema do Tocantins</t>
  </si>
  <si>
    <t>CONCEICAO PEREIRA DA SILVA</t>
  </si>
  <si>
    <t>Av. Tocantins, n 2223, Miracema- TO.</t>
  </si>
  <si>
    <t>NUF1VWLL</t>
  </si>
  <si>
    <t>Deixar de atender exigência legal quando devidamente notificado (7483848). Auto lavrado em conformidade com determinação DITEC/SUPES/TO (9423118) e solicitação NQA/SUPES/TO (8591579). Segue anexo relatório de fiscalização.</t>
  </si>
  <si>
    <t>Avenida Tocantins, número 2223, CEP 77650-000, Miracema - TO.</t>
  </si>
  <si>
    <t>AS6H0RST</t>
  </si>
  <si>
    <t>Fazer funcionar estabelecimento (duas serrarias móveis) utilizador de recursos ambientais, considerados efetivamente poluidores, sem licença ou autorização dos órgãos ambientais competentes no Interior do PDS Ademir Fredericce.</t>
  </si>
  <si>
    <t>Brasil Novo</t>
  </si>
  <si>
    <t>Rivanildo Fistarol</t>
  </si>
  <si>
    <t>Reserva do PDS Ademir Fredericce</t>
  </si>
  <si>
    <t>4ZC6FKHH</t>
  </si>
  <si>
    <t>Destruir 11,86 hectares de vegetação nativa, do bioma Pantanal (objeto especial de preservação), localizado no Sítio Mimoso, projeto de assentamento Taquaral, lotes 386 e 387, localizado no município de Corumbá MS sem autorização ambiental, conforme parec</t>
  </si>
  <si>
    <t>Samuel Nunes Justiniano</t>
  </si>
  <si>
    <t>Sítio Mimoso, PA Taquaral, lotes 386 e 387, Corumbá MS.</t>
  </si>
  <si>
    <t>X8NNU3NG</t>
  </si>
  <si>
    <t>Deixar de atender as exigências legais/regulamentares quando devidamente notificado pela autoridade ambiental competente, no prazo concedido (não atendeu as determinações expressas pelos itens 2, 3.1 e 3.2 do Ofício n° 392/2017/UT-SÃO JOSÉ DO RIO PRETO-SP</t>
  </si>
  <si>
    <t>NELSON MACHADO SILVA JUNIOR</t>
  </si>
  <si>
    <t>HB74H4BB</t>
  </si>
  <si>
    <t>Apresentar informação ambiental parcialmente enganosa em sistema oficial de controle (DOF/SIAM), quando acusou o recebimento de 7,399 m3 em créditos de Madeira Beneficiada - Produto Acabado da empresa J M C INDUSTRIA E COMERCIO DE MADEIRAS EIRELI - EPP, C</t>
  </si>
  <si>
    <t>QX8R67DH</t>
  </si>
  <si>
    <t>Apresentar informação ambiental parcialmente enganosa em sistema oficial de controle (DOF/SIAM), quando acusou o recebimento de 1,815 m3 em créditos de Madeira Beneficiada - Produto Acabado da empresa RIO SOL INDUSTRIA COMERCIO E EXPORTACAO DE MADEIRAS EI</t>
  </si>
  <si>
    <t>GF9LNLMS</t>
  </si>
  <si>
    <t xml:space="preserve">Deixar de manter/omitir registro sobre a movimentação de plantel de pássaros silvestres no sistema oficial de controle das atividades da criação amadorista de passeriformes - SISPASS de seu criatório, cadastrado sob o n° xxx no CTG/IBAMA (não declarou </t>
  </si>
  <si>
    <t>35, 2° IN IBAMA 10/2011.</t>
  </si>
  <si>
    <t>APA3WSCY</t>
  </si>
  <si>
    <t>Dificultar a ação do Poder Público no exercício de atividades de fiscalização ambiental. A embarcação "Estrela Guia VII", RGP SP00006194 e Inscrição na Marinha 0210176709, de responsabilidade do autuado, deixou de emitir sinal de rastreamento remoto obrig</t>
  </si>
  <si>
    <t>GEIZEL ALCENIR PEIXOTO</t>
  </si>
  <si>
    <t>Zona Costeira do município de Santos/SP.</t>
  </si>
  <si>
    <t>7°,   IN SEAP 02/2006.</t>
  </si>
  <si>
    <t>RR6588EN</t>
  </si>
  <si>
    <t>Apresentar informação ambiental parcialmente enganosa em sistema oficial de controle (DOF/SIAM), quando acusou o recebimento de 4,743 m3 em créditos de Madeira Beneficiada - Utensílios (Produto Acabado) da empresa MADEIREIRA SANTA JULIA LTDA, CNPJ 30.161.</t>
  </si>
  <si>
    <t>MACAL COMERCIO DE FERRAGENS EIRELI</t>
  </si>
  <si>
    <t>Av. Nossa Senhora do Carmo, n° 1430 - Carmo - Belo Horizonte/MG - CEP 30.330-000</t>
  </si>
  <si>
    <t>95HEVGEA</t>
  </si>
  <si>
    <t>Deixar de apresentar relatórios referente aos anos de 2014 e 2015 exigidos pelo órgão ambiental  competente.Obs: este auto substitui o auto de infração 9105510-E, conforme Decisão Interlocutoria xxx.</t>
  </si>
  <si>
    <t>NOSSA SENHORA DE FÁTIMA COMERCIO DE DERIVADOS DE PETROLEO</t>
  </si>
  <si>
    <t>Ibama Supes/ro</t>
  </si>
  <si>
    <t>EFYILKBM</t>
  </si>
  <si>
    <t>Transportar 22,86 de madeira em todas da essência ipê. sem autorização prévia do órgão ambiental competente. Obs:Este auto substitui o auto de infração 9115196-E, conforme Decisão Revisional Procedente n xxx.</t>
  </si>
  <si>
    <t>SELMO TONINI SCOPEL</t>
  </si>
  <si>
    <t>Ibama/Supes/ro</t>
  </si>
  <si>
    <t>47 Decreto 6514; 70 1º Lei 9605; 72 Lei 9605; 3º II Decreto 6514; 3º IV Decreto 6514.</t>
  </si>
  <si>
    <t>TKUQ0MSW</t>
  </si>
  <si>
    <t>Apresentar informação parcialmente enganosa em sistema oficial de controle (DOF/SIAM), quando acusou o recebimento de 11,385 m3 em créditos de Madeira Beneficiada - Produto Acabado da empresa J M C INDUSTRIA E COMERCIO DE MADEIRAS EIRELI - ME, CNPJ 30.002</t>
  </si>
  <si>
    <t>MM COMÉRCIO E MADEIRAS EIRELI</t>
  </si>
  <si>
    <t>Rua Espinosa, n° 234 - Santo André - Belo Horizonte/MG - CEP 30.710-010</t>
  </si>
  <si>
    <t>QQGKTG1T</t>
  </si>
  <si>
    <t>apresentar informação falsa no sistema oficial de controle do DOF. com recebimento de créditos indevidos de madeiras, conforme processo investigatorio 02024000185/2020-42 e relatório de constatação xxx</t>
  </si>
  <si>
    <t>V. N. COMERCIO DE MADEIRAS LTDA - EPP</t>
  </si>
  <si>
    <t>av Nações unidas, 1010</t>
  </si>
  <si>
    <t>1SYLHWZN</t>
  </si>
  <si>
    <t>Apresentar informação ambiental parcialmente enganosa em sistema oficial de controle (DOF/SIAM), quando acusou o recebimento de 4,08 m3 em créditos de Madeira Beneficiada - Produto Acabado da empresa MT BRASNORTE INDUSTRIA E COMERCIO DE MADEIRAS EIRELI, C</t>
  </si>
  <si>
    <t>8WEE10EM</t>
  </si>
  <si>
    <t>Fazer funcionar atividade de extração de areia no Rio Canindé, considerada efetiva e potencialmente poluidora, sem licença do órgão ambiental competente.</t>
  </si>
  <si>
    <t>Amarante</t>
  </si>
  <si>
    <t>L N Alves de Sousa ME</t>
  </si>
  <si>
    <t>Margem do Rio Canindé, Povoado Dois Coqueiros, município de Amarante/PI</t>
  </si>
  <si>
    <t>MCPHRWY6</t>
  </si>
  <si>
    <t>Apresentar informação ambiental parcialmente enganosa em sistema oficial de controle (DOF/SIAM), quando acusou o recebimento de 6,179 m3 em créditos de Madeira Beneficiada -Utensílios (Produto Acabado) da empresa MADEIREIRA SANTA JULIA, CNPJ 30.161.623/00</t>
  </si>
  <si>
    <t>Q9Z9ZGPA</t>
  </si>
  <si>
    <t>Ter em cativeiro 02 espécimes da fauna silvestre nativa em desacordo com a licença ambiental (anilhas falsificadas).</t>
  </si>
  <si>
    <t>RENATO TENORIO DA SILVA</t>
  </si>
  <si>
    <t>Rua Sérgio Alves da Silva, 42, Jacintinho, CEP 57041-190, Maceió-AL</t>
  </si>
  <si>
    <t>F5T87P03</t>
  </si>
  <si>
    <t>Danificar 0,5 hectares de vegetação nativa de mata atlântica em estágio médio de regeneração sem autorização do Órgão Ambiental Competente.</t>
  </si>
  <si>
    <t>Santo Amaro da Imperatriz</t>
  </si>
  <si>
    <t>Adeli Nicolau dos Santos</t>
  </si>
  <si>
    <t>Braço São João, S/N</t>
  </si>
  <si>
    <t>., . Lei 11.428/2006.</t>
  </si>
  <si>
    <t>6GZJXEAH</t>
  </si>
  <si>
    <t>Fazer Funcionar atividades utilizadores de recursos ambientais, considerados efetiva ou potencialmente poluidores, sem Licença ou Autorização do Órgão Ambiental Competente.</t>
  </si>
  <si>
    <t>MINISTERIO DA PESCA E AQUICULTURA</t>
  </si>
  <si>
    <t>Litoral de Mangaratiba/ RJ - Praia e Sahi</t>
  </si>
  <si>
    <t>HUGESC26</t>
  </si>
  <si>
    <t>Transportar 260 kg de camarão rosa (Farfantepenaeus paulensis), no dia 03/03/2021 na rodovia RS 030, km 81 em Osório RS, com o uso do veículo MEZ 4663, sem comprovante de origem.</t>
  </si>
  <si>
    <t>Edson Alves de Souza</t>
  </si>
  <si>
    <t>RS 030 Km 81</t>
  </si>
  <si>
    <t>VIPQXDP4</t>
  </si>
  <si>
    <t>Áreas do Litoral de Paraty- Baías de Paraty e Ilha Grande/RJ.</t>
  </si>
  <si>
    <t>8WL54ECR</t>
  </si>
  <si>
    <t>Apresentar informação falsa no sistema de controle DOF referente ao procedimento administrativo de recebimento de 6 (seis) documentos de origem florestal ideologicamente falsos (resíduos para aproveitamento industrial).</t>
  </si>
  <si>
    <t>Parnaíba</t>
  </si>
  <si>
    <t>MATERIAIS DE CONSTRUÇÃO XAVANTE LTDA.</t>
  </si>
  <si>
    <t>Rua Xavante 1005, Boa Esperança</t>
  </si>
  <si>
    <t>WJ3715ZJ</t>
  </si>
  <si>
    <t xml:space="preserve">Destruir a corte raso 4,70 hectares de vegetação nativa, tipo floresta, no Bioma Amazônico, objeto de especial preservação, sem autorização da autoridade ambiental competente, no Lote 87, Vicinal Dois, PDS Terra Nossa, Novo Progresso-PA, em parte da área </t>
  </si>
  <si>
    <t>Jose Raimundo Silva Lima</t>
  </si>
  <si>
    <t>Projeto de Desenvolvimento Sustentável - PDS Terra Nossa, Vicinal Dois, Lote 87. Zona Rural.</t>
  </si>
  <si>
    <t>225, Parágrafo 4o Constituição Federal/1988.</t>
  </si>
  <si>
    <t>B5D27057</t>
  </si>
  <si>
    <t xml:space="preserve">Destruir a corte raso 111,846 hectares de vegetação nativa, tipo floresta, no Bioma Amazônico, objeto de especial preservação, sem autorização da autoridade ambiental competente, na Fazenda Santa Maria, localidade Vila Isol, Novo Progresso-PA, na área do </t>
  </si>
  <si>
    <t>IVERALDO CAMARGO ZIMERMANN</t>
  </si>
  <si>
    <t>Rodovia BR 163, S/N. Fazenda Santa Maria. Vila Isol. CEP: 68193-000</t>
  </si>
  <si>
    <t>225, Paragráfo 4o Constituição Federal/1988.</t>
  </si>
  <si>
    <t>GUH9FTZE</t>
  </si>
  <si>
    <t>Prestar informação falsa no Sistema Oficial de Controle - Sistema DOF, conforme Informação xxx, processo 02007.000636/2021-50.
Obs.: emissão de DOF 19822133 inválido.</t>
  </si>
  <si>
    <t>Av. Recife, 4930, Centro, Rolim de Moura - RO</t>
  </si>
  <si>
    <t>KBXHETX1</t>
  </si>
  <si>
    <t>TRANSPORTAR  NO VEÍCULO PLACA MDL-1465-SC/ INDAIAL, 20,4447M3 DE MADEIRA SERRADA (TÁBUAS,VIGAS E RIPAS) EM DESACORDO COM A GFF3i N° 668253 E NOTA FISCAL N° 000000069- SÉRIE 000.</t>
  </si>
  <si>
    <t>DIRCEU MAXIMIANO</t>
  </si>
  <si>
    <t>PRF/UNIDADE OPERACIONAL EM AÇAILÂNDIA/MA, BR-222, KM 677</t>
  </si>
  <si>
    <t>47, 1°,3° 6.514/2008.</t>
  </si>
  <si>
    <t>SMN3XC9W</t>
  </si>
  <si>
    <t>Destruir a corte raso 2,86 hectares de vegetação nativa, tipo floresta, no Bioma Amazônico, objeto de especial preservação, sem autorização da autoridade ambiental competente no Sítio Santa Rosa, Lote 83, Vicinal 02, PDS Terra Nossa, Novo Progresso -PA, e</t>
  </si>
  <si>
    <t>Josimar Rosa doa Santos</t>
  </si>
  <si>
    <t>Sítio Santa Rosa. PDS Terra Nossa. Vicinal Dois, Lote 83. Zona Rural. Cep: 68.193-000. Novo Progress</t>
  </si>
  <si>
    <t>225, Parágrafo 4 Constituição Federal/1988.</t>
  </si>
  <si>
    <t>NQ0O37JJ</t>
  </si>
  <si>
    <t>Fazer funcionar atividade utilizadora de recursos naturais, considerada potencialmente poluidora (lavra garimpeira), sem licença do órgão ambiental competente.</t>
  </si>
  <si>
    <t>Gilson Dias das Chagas</t>
  </si>
  <si>
    <t>Rio Xingu</t>
  </si>
  <si>
    <t>ZZDH6N3M</t>
  </si>
  <si>
    <t>Danificar 37,423 ha de floresta secundária em estágio médio de regeneração, objeto de especial preservação, não passível de autorização para supressão ao realizar supressão de subbosque e exploração de espécies florestais, inclusive ameaçadas de extinção,</t>
  </si>
  <si>
    <t>Rosana da Aparecida Scheifiter de Ramos</t>
  </si>
  <si>
    <t>Propriedade rural sob matrícula xxx.
Zona Rural.</t>
  </si>
  <si>
    <t>49 1º Decreto 6514; 60 II Decreto 6514; 70 1º Lei 9605; 72 Lei 9605; 3º II Decreto 6514; 3º VII Decreto 6514.</t>
  </si>
  <si>
    <t>5 e 14, caput Lei Federal 11428/2006.</t>
  </si>
  <si>
    <t>RYBJ9X9N</t>
  </si>
  <si>
    <t xml:space="preserve">Destruir a corte raso 5,398 hectares de vegetação nativa, tipo floresta, no Bioma Amazônico, objeto de especial preservação, sem autorização da autoridade ambiental competente na Estância Produtiva, Lote 77 Vicinal Dois PDS Terra Nossa,Novo Progresso-PA, </t>
  </si>
  <si>
    <t>GILSON FERREIRA DE SOUZA CRISTINO</t>
  </si>
  <si>
    <t>Vicinal Terra Nossa, s/n. Vicinal Dois, Lote 77. Cep 68.193-000 - Novo Progresso - Pará.</t>
  </si>
  <si>
    <t>0BZ8KS0E</t>
  </si>
  <si>
    <t>Fazer Funcionar atividade utilizadora de recursos ambientais, lavra garimpeira, sem licença do órgão ambiental competente.</t>
  </si>
  <si>
    <t>Joselmo Pantoja dis Santos</t>
  </si>
  <si>
    <t>Boca do Bacajaí</t>
  </si>
  <si>
    <t>3A0YGE6Y</t>
  </si>
  <si>
    <t>Moises Scheifiter de Ramos</t>
  </si>
  <si>
    <t>Zona Rural Turvo. 
Propriedade sob matrícula xxx.</t>
  </si>
  <si>
    <t>49 1º Decreto 6514; 60 II Decreto 6514; 70 1º Lei 9605; 72 Lei 9605; 3º II Decreto 6514.</t>
  </si>
  <si>
    <t>5 e 14, caput Lei Federal 11.428/2006.</t>
  </si>
  <si>
    <t>VYTZ1PDC</t>
  </si>
  <si>
    <t>Transportar 25,44 m3 de madeira serrada, de essências diversas, sendo caibros e ripas, sem licença válida para todo o tempo da viagem, outorgada pela autoridade competente.</t>
  </si>
  <si>
    <t>Itapecuru Mirim</t>
  </si>
  <si>
    <t>Francisco Jean Aguiar Fontenele</t>
  </si>
  <si>
    <t>28° Batalhão de Policia Militar</t>
  </si>
  <si>
    <t>SLTMU5GH</t>
  </si>
  <si>
    <t>Fazer funcionar atividade potencialmente poluidora ( extração de minério - garimpo de ouro) sem licença ou autorização do órgão ambiental competente.</t>
  </si>
  <si>
    <t>Margem esquerda do rio Xingú,</t>
  </si>
  <si>
    <t>P934RA0J</t>
  </si>
  <si>
    <t>Transportar 25,44 m3 de madeira serrada de espécies mistas/diversas, sendo caibros e ripas, sem licença válida para todo o tempo da viagem, outorgada pela autoridade competente.</t>
  </si>
  <si>
    <t>Francisco Jean Aguiar Fontinele</t>
  </si>
  <si>
    <t>0KJW704U</t>
  </si>
  <si>
    <t>Exercer a atividade de pesca sem licença ou autorização do órgão competente, na embarcação denominada Monte das Oliveiras número de inscrição 241-222270-3 Cap. dos Portos/AL.
Auto de Infração lavrado em substituição ao Auto de Infração 9055921-E, conforme</t>
  </si>
  <si>
    <t>Piaçabuçu</t>
  </si>
  <si>
    <t>Josenildo Rodrigues dos Santos</t>
  </si>
  <si>
    <t>Conforme coordenada geográfica informada</t>
  </si>
  <si>
    <t>77ZRSQPO</t>
  </si>
  <si>
    <t>PRESTAR INFORMAÇÃO FALSA EM SISTEMA OFICIAL DE CONTROLE QUANDO FORAM INFORMADOS OS DADOS DO ENDEREÇO DA SEDE DA EMPRESA RN SERVICE LTDA CNPJ: 05.577.075/0001-53 E PÁTIO, QUE NÃO EXISTEM JUNTO AOS SISTEMAS DOF E SICAFI/CTF, TRATANDO-SE DE EMPRESA DE FACHAD</t>
  </si>
  <si>
    <t>CARLA KARINA DE MACEDO BEZERRA</t>
  </si>
  <si>
    <t>SUPES RN</t>
  </si>
  <si>
    <t>LRRBS0MI</t>
  </si>
  <si>
    <t>PRESTAR INFORMAÇÃO FALSA EM SISTEMA OFICIAL DE CONTROLE QUANDO FORAM INFORMADOS OS DADOS DO ENDEREÇO DA SEDE DA EMPRESA L C D SILVA CNPJ: 21033491/0001-47 E PÁTIO, QUE NÃO EXISTEM JUNTO AOS SISTEMAS DOF E SICAFI/CTF TRATANDO-SE DE EMPRESA DE FACHADA CONFO</t>
  </si>
  <si>
    <t>LUANA CRISTINA DANTAS DA SILVA</t>
  </si>
  <si>
    <t>MHHGH767</t>
  </si>
  <si>
    <t>Descartar de forma irregular produto tóxico perigoso à saúde humana e ao meio ambiente.</t>
  </si>
  <si>
    <t>Guarapuava</t>
  </si>
  <si>
    <t>Cristiano Preissler</t>
  </si>
  <si>
    <t>Posse rural denominada Faxinal do Rio das Pedras, Localidade do Faxinal dos Elias. Distrito de Guará</t>
  </si>
  <si>
    <t>CKRJULT0</t>
  </si>
  <si>
    <t>Destruir, a corte raso, 12,075 hectares de vegetação nativa, do tipo floresta, do Bioma Amazônico,objeto de especial preservação sem Autorização da autoridade ambiental competente no Rancho Renascer, Lote 87, vicinal 02, PDS Terra Nossa, Novo Progresso- P</t>
  </si>
  <si>
    <t>Andriely Camargo dos Santos</t>
  </si>
  <si>
    <t>Rancho Renascer, Lote 87, vicinal 02, PDS Terra Nossa</t>
  </si>
  <si>
    <t>225, § 4o  Constituição Federal de 1988.</t>
  </si>
  <si>
    <t>UI3KFNXU</t>
  </si>
  <si>
    <t>Importar trinta e cinco ovos de Pterolebias longipinis (killifish), referentes a encomenda  RR297143359PL sem autorização de importação emitida pelo IBAMA.</t>
  </si>
  <si>
    <t>Ulysses Fernandes</t>
  </si>
  <si>
    <t>38 Decreto 6514/2008.</t>
  </si>
  <si>
    <t>TEJIUMZW</t>
  </si>
  <si>
    <t>Deixar de apresentar o relatório trimestral referente a autorização de manejo de Javali no período de 18/01/2018 a 21/08/2019, no sitio Santa Fé localizado na estrada Muriaé/Miraí -MG conforme determina  a IN Ibama 03/2013 em seus artigos 07° e 09°.</t>
  </si>
  <si>
    <t>Muriaé</t>
  </si>
  <si>
    <t>CICLONE RIBEIRO PERBONI</t>
  </si>
  <si>
    <t>Queimada</t>
  </si>
  <si>
    <t>Unidade Técnica de 2° nível em Juiz de Fora MG</t>
  </si>
  <si>
    <t>Q7BNS0FW</t>
  </si>
  <si>
    <t>Ter em depósito 17,639 m³ de madeira serrada sem licença ambiental outorgada pela autoridade competente.</t>
  </si>
  <si>
    <t>Antônio Moacir Marques de Oliveira</t>
  </si>
  <si>
    <t>BR-343, km 412, São Pedro do Piauí/PI</t>
  </si>
  <si>
    <t>G3WAVZ5H</t>
  </si>
  <si>
    <t>Cortar árvore cuja espécie é especialmente protegida (Bertholletia excelsa- castanheira).</t>
  </si>
  <si>
    <t>Nova Califórnia.</t>
  </si>
  <si>
    <t>WKTCB9YO</t>
  </si>
  <si>
    <t>Fazer funcionar atracadouro na margem esquerda do Rio Uruguai, nas coordenadas S 27°21'48.42" e W 054°12'40", sem licença do órgão ambiental competente.</t>
  </si>
  <si>
    <t>Município de Tiradentes do Sul</t>
  </si>
  <si>
    <t>DEA784Y5</t>
  </si>
  <si>
    <t>Deixar de apresentar relatórios nós prazos exigidos pela legislação.
Anos: (2016/2015, 2019/2018)</t>
  </si>
  <si>
    <t>Patos</t>
  </si>
  <si>
    <t>SANTORRES COMERCIO S/A</t>
  </si>
  <si>
    <t>BR 230, Km. 293</t>
  </si>
  <si>
    <t>70 1º Lei 9605; 72 Lei 9605; 3º II Decreto 6514; 3º IX Decreto 6514.</t>
  </si>
  <si>
    <t>81, - Decreto Federal 6.514-08.</t>
  </si>
  <si>
    <t>8W89VQFZ</t>
  </si>
  <si>
    <t>Praticar ato de abuso e maus-tratos a um espécime da fauna silvestre exótica (envio de uma serpente 'corn snake' via Correios).</t>
  </si>
  <si>
    <t>Bruno Henrique Dias da Silva</t>
  </si>
  <si>
    <t>Centro de Tratamento de Cartas e Encomendas dos Correios</t>
  </si>
  <si>
    <t>26PLME23</t>
  </si>
  <si>
    <t>utilizar a licença (CTF xxx) de criador amadorista de passeriforme em desacordo com a obtida, uma vez que constava em sua relação de passeriforme, plantel, oito (08) pássaros da espécie Saltador similis, trinca-ferro, e em sua residência no ato da açã</t>
  </si>
  <si>
    <t>WELLINGTON CARLOS DE ARAUJO SILVA</t>
  </si>
  <si>
    <t>UT Juiz de Fora MG</t>
  </si>
  <si>
    <t>24 Inc. 1,3, § 6 Decreto 6514/2008.</t>
  </si>
  <si>
    <t>0NS5AFYD</t>
  </si>
  <si>
    <t>Deixar de apresentar informações ambientais no prazo determinado pela autoridade ambiental.
Referente ao não atendimento do conteúdo da Notificação H07QXLK1 recebida em 10.01.2021, com prazo de 4 dias porém, sem atendimento até a presente data.</t>
  </si>
  <si>
    <t>Pamela Itamara Nespoli</t>
  </si>
  <si>
    <t>Rua Helena Aparecida Ridão, 63
Gleba Jacutinga
Londrina PR
CEP 86073-00
Próximo Polo de combustíveis</t>
  </si>
  <si>
    <t>U5XGSHBD</t>
  </si>
  <si>
    <t>Destruir por corte raso fração de hectare de mata ciliar da margem esquerda do Rio Uruguai, Bioma Mata Atlântica, em estágio avançado de regeneração, objeto de especial preservação, nas coordenadas S 27°21'49.68" e W 054°12'37.57", para instalação de atra</t>
  </si>
  <si>
    <t>AC42PM8S</t>
  </si>
  <si>
    <t>Destruir, a corte raso, 133,784 hectares de vegetação nativa do tipo floresta  do Bioma Amazônico, objeto de especial preservação sem Autorização da autoridade ambiental competente  no interior do PDS Terra Nossa, vicinal 02, 326, Novo Progresso - PA
coor</t>
  </si>
  <si>
    <t>EUCLIDES FREESE</t>
  </si>
  <si>
    <t>PDS Terra Nossa, 326,vicinal 2, Novo Progresso - PA</t>
  </si>
  <si>
    <t>225, § 4o Constituição Federal de 1988.</t>
  </si>
  <si>
    <t>DT4C6FFZ</t>
  </si>
  <si>
    <t>DEIXAR DE APRESENTAR RELATÓRIOS DE ATIVIDADE POTENCIALMENTE POLUIDORA REFERENTE AOS EXERCÍCIOS 2015/2014, 2016/2015, 2017/2016, 2018/2017 E 2019/2018, NO PRAZO EXIGIDO PELA LEGISLAÇÃO</t>
  </si>
  <si>
    <t>Q G INSTALAÇÕES E REFRIGERAÇÃO LTDA</t>
  </si>
  <si>
    <t>Q. G. INSTALAÇÕES E REFRIGERAÇÃO</t>
  </si>
  <si>
    <t>OQC6LO6Q</t>
  </si>
  <si>
    <t>DEIXAR DE APRESENTAR RELATÓRIOS DE ATIVIDADE POTENCIALMENTE POLUIDORA REFERENTE AOS EXERCÍCIOS 2015/2014, 2016/2015, 2017/2016 E 2018/2017, NO PRAZO EXIGIDO PELA LEGISLAÇÃO.</t>
  </si>
  <si>
    <t>Francisco Macedo</t>
  </si>
  <si>
    <t>EZEQUIAS DE CARVALHO COELHO - EPP</t>
  </si>
  <si>
    <t>EZEQUIAS DE CARVALHO MOREIRA</t>
  </si>
  <si>
    <t>E1WOU41J</t>
  </si>
  <si>
    <t>DEIXAR DE APRESENTAR RELATÓRIO DE ATIVIDADE POTENCIALMENTE POLUIDORA REFERENTE AO EXERCÍCIO 2019/2018, NO PRAZO EXIGIDO PELA LEGISLAÇÃO</t>
  </si>
  <si>
    <t>CONCREMAX EMPREENDIMENTOS IMOBILIARIOS LTDA</t>
  </si>
  <si>
    <t>KE9OZM1E</t>
  </si>
  <si>
    <t>Rio Grande do Piauí</t>
  </si>
  <si>
    <t>POSTO MAXX 6 RIO GRANDE LTDA ME</t>
  </si>
  <si>
    <t>POSTO MAXX 6 RIO GRANDE LTDA</t>
  </si>
  <si>
    <t>RGN41HMA</t>
  </si>
  <si>
    <t>DEIXAR DE APRESENTAR RELATÓRIOS DE ATIVIDADE POTENCIALMENTE POLUIDORA REFERENTE AOS EXERCÍCIOS 2015/2014, 2016/2015, 2017/2016, 2018/2017 E 2019/2108, NO PRAZO EXIGIDO PELA LEGISLAÇÃO</t>
  </si>
  <si>
    <t>Juazeiro do Piauí</t>
  </si>
  <si>
    <t>M. M. SOARES COMERCIO</t>
  </si>
  <si>
    <t>M. M. SOARES COMÉRCIO</t>
  </si>
  <si>
    <t>4X1WVD72</t>
  </si>
  <si>
    <t>Coronel José Dias</t>
  </si>
  <si>
    <t>CERAMICA BARREIRO DE BARRO LTDA</t>
  </si>
  <si>
    <t>ALDEMAR DA SILVA COSTA FILHO EIRELI</t>
  </si>
  <si>
    <t>95IE9Z2U</t>
  </si>
  <si>
    <t>Barras</t>
  </si>
  <si>
    <t>MORAIS E MORAIS INDUSTRIA E CERAMICA LTDA - EPP</t>
  </si>
  <si>
    <t>JW8XXBQU</t>
  </si>
  <si>
    <t>Destruir, a corte raso, 17,898 hectares de vegetação do tipo floresta  nativa  do Bioma Amazônico, objeto de especial preservação sem Autorização da autoridade ambiental competente  no Sitio  Roma,vicinal 2, PDS Terra Nossa, Novo Progresso- PA. 
ID 68, Al</t>
  </si>
  <si>
    <t>Alexsandro Souza Freese</t>
  </si>
  <si>
    <t>Sitio Roma, vicinal 2, PDS Terra Nossa</t>
  </si>
  <si>
    <t>225, § 4o Constituição Federal de  1988.</t>
  </si>
  <si>
    <t>LAV7B96K</t>
  </si>
  <si>
    <t>Deixar de atender a condicionantes 2. 2 estabelecida na Licença Ambiental (LO 761/2008) -processo: 02022.007879/2002-68</t>
  </si>
  <si>
    <t>Atividade de Descomissionamento do sist de produção e esc. de Petróleo e Gás Natural Bacia Potiguar.</t>
  </si>
  <si>
    <t>3V8LB508</t>
  </si>
  <si>
    <t>Apresentar informação falsa no sistema oficial de controle (DOF). Conforme descrito em Relatório de Constatação (SEI-xxx).</t>
  </si>
  <si>
    <t>PEROBA MOVEIS LTDA ME</t>
  </si>
  <si>
    <t>Rua Edinei Emídio de Almeida, 1648.
Pq. Industrial.
Cacoal - RO.
76.960.970</t>
  </si>
  <si>
    <t>82, I Dec. 6.514/08.</t>
  </si>
  <si>
    <t>7WDQLYW3</t>
  </si>
  <si>
    <t>Receber 21,0500 m3 de madeira serrada sem licença válida outorgada pela autoridade ambiental competente</t>
  </si>
  <si>
    <t>Depósito de Mat. de Const. Maria de Matos Ltda</t>
  </si>
  <si>
    <t>Av. Pres.Castelo Branco,4798</t>
  </si>
  <si>
    <t>C0IKM4S0</t>
  </si>
  <si>
    <t>Transportar produto tóxico, nocivo à saúde humana e ao meio ambiente, em desacordo com as exigências estabelecidas em leis ou em seus regulamentos: 80 kg de agrotóxicos sem registro no Brasil.</t>
  </si>
  <si>
    <t>Alegrete</t>
  </si>
  <si>
    <t>DANILO DURIGON</t>
  </si>
  <si>
    <t>BR 290 km 271 - Alegrete RS</t>
  </si>
  <si>
    <t>3, Caput Lei 7802/1989.</t>
  </si>
  <si>
    <t>SR2PNEMT</t>
  </si>
  <si>
    <t>Transportar produto tóxico, nocivo à saúde humana e ao meio ambiente, em desacordo com as exigências estabelecidas em leis ou em  seus regulamentos: 80 kg de agrotóxicos sem registro no Brasil.</t>
  </si>
  <si>
    <t>Volnei Schneider Cardoso</t>
  </si>
  <si>
    <t>3, Caput 7802/1989.</t>
  </si>
  <si>
    <t>PQGU5O5V</t>
  </si>
  <si>
    <t>Depósito de Mat. de Const. Maria de Matos Ltda.</t>
  </si>
  <si>
    <t>Av. Pres. Castelo Branco,4798</t>
  </si>
  <si>
    <t>LYSOZKPN</t>
  </si>
  <si>
    <t>Destruir 1.663,815 Hectares de vegetação nativa do bioma Amazônico, objeto de especial preservação, consumado com uso de fogo sem licença da autoridade ambiental competente nos poligonos de coordenadas centrais 09°14'37,3" S 57°11'25,98" W. IDs nºs 20190S</t>
  </si>
  <si>
    <t>Apiacás</t>
  </si>
  <si>
    <t>MAUTRA AGRICOLA E COLONIZAÇÃO S/A</t>
  </si>
  <si>
    <t>Estrada Santa Rosa acesso a estrada paredão.</t>
  </si>
  <si>
    <t>DES GCDA BASE XXVIII</t>
  </si>
  <si>
    <t>50 2º Decreto 6514; 60 I Decreto 6514; 70 1º Lei 9605; 72 Lei 9605; 3º II Decreto 6514; 3º VII Decreto 6514.</t>
  </si>
  <si>
    <t>7G4AJETZ</t>
  </si>
  <si>
    <t>Receber 97,0507 m3 de madeira sem licença outorga pela autoridade ambiental competente.</t>
  </si>
  <si>
    <t>Depósito Comercial de Mat. de Construção Ltda</t>
  </si>
  <si>
    <t>Av. Chanceler Edson Queiroz,3235</t>
  </si>
  <si>
    <t>ICHP0RNT</t>
  </si>
  <si>
    <t>ROMÃO &amp; CIA LTDA</t>
  </si>
  <si>
    <t>LOZDA7XF</t>
  </si>
  <si>
    <t>Deixar de atender a exigências legais ou regulamentares quando devidamente notificado pela autoridade ambiental competente no prazo concedido (notificação n° 1/2018-DITEC-RS/SUPES-RS, reiterada pela notificação 90/2020-DITEC-RS/SUPES-RS), visando à adoção</t>
  </si>
  <si>
    <t>Augusto Pestana</t>
  </si>
  <si>
    <t>COTRIPAL AGROPECUÁRIA COOPERATIVA</t>
  </si>
  <si>
    <t>Estrada RS-522, km 18, Ijuizinho, Augusto Pestana/RS</t>
  </si>
  <si>
    <t>Z1MN4W5N</t>
  </si>
  <si>
    <t>"Efetuar a Plataforma com suas instalações de apoio o descarte contínuo  de água de processo ou produção  (TOG) em desacordo com os procedimentos aprovados pela autoridade marítima ". Obs: Plataforma P-55 da Petrobrás  com identificação/inspeção de feição</t>
  </si>
  <si>
    <t>Plataforma de Exploração de Petróleo da Petrobras P-55, Bacia Sedimentar de Campos, Bloco/Campo Ronc</t>
  </si>
  <si>
    <t>08ALINLV</t>
  </si>
  <si>
    <t>Daniel Durigon</t>
  </si>
  <si>
    <t>BR 290 km 271 - Alegrete</t>
  </si>
  <si>
    <t>3,  caput Lei 7802/1989.</t>
  </si>
  <si>
    <t>6RW40TJW</t>
  </si>
  <si>
    <t>Desmatar 19,514 hectares de floresta nativa em área de reserva legal, sem autorização prévia do órgão ambiental competente. Obs: Este auto substitui o auto de infração 9115492-E conforme Decisão Interlocutoria n xxx.</t>
  </si>
  <si>
    <t>ADEMILSON SOUZA CHAVES</t>
  </si>
  <si>
    <t>7ZOEKQR6</t>
  </si>
  <si>
    <t>Transportar aproximadamente 500 kgs (quinhentos quilos) de pescado já beneficiado  em filés e fracionados em tablets congelados de 01 (um) kg no veículo SpaceFox de placa ITF5849 conforme descrito no AUTO DE CONSTATAÇÃO DE OCORRÊNCIA AMBIENTAL N° xxx</t>
  </si>
  <si>
    <t>FABIANO ANGÉLICO MARQUES</t>
  </si>
  <si>
    <t>Travessia da Balsa Rio Grande - São José do Norte/RS</t>
  </si>
  <si>
    <t>35, Parágrafo Único, Inciso IV Decreto 6514/2008; 1°, Caput INI MPA/MAPA 04/2014.</t>
  </si>
  <si>
    <t>FS8JMIZD</t>
  </si>
  <si>
    <t>Exercer a pesca em desacordo com a licença obtida.</t>
  </si>
  <si>
    <t>ADÉRCIO DA SILVA</t>
  </si>
  <si>
    <t>ADM</t>
  </si>
  <si>
    <t>37 Decreto 6514; 70 1º Lei 9605; 72 Lei 9605; 3º I Decreto 6514.</t>
  </si>
  <si>
    <t>QP6F3M7R</t>
  </si>
  <si>
    <t>Destruir a corte raso 5,39ha de floresta nativa, objeto de especial preservação, sem autorização da autoridade Ambiental competente no Sítio Cajueiro, ID 154292.</t>
  </si>
  <si>
    <t>RAIMUNDO BARROS CARDOSO</t>
  </si>
  <si>
    <t>BR 163, KM 1009, VC TERRA NOSSA, S/N, VICINAL DOIS, LOTE 77, VILA TERRA NOSSA QQ1</t>
  </si>
  <si>
    <t>57B0RHSA</t>
  </si>
  <si>
    <t>Deixar de apresentar Relatório de Atividades Potencialmente Poluidoras RAPP do ano de 2015, no prazo exigido por lei.</t>
  </si>
  <si>
    <t>BLUMIMPEX COMÉRCIO INTERNACIONAL LTDA</t>
  </si>
  <si>
    <t>Rua Conselheiro Mafra, nº 784 - Centro - Cep: 88010-102 - Florianópolis/SC</t>
  </si>
  <si>
    <t>RHROJT6X</t>
  </si>
  <si>
    <t>Descumprir embargo de atividade/obra, conforme termo de embargo lavrado e entregue a representante da empresa.</t>
  </si>
  <si>
    <t>Trairi</t>
  </si>
  <si>
    <t>Jambo Indústria Comércio e Exportação LTDA</t>
  </si>
  <si>
    <t>Fazenda Jambo, Distrito Jandaíra - Córrego dos Pires</t>
  </si>
  <si>
    <t>LJSSB8LK</t>
  </si>
  <si>
    <t>Realizar ampliação de projeto de piscicultura, viveiros para tilápia, sem licença do órgão ambiental competente.</t>
  </si>
  <si>
    <t>JAMBO INDÚSTRIA COMÉRCIO E EXPORTAÇÃO LTDA</t>
  </si>
  <si>
    <t>Fazenda Jambo - Distrito Jandaíra - Córrego dos Pires</t>
  </si>
  <si>
    <t>KJMMAHSX</t>
  </si>
  <si>
    <t>Transportar 15,939 m³ de madeira em tora de pau darco ou ipê sem licença ambiental outorgada pela autoridade competente.</t>
  </si>
  <si>
    <t>Pastos Bons</t>
  </si>
  <si>
    <t>FAUSTINO XAVIER DE LIMA</t>
  </si>
  <si>
    <t>BR-230, Povoado Orozimbo, Município de Pastos Bons/MA</t>
  </si>
  <si>
    <t>ENKHXBQ3</t>
  </si>
  <si>
    <t>TRANSPORTAR NOS VEÍCULOS PLACAS MCW-6586-PE (TRATOR) E OUL-2340-CE (CARRETA), 33,7563m3 (METROS CÚBICOS) DE MADEIRA SERRADA DE PERFIS E ESSÊNCIAS DIVERSAS, SEM LICENÇA VÁLIDA PARA TODO O TEMPO DA VIAGEM, OUTORGADA PELA AUTORIDADE COMPETENTE.</t>
  </si>
  <si>
    <t>Balsas</t>
  </si>
  <si>
    <t>SAMUEL DA SILVA SANTOS</t>
  </si>
  <si>
    <t>DELEGACIA 05 DA PRF EM BALSAS/MA</t>
  </si>
  <si>
    <t>47, 1°,2° 6.514/2008.</t>
  </si>
  <si>
    <t>8OV0OH4G</t>
  </si>
  <si>
    <t>TER EM DEPOSITO NO PATIO DA EMPRESA 36,0591 M3 DE MADEIRA EM TORA DE DIVERSAS ESSENCIAS, CONFORME LEVANTAMENTO DE PRODUTO FLORESTAL EM ANEXO.</t>
  </si>
  <si>
    <t>GUARANTÃ IND E COM DE MADEIRAS IMP E EXP EIRELI</t>
  </si>
  <si>
    <t>Avenida Celestino coogo, s/n, DISTRITO VISTA ALEGRE DO ABUNÃ, PORTO VELHO/RO</t>
  </si>
  <si>
    <t>T6ORH9FT</t>
  </si>
  <si>
    <t>DIFICULTAR AÇÃO FISCALIZATORIA, OCULTANDO 23 TORAS DOS FISCAIS QUE ESTAVAM FISCALIZANDO O PATIO DA EMPRESA "GUARANTA MADEIRAS" (CNPJ: 31.973.780/0001-80.</t>
  </si>
  <si>
    <t>angela roberta tauffer</t>
  </si>
  <si>
    <t>DISTRITO VISTA ALEGRE DO ABUNÃ</t>
  </si>
  <si>
    <t>DIKKNLER</t>
  </si>
  <si>
    <t>Omitir informações no sistema oficial de controle (não manter atualizado o saldo no sistema DOF).</t>
  </si>
  <si>
    <t>Atibaia</t>
  </si>
  <si>
    <t>COMERCIAL VIA NORTE LTDA - EPP</t>
  </si>
  <si>
    <t>Comercial Via Norte Ltda - EPP, Rua Jerônimo de Carvalho, 4849, Alvinópolis, Atibaia - SP</t>
  </si>
  <si>
    <t>8CE68LWE</t>
  </si>
  <si>
    <t>Fazer funcionar projeto de piscicultura em tanques cavados, de 13 (treze) viveiros, sem o devido licenciamento ambiental (licença de operação).</t>
  </si>
  <si>
    <t>Distrito de Jandaíra, Córrego dos Pires, S/nº, zona rural, Trairí, CE</t>
  </si>
  <si>
    <t>3º, 66, II, VII Decreto Federal nº 6.514/2008.</t>
  </si>
  <si>
    <t>4U2HZAH1</t>
  </si>
  <si>
    <t>Desmatar, a corte raso, 6,89 hectares de vegetação nativa, sem a devida autorização ambiental.
A infração foi consumada mediante uso de fogo.</t>
  </si>
  <si>
    <t>antonio edevan azevedo de araujo</t>
  </si>
  <si>
    <t>assentamento milagres</t>
  </si>
  <si>
    <t>art. 60, I decreto 6514/08.</t>
  </si>
  <si>
    <t>CKJZ93XV</t>
  </si>
  <si>
    <t>Receber 33,0000 m3 de madeira serrada sem licença válida outorgada pela autoridade ambiental competente.</t>
  </si>
  <si>
    <t>Frota Locações e Empreendimentos Ltda</t>
  </si>
  <si>
    <t>R. Messias Aguiar,30 Mun. Tinguá CE</t>
  </si>
  <si>
    <t>6R39ZK7Q</t>
  </si>
  <si>
    <t>ATACADÃO MADEIRAS LTDA -ME</t>
  </si>
  <si>
    <t>R. Rod India de Souza, 3536.
Village do Sol.
Cacoal-RO.
CEP-76.964.378.</t>
  </si>
  <si>
    <t>UITUY4P8</t>
  </si>
  <si>
    <t>Destruir 264,46 Hectares de floresta nativa do bioma amazônico, na propriedade rural denominada Fazenda Recanto, sem autorização do órgão ambiental competente.</t>
  </si>
  <si>
    <t>Leoni Zaiaz</t>
  </si>
  <si>
    <t>Fazenda Recanto. Linha 42, Gleba Roosevelt, área Rural de Colniza.</t>
  </si>
  <si>
    <t>S1UGD2L9</t>
  </si>
  <si>
    <t>Apresentar informação falsa no sistema oficial de controle DOF referente ao procedimento administrativo de recebimento de 03 (três) documentos florestais ideologicamente falsos (resíduos para aproveitamento industrial e ripas curtas, ano 2019).</t>
  </si>
  <si>
    <t>C AZEVEDO COMERCIO DE MADEIRA EIRELI</t>
  </si>
  <si>
    <t>Avenida Poty velho</t>
  </si>
  <si>
    <t>XQY454DJ</t>
  </si>
  <si>
    <t>Efetuar através da Plataforma PPG-1, em 21/03/19, sob responsabilidade da Petrobras SA, o descarte continuo de água de produção em desacordo com a regulamentação ambiental específica - Art. 4, Resolução Conama 393 de 2007, gerando feição oleosa de 8,06 km</t>
  </si>
  <si>
    <t>Plataforma de Pargo 1</t>
  </si>
  <si>
    <t>38, Parágra único Decreto Federal 4.136/2002.</t>
  </si>
  <si>
    <t>0H47GM7I</t>
  </si>
  <si>
    <t>Utilizar Espécime da Fauna Silvestre Nativa, em desacordo com licença obtida. No caso, o criador movimentou a ave de anilha Ibama 04/05 2,4 043260 fora do sistema próprio -SisPass</t>
  </si>
  <si>
    <t>Alexandre Bertolazzi. Utilizar espécime da fauna Silvestre nativa. Processo 02285.000 046/2021-48.</t>
  </si>
  <si>
    <t>SJKSS619</t>
  </si>
  <si>
    <t>DEIXOU DE ATENDER A NOTIFICACAO ADMINISTRATIVA CONSTANTE NO OFICIO N 953/2020/DITEC PROCEDDO 02029.000562/2020-13</t>
  </si>
  <si>
    <t>DISTRIBUIDORA DE GAS LARANJEIRAS EIRELI ME</t>
  </si>
  <si>
    <t>AV FAS BEGONIAS SN QD 11 LT 16. SETOR SONIA REGINA - TAQUARALTO  - PALMAS TO</t>
  </si>
  <si>
    <t>9VY3KW5M</t>
  </si>
  <si>
    <t>Transportar produtos perigosos em desacordo com as exigências estabelecidas em leis.</t>
  </si>
  <si>
    <t>Isabel Nunes Cavalcanti - ME</t>
  </si>
  <si>
    <t>Rua: Primeiro de Outubro, n. 300 Várzea Nova</t>
  </si>
  <si>
    <t>94FW21X7</t>
  </si>
  <si>
    <t>Transportar 19,52 m3 de madeira serrada da essência angelim e de perfis diversos, sem licença válida para todo o tempo da viagem, outorgada pela autoridade competente.</t>
  </si>
  <si>
    <t>JOSÉ DE ASSIS NETO</t>
  </si>
  <si>
    <t>Posto PRF de Balsas Delegacia 05</t>
  </si>
  <si>
    <t>0OQMRS6N</t>
  </si>
  <si>
    <t>Deixar de apresentar relatórios ambientais no prazo exigido pela legislação. Auto de infração lavrado em conformidade com determinação DITEC/SUPES/TO (9291798) e solicitação NQA/SUPES/TO (9001014). Segue anexo relatório de fiscalização.</t>
  </si>
  <si>
    <t>ALMIR BATISTA SILVA AMARAL (SILVOGAS)</t>
  </si>
  <si>
    <t>Avenida JK, s/n, Qd. 2, Lt 7, Combinado-TO.</t>
  </si>
  <si>
    <t>N1JPKTWG</t>
  </si>
  <si>
    <t>DEIXAR DE ATENDER À EXIGÊNCIAS LEGAIS, QUANDO DEVIDAMENTE NOTIFICADO PELA AUTORIDADE AMBIENTAL COMPETENTE (NOTIFICAÇÕES IBAMA N¿s 692957-E e 718913-E), PARA ADOÇÃO DE MEDIDAS DE CONTRÔLE PARA CESSAR A DEGRADAÇÃO AMBIENTAL, PARA REMOVER POR COMPLETO, A ART</t>
  </si>
  <si>
    <t>Passo de Camaragibe</t>
  </si>
  <si>
    <t>APA Costa dos Corais</t>
  </si>
  <si>
    <t>JOSÉ RIVALDO LIMA ALBUQUERQUE</t>
  </si>
  <si>
    <t>Mar Territorial em Frente à Praia da Barra do Rio Camaragibe - Passo de Camaragibe - AL.</t>
  </si>
  <si>
    <t>N19N897S</t>
  </si>
  <si>
    <t>DESCUMPRIR EMBARGO APLICADO, CONFORME TERMO DE EMBARGO Nº 758749-E, CONSIDERANDO A ATIVIDADE DE PESCA (CURRAL DE PESCA) NÃO PERMITIDA, CONSTATADO NA VISTORIA DE xxx.
(Conf. conteúdo do Proc. 02003.002076/2018-11)</t>
  </si>
  <si>
    <t>Mar Territorial em Frente à Praia da Barra do Rio Camaragibe - Passo de Camaragibe -AL.</t>
  </si>
  <si>
    <t>EI7V3YNX</t>
  </si>
  <si>
    <t>DESCUMPRIR EMBARGO APLICADO, CONFORME TERMO DE EMBARGO N¿ 758749-E, CONSIDERANDO A ATIVIDADE DE PESCA (CURRAL DE PESCA) NÃO PERMITIDA, CONSTATADO NA VISTORIA DE xxx.
(Conf. conteúdo do Proc. 02003.002076/2018-11).</t>
  </si>
  <si>
    <t>Mar Territorial em Frente à Praia da Barra do Rio Camaragibe - Passo de Camaragibe-AL.</t>
  </si>
  <si>
    <t>WOQC7FUP</t>
  </si>
  <si>
    <t>Ter em depósito 7,85m3 de Bertolethia excelsa  (castanheira) em toras, espécie proibida de exploração, no pátio da empresa.</t>
  </si>
  <si>
    <t>MADENOBRE INDUSTRIA E COMERCIO DE MADEIRAS EIRELI ME</t>
  </si>
  <si>
    <t>Boa Vista do Abunã</t>
  </si>
  <si>
    <t>47 § 1 Decreto 6514/2008; 44 Decreto 6514/2008.</t>
  </si>
  <si>
    <t>29, . Decreto 5976 2006.</t>
  </si>
  <si>
    <t>ST40MBFX</t>
  </si>
  <si>
    <t>Dificultar a ação do Poder Público no exercício de atividade de fiscalização ambiental.</t>
  </si>
  <si>
    <t>NEY CAPELASO</t>
  </si>
  <si>
    <t>dist. Boa Vista do Abunã.</t>
  </si>
  <si>
    <t>DYUZ0ICO</t>
  </si>
  <si>
    <t>Destruir, consumando com o uso do fogo, 54 hectares de
vegetação sem licença dos órgãos ambientais competentes</t>
  </si>
  <si>
    <t>Linha da União, km 9</t>
  </si>
  <si>
    <t>50 Decreto 6514; 60 I Decreto 6514; 70 1º Lei 9605; 72 Lei 9605; 3º II Decreto 6514; 3º VII Decreto 6514.</t>
  </si>
  <si>
    <t>YZPY7GW6</t>
  </si>
  <si>
    <t>J. F. DE BRITO NETO - ME</t>
  </si>
  <si>
    <t>O29MU421</t>
  </si>
  <si>
    <t>Destruir 43,15 hectares de vegetação nativa (floresta secundária em estágio médio de regeneração), objeto de especial preservação, não passível de autorização de supressão, consumada mediante uso do fogo e atingindo espécies ameaçadas de extinção (Araucár</t>
  </si>
  <si>
    <t>Posse rural denominada Faxinal do Rio das Pedras, localidade de Faxinal dos Elias. Distrito de Guará</t>
  </si>
  <si>
    <t>49 Decreto 6514/2008; 60 Inc. 2 Decreto 6514/2008.</t>
  </si>
  <si>
    <t>QU3ZVG2W</t>
  </si>
  <si>
    <t>Apresentar informação falsa  no sistema oficial de controle do DF, com recebimento de créditos  indevidos de madeiras, conforme processo investigatorio  02024000185/2020-42 e relatório de constatação  xxx</t>
  </si>
  <si>
    <t>Av Nações Unidas, 1910</t>
  </si>
  <si>
    <t>., . in conjunta 02/2020.</t>
  </si>
  <si>
    <t>0CTQFPI3</t>
  </si>
  <si>
    <t>Deixar de atender a exigência legal quando devidamente notificado (8357890). Auto de infração lavrado em conformidade com determinação DITEC/SUPES/TO (9291798) e solicitação NQA/SUPES/TO (9001014). Segue anexo relatório de fiscalização.</t>
  </si>
  <si>
    <t>Avenida JK, S/N, Qd.02, Lt. 07.</t>
  </si>
  <si>
    <t>W6Y5CUBT</t>
  </si>
  <si>
    <t>Descumprir o embargo TEI 21564/E de 05/01/2017 ao manter a área de embargo com atividade agropecuária, pastagem cultivada e criação de bovinos.</t>
  </si>
  <si>
    <t>Posse rural denominada Faxinal do Rio das Pedras, localidade de Faxinal dos Elias.</t>
  </si>
  <si>
    <t>OFC3J70Z</t>
  </si>
  <si>
    <t>Apresentar  informação falsa no sistema oficial de controle do DF, com recebimento de créditos indevidos  de madeiras, conforme  processo investigatorio 02024000185/2020-42 e relatório de  constatação  xxx</t>
  </si>
  <si>
    <t>V. F. DE SOUZA MADEIRAS EIRELI</t>
  </si>
  <si>
    <t>Estrada da Figueira km 01</t>
  </si>
  <si>
    <t>AF24HQBJ</t>
  </si>
  <si>
    <t>DEIXAR DE APRESENTAR RELATÓRIOS AMBIENTAIS NOS PRAZOS EXIGIDOS PELA LEGISLAÇÃO (Lei 6938/81 Art. 17- C e Lei10.165/2000) OU, NAQUELE DETERMINADO PELA AUTORIDADE AMBIENTAL, NOS ANOS: 2017/2014, 2016/2015, 2017/2016, 2018/2017, 2019/2018.</t>
  </si>
  <si>
    <t>Santa Luz</t>
  </si>
  <si>
    <t>CERAMICA CAJAZEIRA LTDA</t>
  </si>
  <si>
    <t>COM. CAJAZEIRA S/N ZONA RURAL
64.910-000 SANTA LUZ - PIAUÍ</t>
  </si>
  <si>
    <t>SCD16A11</t>
  </si>
  <si>
    <t>Fazer uso de fogo de fogo em área agropastoril de 1.11ha em período proibitivo sem autorização do órgão competente. conforme processo n°02007003055/2020-99</t>
  </si>
  <si>
    <t>Cariré</t>
  </si>
  <si>
    <t>Arnaldo Martins Gonçalves</t>
  </si>
  <si>
    <t>localidade de Daniel</t>
  </si>
  <si>
    <t>INT ROTINA BIODIVERSIDADE</t>
  </si>
  <si>
    <t>58 Decreto 6514; 70 1º Lei 9605; 72 Lei 9605; 3º II Decreto 6514.</t>
  </si>
  <si>
    <t>UXRVOJ7T</t>
  </si>
  <si>
    <t>Fazer uso de fogo em área agropastoril de 1.32ha em período proibitivo sem autorização do órgão competente. Conforme processo 02007.003054/2020-44</t>
  </si>
  <si>
    <t>Expedito José Cavalcante Melo</t>
  </si>
  <si>
    <t>localidade de Daniel.</t>
  </si>
  <si>
    <t>CZJGKJDW</t>
  </si>
  <si>
    <t>Transportar 9 espécimes da fauna silvestre brasileira, sendo 7 tracajá e 2 capivaras, sem autorização da autoridade ambiental competente.</t>
  </si>
  <si>
    <t>Prainha</t>
  </si>
  <si>
    <t>Raimundo Ferreira Moura</t>
  </si>
  <si>
    <t>Rio Uruará-PA</t>
  </si>
  <si>
    <t>DEF RIOS FEDERAIS STM</t>
  </si>
  <si>
    <t>GC1WOIRR</t>
  </si>
  <si>
    <t>Descumprir o embargo de atividades da MARINA FORNO DO CAL conforme Termo número 623477-C de 10/11/2012</t>
  </si>
  <si>
    <t>Ilha de Itamaracá</t>
  </si>
  <si>
    <t>JOSÉ DE LIMA BARROS ME</t>
  </si>
  <si>
    <t>MARINA FORNO DO CAL</t>
  </si>
  <si>
    <t>ATIAJALQ</t>
  </si>
  <si>
    <t>Desmatar 47,885 há a corte raso floresta nativa objeto de especial preservação, Amazônia legal em desacordo com autorização.n. xxx.</t>
  </si>
  <si>
    <t>Iracema</t>
  </si>
  <si>
    <t>josé Hamilton Batista</t>
  </si>
  <si>
    <t>Fazenda Rio Jaguaribi Vicinal 02 Ajarani</t>
  </si>
  <si>
    <t>AMAZONIA VERDE I</t>
  </si>
  <si>
    <t>EQAL17KP</t>
  </si>
  <si>
    <t>DEIXAR DE APRESENTAR RELATÓRIOS AMBIENTAIS NOS PRAZOS EXIGIDOS PELA LEGISLAÇÃO (Lei 6938/81 Art. 17-C e Lei 10.165/2000) OU, NAQUELE DETERMINADO PELA AUTORIDADE AMBIENTAL, NOS ANOS: 2018/201 e 2019/2018.</t>
  </si>
  <si>
    <t>PIRES &amp; SILVA LTDA - ME</t>
  </si>
  <si>
    <t>RUA JAIME DA SILVEIRA N° 864
BAIRRO SÃO CRISTOVÃO
64.056-330 - TERESINA PIAUÍ</t>
  </si>
  <si>
    <t>8QV3A2IM</t>
  </si>
  <si>
    <t>Destruir, a corte raso 19,34 hectares de vegetação nativa do Bioma Amazônico, objeto de especial preservação, sem Autorização da Autoridade Ambiental competente  no Sitio Nossa Senhora de  Fátima, PDS Terra Nossa, Novo Progresso- PA. 
ID79 . 123206</t>
  </si>
  <si>
    <t>Leonidas Ferreira da Silva</t>
  </si>
  <si>
    <t>Sitio Nossa Senhora de Fátima, vicinal 04, PDS Terra Nossa.</t>
  </si>
  <si>
    <t>HCA0APLT</t>
  </si>
  <si>
    <t>DEIXAR DE APRESENTAR RELATÓRIOS NOS PRAZOS EXIGIDOS PELA LEGISLAÇÃO DA LEI 10.165/2000, REFERENTE AOS ANOS DE 2015/2014; 2016/2015! 2017/2016; 2018/2017 e 2019/2018, NÃO FORAM ENTREGUES CONFORME CONSULTA IMPEDITIVOS SEI xxx.</t>
  </si>
  <si>
    <t>W.L.DIAS SOARES - ME</t>
  </si>
  <si>
    <t>RUA, PROF. MADEIRA, N° 1301, BAIRRO HORTO FLORESTAL, CEP: 64.460-000, ÁGUA BRANCA/PI, OBS-ESSAS COOR</t>
  </si>
  <si>
    <t>V5NM3EEP</t>
  </si>
  <si>
    <t>PRESTAR INFORMAÇÃO FALSA EM SISTEMA OFICIAL DE CONTROLE QUANDO FORAM INFORMADOS OS DADOS DO ENDEREÇO DA SEDE DA EMPRESA CNPJ: 21.072617/0001-92 ADRIANO DA SILVA VIEIRA E PÁTIO, QUE NÃO EXISTEM, JUNTO AO SISTEMA DOF E SICAFI/ CTF, TRATANDO-SE DE EMPRESA DE</t>
  </si>
  <si>
    <t>ADRIANO DA SILVA VIEIRA</t>
  </si>
  <si>
    <t>GUYYGN1F</t>
  </si>
  <si>
    <t>Destruir 544 hectares de floresta amazônica nativa objeto de especial preservação sem autorização do órgão ambiental competente na fazenda Walzinho no município de Colniza-MT</t>
  </si>
  <si>
    <t>SIWAL SANT ANA SOARES</t>
  </si>
  <si>
    <t>Fazenda Walzinho</t>
  </si>
  <si>
    <t>WY8O629P</t>
  </si>
  <si>
    <t>Transportar 12,54 metros cúbicos de madeira nativa (5,33 m3 de Dipterix odorata e 7,21 m3 deTabebuia serratifolia) sem licença outorgada pela autoridade competente.</t>
  </si>
  <si>
    <t>Vanderlei Garcia Rodrigues</t>
  </si>
  <si>
    <t>Labrea</t>
  </si>
  <si>
    <t>EYG2GV2J</t>
  </si>
  <si>
    <t>Guardar 7 m3 de madeira serrada da essência acapu sem licença valida outorgada pela autoridade ambiental competente.</t>
  </si>
  <si>
    <t>Josue Imbiriba da Cunha</t>
  </si>
  <si>
    <t>Porto de Santa Maria do Uruará-PA</t>
  </si>
  <si>
    <t>3957CI9K</t>
  </si>
  <si>
    <t>Praticar ato de abuso e maus-tratos a 8 (oito) espécimes da fauna silvestre exótica (envio de oito peixes da espécie Betta splendens via Correios).</t>
  </si>
  <si>
    <t>Flaviano Barbosa Rodrigues</t>
  </si>
  <si>
    <t>Centro de Tratamento de Cartas e Encomendas dos Correios.</t>
  </si>
  <si>
    <t>UUZ2LBOS</t>
  </si>
  <si>
    <t>Fazer funcionar estabelecimento potencialmente poluidor(Madeireira) sem o prévio licenciamento ambiental emitido pelo Órgão Ambiental Competente.</t>
  </si>
  <si>
    <t>Sérgio Murilo de Souza</t>
  </si>
  <si>
    <t>Madeireira BOM PREÇO. Paulista - PE</t>
  </si>
  <si>
    <t>E4OG35GP</t>
  </si>
  <si>
    <t xml:space="preserve">"Efetuar a Plataforma com suas instalações de apoio o descarte contínuo  de água de processo ou produção  (TOG) em desacordo com os procedimentos aprovados pela autoridade marítima ". Obs: Plataforma FPSO Fluminense da Shell com identificação/inspeção de </t>
  </si>
  <si>
    <t>Plataforma de extração de petróleo FPSO Fluminense, Bacia Sedimentar de Campos, Bloco/Campo Bijupirá</t>
  </si>
  <si>
    <t>O9WCDOUF</t>
  </si>
  <si>
    <t>Dificultar a regeneração natural em 6,9 hectares de vegetação nativa do bioma mata atlântica em local cuja regeneração fora indicada pela autoridade ambiental competente no termo de embargo número 815503 série E.</t>
  </si>
  <si>
    <t>Fazenda Conjunto Santana região do córrego dos Pereira Município de Itamaraju-BA.</t>
  </si>
  <si>
    <t>IPTZGH9E</t>
  </si>
  <si>
    <t>TRANSPORTAR 67,153 MT3  DE MADEIRAS SERRADAS DA ESSÊNCIA GOUPIA GLABRA ( CUPIUBA FEDIDA), SEM LICENÇA VÁLIDA OUTORGADA PELA AUTORIDADE COMPETENTE.</t>
  </si>
  <si>
    <t>ABC LOCAÇÃO E TERRAPLANAGEM LTDA</t>
  </si>
  <si>
    <t>Rua das Amoreiras, 1.395, Jardim Celeste
CEP 78556680</t>
  </si>
  <si>
    <t>4UKXR23R</t>
  </si>
  <si>
    <t>Deixar de apresentar relatórios ambientais nos prazos exigidos pela legislação (RAPP 2015/2014, 2016/2015, 2017/2017, 2019/2018).</t>
  </si>
  <si>
    <t>BOTICA FARMACIA DE MANIPULACAO LTDA - ME</t>
  </si>
  <si>
    <t>Av. Presidente Getúlio Vargas 720, Centro, CEP 64.200-200</t>
  </si>
  <si>
    <t>9DF661S6</t>
  </si>
  <si>
    <t>Deixar de apresentar relatório no prazo exigido pela legislação, determinado pela autoridade ambiental, referente ao ano de 2019/2018.</t>
  </si>
  <si>
    <t>Parnaguá</t>
  </si>
  <si>
    <t>ODAIR CARVALHO ROCHA</t>
  </si>
  <si>
    <t>Fazenda Miridan l , s/n_ zona rural</t>
  </si>
  <si>
    <t>58FFRK6Y</t>
  </si>
  <si>
    <t>VENDER 67,153 MT3 DE MADEIRAS SERRADAS DA ESSÊNCIA GOUPIA GLABRA (CUPIUBA FEDIDA),SEM LICENÇA VÁLIDA OUTORGADA PELA AUTORIDADE COMPETENTE.</t>
  </si>
  <si>
    <t>ALEXANDRE P LOUSA JUNIOR ME</t>
  </si>
  <si>
    <t>Rua das Amoreiras,1395, Jardim Celeste</t>
  </si>
  <si>
    <t>CL74AU8Y</t>
  </si>
  <si>
    <t>Fazer uso de fogo agropastoril em 12.04ha em período proibitivo. Sem autorização do órgão ambiental competente  conforme notificação n°M6ZCRJIA constante no processo 02007.002878/2020-05.</t>
  </si>
  <si>
    <t>Frecheirinha</t>
  </si>
  <si>
    <t>Raimundo Miranda Sá</t>
  </si>
  <si>
    <t>Sítio  Pedra d'água.</t>
  </si>
  <si>
    <t>SS7TGZA4</t>
  </si>
  <si>
    <t>RECOMECO IND E COM DE MADEIRAS EIRELI - ME</t>
  </si>
  <si>
    <t>Rod. do Café, LT.23, LH. 09, GL. 09, Km. 09, S/N. 
Zona Rural.</t>
  </si>
  <si>
    <t>U4VMOEVZ</t>
  </si>
  <si>
    <t>Adquirir 8 m3 de madeira serrada da essência ipê, sem exigir a exibição do vendedor outorgada pela autoridade ambiental competente 
A madeira e embarcação utilizada no transporte, já foram apreendidos no procedimento relativo ao auto de infração n QTWKRZ</t>
  </si>
  <si>
    <t>Celso Augusto Conceição Galle</t>
  </si>
  <si>
    <t>Santa Maria do Uruará-PA</t>
  </si>
  <si>
    <t>QTWKRZ7P</t>
  </si>
  <si>
    <t>Transportar 8 m2 de madeira serrada da essência ipê, sem licença valida outorgada pela autoridade ambiental competente.</t>
  </si>
  <si>
    <t>Dalmir Leno  Dias Baars</t>
  </si>
  <si>
    <t>Porto de Santa Maria do Uruará- PA</t>
  </si>
  <si>
    <t>AVZUE9O9</t>
  </si>
  <si>
    <t>Ter em deposito 11,396 m3,  madeira serrada, espécies diversas, de origem vegetal, sem exigir a exibição de licença do vendedor, outorgada pela autoridade competente.</t>
  </si>
  <si>
    <t>Madeireira Bom Preço, Paulista/PE</t>
  </si>
  <si>
    <t>D4GAPF7J</t>
  </si>
  <si>
    <t>Transportar produto perigoso em desacordo com as exigências estabelecidas em leis.</t>
  </si>
  <si>
    <t>ALEXSANDRO SANTOS DA SILVA - EPP</t>
  </si>
  <si>
    <t>Av. Rodrigues Chaves, 121 - Trincheiras</t>
  </si>
  <si>
    <t>S7RPAZPN</t>
  </si>
  <si>
    <t>Efetuar com a instalação Plataforma de Pargo, em 07/03/19, sob responsabilidade da Petobras SA, descarte continuo de agua de produção em desacordo com a regulamentação ambiental especifica - Art 4, Conama 393/2007, gerando feição oleosa de 920m, ultrpassa</t>
  </si>
  <si>
    <t>Plataforma Pargo 1 - PPG1</t>
  </si>
  <si>
    <t>38, Parágrafo único Decreto 4136 de fevereiro de 2002; 38, Parágrafo único Decreto 4.136/2002.</t>
  </si>
  <si>
    <t>029OESDU</t>
  </si>
  <si>
    <t>DEIXOU DE CUMPRIR A NOTIFICACAO ADMINISTRATIVA CONSTANTE NO PROCESSO 02029.10000/2017-94</t>
  </si>
  <si>
    <t>DISTRIBUIDORA DE GAS ROCHA LIMITADA</t>
  </si>
  <si>
    <t>AV GOIAS N 100 CENTRO GURUPI TO</t>
  </si>
  <si>
    <t>0G8YEGQ1</t>
  </si>
  <si>
    <t>Apresentar laudo parcialmente Galdino procedimento administrativo ambiental 02026.002383/2007-72.</t>
  </si>
  <si>
    <t>Curitibanos</t>
  </si>
  <si>
    <t>JACQUES ELIESER RIGHES</t>
  </si>
  <si>
    <t>Escritório profissional</t>
  </si>
  <si>
    <t>RN56ZOWP</t>
  </si>
  <si>
    <t>Vender 44, 948 metros cúbicos de madeira serrada de madeira serrada sem licença válida para todo tempo da viagem.</t>
  </si>
  <si>
    <t>BR 364 Km 192</t>
  </si>
  <si>
    <t>8ULYIH4A</t>
  </si>
  <si>
    <t>Fazer funcionar atividade de madereira sem licença do órgão ambiental competente (licença vencida desde 09/2020).</t>
  </si>
  <si>
    <t>V.M GONCALVES</t>
  </si>
  <si>
    <t>Vista Alegre do Abunã</t>
  </si>
  <si>
    <t>EPKLD5XN</t>
  </si>
  <si>
    <t>Fazer uso de fogo em área agropastoril de 36.40ha. Dentro da poligonal citada no processo 02007.003005/2020-10. Notificação n°BDHYJA.</t>
  </si>
  <si>
    <t>Tianguá</t>
  </si>
  <si>
    <t>Associação de Agricultores de pé de Serra do Acarape</t>
  </si>
  <si>
    <t>Mutuca e Mendonça. Associação de Agricultores de pé de Serra do Acarape</t>
  </si>
  <si>
    <t>UDFDAHKB</t>
  </si>
  <si>
    <t>Realizar operação de comercialização de 14.520 kg de camarão rosa (Farfantepenaeus paulensis) no dia 08/05/2020 com carregamento em Rio Grande/RS, por meio da NFe 000000121 Serie 001 (1), inválida como documento de origem do pescado.</t>
  </si>
  <si>
    <t>NATUBRÁS PESCADOS LTDA</t>
  </si>
  <si>
    <t>Zona Portuaria</t>
  </si>
  <si>
    <t>ST2GR10U</t>
  </si>
  <si>
    <t>Destruir (suprimir)  5,75 hectares de fragmentos de vegetação secundária em estágio inicial de regeneração - Bioma Mata Atlântica, considerada objeto de especial preservação, sem autorização da autoridade ambiental competente, conforme Laudo - ID. 1.787 /</t>
  </si>
  <si>
    <t>Coronel Sapucaia</t>
  </si>
  <si>
    <t>ANDRE KRAIEVSKI</t>
  </si>
  <si>
    <t>Fazenda Santo André</t>
  </si>
  <si>
    <t>UTL9O4S4</t>
  </si>
  <si>
    <t>DEIXAR DE APRESENTAR INFORMAÇÕES AMBIENTAIS, NO PRAZO DETERMINADO PELA AUTORIDADE AMBIENTAL, CONFORME NOTIFICAÇÃO F2317VVN, DE 01/07/2020.</t>
  </si>
  <si>
    <t>Piranga</t>
  </si>
  <si>
    <t>CAROLINA RAMOS DOS SANTOS xxx</t>
  </si>
  <si>
    <t>Sítio Cunha, rodovia MG-482, S/N, distrito Cunha - Piranga/MG</t>
  </si>
  <si>
    <t>16Y22O6S</t>
  </si>
  <si>
    <t>DEIXAR DE APRESENTAR INFORMAÇÕES AMBIENTAIS, NO PRAZO DETERMINADO PELA AUTORIDADE AMBIENTAL, CONFORME NOTIFICAÇÃO D55UMICK, DE 30/06/2020.</t>
  </si>
  <si>
    <t>CARVOARIA BENTO LTDA</t>
  </si>
  <si>
    <t>RUA CESÁRIO ALVIM, 77, DISTRITO DE PINHEIROS ALTOS - PIRANGA/MG</t>
  </si>
  <si>
    <t>WYCE3BHU</t>
  </si>
  <si>
    <t>Comercializar 14.520 kg de camarão rosa (Farfantepenaeus paulensis) no municipio de Rio Grande/RS no dia 08/05/2020, sem origem legal, por meio da NFe 000000121 Série 001 (1), inválida como documento de origem do pescado.</t>
  </si>
  <si>
    <t>ALDENEI COUTINHO MACHADO - MEI</t>
  </si>
  <si>
    <t>7D88XG29</t>
  </si>
  <si>
    <t>Desmatar 7,39 hectares de floresta nativa em área de reserva legal, sem autorização prévia do órgão ambiental competente,conforme despacho 9362076/2021-NMI-RO/DITEC-RO/SUPES-RO , processo 02024.001362/2011-36.</t>
  </si>
  <si>
    <t>SUELI VIANA DOS SANTOS</t>
  </si>
  <si>
    <t>6RJK4REP</t>
  </si>
  <si>
    <t>Destruír 30,03 ha de floresta objeto de especial preservação (Bioma Amazónico), mediante corte das árvores com motosserra e uso de fogo, sem autorização dos órgãos ambientais competentes.</t>
  </si>
  <si>
    <t>Vanderson Pinto Ramos</t>
  </si>
  <si>
    <t>Desmatamento e Queimada</t>
  </si>
  <si>
    <t>PDS Anapu l Linha 2</t>
  </si>
  <si>
    <t>50 Decreto 6514; 60 I Decreto 6514; 60 II Decreto 6514; 70 1º Lei 9605; 72 Lei 9605; 3º II Decreto 6514; 3º VII Decreto 6514.</t>
  </si>
  <si>
    <t>AOQR5Q2P</t>
  </si>
  <si>
    <t>Transportar 14.520 kg de camarão rosa (Farfantepenaeus paulensis) no dia 08/05/2020, na Rodovia RS 101 em Capivari do Sul/RS, com o uso do veiculo Placa QHY 5544, sem origem legal, por meio da NFe 000000121 Serie 001 (1), inválida como documento de origem</t>
  </si>
  <si>
    <t>RS 101</t>
  </si>
  <si>
    <t>K1JAY97T</t>
  </si>
  <si>
    <t>Destruir 49,74 ha de vegetação nativa, objeto de especial preservação (Amazônia Legal), sem autorização do órgão ambiental competente.</t>
  </si>
  <si>
    <t>Florimar de Oliveira Maia</t>
  </si>
  <si>
    <t>PDS Anapu I</t>
  </si>
  <si>
    <t>NNEZBX77</t>
  </si>
  <si>
    <t>Deixar de apresentar relatórios no prazo exigido pela legislação determinado pela autoridade ambiental, referente aos anos de 2015/2014,2016/2015,2017/2016, 2018/2017 e 2019/2018.</t>
  </si>
  <si>
    <t>Francisco Ayres</t>
  </si>
  <si>
    <t>POSTO CENTER LTDA ME</t>
  </si>
  <si>
    <t>Rua José Rodrigues, 10</t>
  </si>
  <si>
    <t>9RH8Q575</t>
  </si>
  <si>
    <t>Destruir, a corte Raso, 25,6 hectares de floresta  nativa, objeto de especial preservação, sem Autorização da autoridade ambiental  competente  no Sitio Pai Me Deu, PDS Terra  Nossa, Novo Progresso- PA. 
ID 154292.</t>
  </si>
  <si>
    <t>Vanda Alves Pires</t>
  </si>
  <si>
    <t>Sitio, Pai Me Deu, PDS Terra Nossa, vicinal 2</t>
  </si>
  <si>
    <t>ADR77GO4</t>
  </si>
  <si>
    <t>DEIXAR DE APRESENTAR RELATÓRIOS NOS PRAZOS EXIGIDOS PELA LEGISLAÇÃO DA LEI 10.165/2000 REFERENTE AO ANO DE 2019/2018, NÃO FOI ENTREGUE, CONFORME CONSULTA IMPEDITIVOS SICAFI SEI xxx.</t>
  </si>
  <si>
    <t>A. COSTA COMERCIO DE GAS LTDA - ME</t>
  </si>
  <si>
    <t>RUA, DUQUE DE CAXIAS, 256, BAIRRO MATADOURO, CEP: 64.325-000, ELESBÃO VELOSO/PI, OBS-ESSAS COORDENAD</t>
  </si>
  <si>
    <t>Q5380CYU</t>
  </si>
  <si>
    <t>Deixar de atender à Notificação de n. XVK08NPP, por meio do uso de fogo em área agrossilvipastoril, durante o período de vigência de Portaria n. 124, de 18.03.2020, que declarou estado de emergência ambiental no estado do Ceará.</t>
  </si>
  <si>
    <t>acendino pessoa do nascimento neto</t>
  </si>
  <si>
    <t>Sitio Tereza, distrito de arajara, barbalha</t>
  </si>
  <si>
    <t>R6E4MWO7</t>
  </si>
  <si>
    <t>TRANSPORTAR NOS VEÍCULO PLACAS NIM-5217-PI ( TRATOR) E MWR-7322-TO ( CARRETA), 57,80M3 ( METROS CÚBICOS ) DE MADEIRA SERRADA ( CAIBROS, VIGAS, RIPAS), DE ESSÊNCIAS DIVERSAS, SEM LICENÇA VÁLIDA PARA TODO O TEMPO DA VIAGEM, OUTORGADA PELA AUTORIDADE COMPETE</t>
  </si>
  <si>
    <t>Caxias</t>
  </si>
  <si>
    <t>REKINTE MATERIAS DE CONSTRUÇÃO LTDA</t>
  </si>
  <si>
    <t>UOP- PRF- BR- 316 - CAXIAS - MA</t>
  </si>
  <si>
    <t>E18AQY05</t>
  </si>
  <si>
    <t>CASA DA MADEIRA COMERCIO DE MADEIRAS LTDA</t>
  </si>
  <si>
    <t>Av. 7 de Setembro, S/N.
Jd. Clodoaldo
Cacoal -  RO
76.962.091</t>
  </si>
  <si>
    <t>XH5K86VD</t>
  </si>
  <si>
    <t>Destruir 94,90 hectares de floresta nativa objeto de especial preservação (bioma amazônico) sem autorização da autoridade ambiental competente.</t>
  </si>
  <si>
    <t>ADILSON JACÓ RAMBO</t>
  </si>
  <si>
    <t>Fazenda Conquista, BR 163 Km 1025,2 margem direita, sentido sul, 4 km entrando no Ramal.</t>
  </si>
  <si>
    <t>IA5NDPSY</t>
  </si>
  <si>
    <t>Vender 40,058 m3 de madeira serrada das espécies jarana (14,030 m3), Taxi (11,000 m3), sapucaia (10,030 m3) e angico (4,998 m3) sem licença válida outorgada pela autoridade competente.
Lavratura de conformidade com Informação Técnica n° xxx</t>
  </si>
  <si>
    <t>Marabá</t>
  </si>
  <si>
    <t>Paulista Materiais de Construção Ltda</t>
  </si>
  <si>
    <t>Rua Porto Velho, Quadra 19, Lt 07, bairro Belo Horizonte, Marabá PA</t>
  </si>
  <si>
    <t>KN3B2C99</t>
  </si>
  <si>
    <t>Efetuar a com a istalacao FPSO Cidade de Mangaratiba, em 21/02/19, descarte cintinuo de agua de producao em desacordo com a regulacao ambiental especifica - Art. 4 Conama 393/297, gerando uma feição oleosa de 1,97km e 18,l litros.</t>
  </si>
  <si>
    <t>FPSO Cidade de Mangaratiba</t>
  </si>
  <si>
    <t>38, Paragrafo unico Decreto 4.136/2002.</t>
  </si>
  <si>
    <t>XS0KCY53</t>
  </si>
  <si>
    <t>DEIXAR DE APRESENTAR RELATÓRIOS NOS PRAZOS EXIGIDOS PELA LEGISLAÇÃO DA LEI 10.165/2000 REFERENTE AOS ANOS DE 2019/2018 NÃO FOI ENTREGUE, CONFORME CONSULTA IMPEDITIVOS SICAFI SEI xxx.</t>
  </si>
  <si>
    <t>Demerval Lobão</t>
  </si>
  <si>
    <t>CLW TINTAS LTDA</t>
  </si>
  <si>
    <t>RUA, PADRE JOAQUIM NONATO, 0015, BAIRRO ZONA RURAL CEP: 64.390-000, MUNICÍPIO DE DEMERVAL LOBÃO, OBS</t>
  </si>
  <si>
    <t>AFHH37G0</t>
  </si>
  <si>
    <t>DEIXAR DE APRESENTAR RELATÓRIOS NOS PRAZOS EXIGIDOS PELA LEGISLAÇÃO DA LEI 10.165/2000, REFERENTE AOS ANOS DE 2015/2014; 2016/2015; 2017/2016; 2018/2017 e 2018/2019, NÃO FORAM ENTREGUES CONFORME CONSULTA IMPEDITIVOS SICAFI SEI xxx.</t>
  </si>
  <si>
    <t>Monsenhor Gil</t>
  </si>
  <si>
    <t>THEMIX INDUSTRIA DE  BRITA E CONSTRUCOES LTDA</t>
  </si>
  <si>
    <t>FAZENDA BOLÍVIA S/N, LOTE 69 BAIRRO ZONA RURAL DE MONSENHOR GIL PI, CEP: 64.450-970 OBSERVAÇÃO ESSAS</t>
  </si>
  <si>
    <t>ZDA6HGXW</t>
  </si>
  <si>
    <t>DEIXOU DE ELABORAR E ENTREGAR O RELATÓRIO ANUAL DE QUE TRATA A LEI 10.165/00 REFERENTE AO ANO DE 2019/2018</t>
  </si>
  <si>
    <t>Taguatinga</t>
  </si>
  <si>
    <t>ALMIR BATISTA SILVA AMARAL</t>
  </si>
  <si>
    <t>RUA JOSE JOAQUIM DE ALMEIDA SN LT 11 QD 09  BAIRRO SANTA MARIA TAGUATINGA TO</t>
  </si>
  <si>
    <t>2ID4OJOK</t>
  </si>
  <si>
    <t>Transportar 20 m3 de madeira serrada de várias essências e tipos, sem licença válida para todo o tempo de viagem, outorgada pela autoridade ambiental competente.</t>
  </si>
  <si>
    <t>Marcus Aurélio Malta</t>
  </si>
  <si>
    <t>Posto da PRF de Caxias</t>
  </si>
  <si>
    <t>CBOAPWK9</t>
  </si>
  <si>
    <t>Por descumprir embargo imposto pelo TEI 675703/E originado pelo AI 9051013/E, dos Autos 02054.000396/2014-07, por ter destruido 322,79 hectares de floresta amazônica sem autorização da autoridade competente. A presente autuação se dá nos termos da Informa</t>
  </si>
  <si>
    <t>GILBERTO GERALDO BRANDALISE</t>
  </si>
  <si>
    <t>Propriedade Rural Gleba Sol Nascente, município de Feliz Natal-MT.</t>
  </si>
  <si>
    <t>T9UZT0L5</t>
  </si>
  <si>
    <t>Deixar de apresentar relatórios ambientais nos prazos exigidos pela legislação (RAPP 2015/2014, 2016/2015, 2017/2016, 2018/2017, 2019/2018).</t>
  </si>
  <si>
    <t>São José do Divino</t>
  </si>
  <si>
    <t>MATIAS JOSE DE SENA MACHADO</t>
  </si>
  <si>
    <t>Posto Cidade
Rua Manoel Divino s/n, Centro
CEP 64.245-000</t>
  </si>
  <si>
    <t>4PA9972R</t>
  </si>
  <si>
    <t>Impedir a regeneração natural de 25,598ha no interior do termo de Embargo n 729877-E, com implantação de atividade de pecuária, sem autorização do órgão ambiental competente, nas coordenadas geográficas de referência LAT 07 54' 10,24"S e LONG 55 14' 44,48</t>
  </si>
  <si>
    <t>Elias Teodoro da Silva Neto</t>
  </si>
  <si>
    <t>BR 163 KM 980</t>
  </si>
  <si>
    <t>O7BYI9J9</t>
  </si>
  <si>
    <t>Efetuar a Plataforma FPSO Cidade de Paraty, em 21/02/19, sob responsabilidade da Petrobras S.A o descarte continuo de agua de produçaão em desacordo com a regulamentaçao ambiental especifica - Art. 4. CONAMA 393/2007, gerando uma feiçaão oleosa de 4,57 km</t>
  </si>
  <si>
    <t>FPSO Cidade de Paraty - Bacia de Santos , Campo de Lula</t>
  </si>
  <si>
    <t>38, Paragrafo unico 4136/2002.</t>
  </si>
  <si>
    <t>0BW4DH44</t>
  </si>
  <si>
    <t>Descumprir Embargo em uma área de 15.589ha no interior do termo de Embargo n 729877-E, com implantação de atividade de pecuária, sem autorização do órgão ambiental competente nas coordenadas geográficas de referência LAT 07 54' 10,24"S e LONG 55 14' 44,48</t>
  </si>
  <si>
    <t>BR 163, KM 980</t>
  </si>
  <si>
    <t>ACZBTMD3</t>
  </si>
  <si>
    <t>Apresentar informação falsa em sistema oficial de controle ao receber o DOF 24382887 ideologicamente falso, objeto de apreensão no BO/PRF xxx.</t>
  </si>
  <si>
    <t>MADEIREIRA LD LTDA ME</t>
  </si>
  <si>
    <t>SXGIXXT6</t>
  </si>
  <si>
    <t>Faina</t>
  </si>
  <si>
    <t>V &amp; A. Extração e Comércio de Areia e Cascalho Ltda</t>
  </si>
  <si>
    <t>GO-230</t>
  </si>
  <si>
    <t>17, II Lei 6.938/1981.</t>
  </si>
  <si>
    <t>MIU4RW6H</t>
  </si>
  <si>
    <t xml:space="preserve">Ter em cativeiro 27 (vinte e sete) espécimes de animal silvestre, sendo eles 02 (dois) espécie corrupião (Icterus jamacaii), 02 (dois) espécie azulão (Cyanocompsa brissoni), 02 (dois) espécie galo de campina (paroaria dominicana), 01 (um) espécie pássaro </t>
  </si>
  <si>
    <t>Padre Bernardo</t>
  </si>
  <si>
    <t>JOSÉ DOMINGOS LIMA OLIVIERA</t>
  </si>
  <si>
    <t>Qd. 01, Lt. 67, Residencial Ouro Verde, Padre Bernardo- GO.
CEP: 73.700.000.</t>
  </si>
  <si>
    <t>24 Inc. 1,2 Decreto 6514/2008.</t>
  </si>
  <si>
    <t>B11KRS19</t>
  </si>
  <si>
    <t>Transportar 23,226 m³ de madeira serrada sem licença ambiental outorgada pela autoridade competente.</t>
  </si>
  <si>
    <t>Ronaldo Ferreira</t>
  </si>
  <si>
    <t>Sede da Superintendência do Ibama em Teresina/PI</t>
  </si>
  <si>
    <t>G1J6LJVE</t>
  </si>
  <si>
    <t>BR-230</t>
  </si>
  <si>
    <t>4WQQ92R0</t>
  </si>
  <si>
    <t>042HODNC</t>
  </si>
  <si>
    <t>DEIXAR DE APRESENTAR RELATÓRIOS NOS PRAZOS EXIGIDOS PELA LEGISLAÇÃO DA LEI 10.165/2000 REFERENTE AOS ANOS DE 2017/2016; 2018/2017 e 2019/2018, NÃO FORAM ENTREGUES CONFORME CONSULTA IMPEDITIVOS SICAFI SEI xxx.</t>
  </si>
  <si>
    <t>Curimatá</t>
  </si>
  <si>
    <t>CURIMATA SERVICOS E COMERCIO LTDA</t>
  </si>
  <si>
    <t>RUA, TELÉSFORO GUERRA, S/N, BAIRRO CENTRO, CEP: 64.960-000 MUNICÍPIO DE CURIMATÃ OBS: ESTAS COORDENA</t>
  </si>
  <si>
    <t>SKARSOG1</t>
  </si>
  <si>
    <t>DEIXAR DE APRESENTAR RELATÓRIOS NOS PRAZOS EXIGIDOS PELA LEGISLAÇÃO DA LEI 10.165/2000 REFERENTE AOS ANOS DE 2015/2014; 2016/2015; 2017/2016; 2018/2017 e 2019/2018, NÃO FORAM ENTREGUES CONFORME CONSULTA IMPEDITIVOS SICAFI SEI xxx.</t>
  </si>
  <si>
    <t>T. M. TRANSPORTADORA LTDA - ME</t>
  </si>
  <si>
    <t>RUA, IRMÃ DOROTY, 999, BAIRRO DIRCEU ARCOVERDE I, CEP: 64.000-000, TERESINA/PI, OBS-ESSAS COORDENADA</t>
  </si>
  <si>
    <t>O7Y7QSTH</t>
  </si>
  <si>
    <t>Destruir  a corte raso 29,772ha de floresta nativa, objeto de especial preservação, sem autorização da autoridade Ambiental competente na fazenda Três Corações ID 120761.</t>
  </si>
  <si>
    <t>IRINEU ANTÔNIO PIVETTA</t>
  </si>
  <si>
    <t>BR - 163, KM 991</t>
  </si>
  <si>
    <t>AYVS0XRF</t>
  </si>
  <si>
    <t>DEIXAR DE APRESENTAR RELATÓRIOS NOS PRAZOS EXIGIDOS PELA LEGISLAÇÃO DA LEI 10.165/2000 REFERENTE AOS ANOS DE 2015/2014; 2016/2015; 2017/2016; 2018/2017 e 2019/2018  NÃO FORAM ENTREGUES CONFORME CONSULTA IMPEDITIVOS SICAFI SEI xxx.</t>
  </si>
  <si>
    <t>M. M. DE AGUIAR INDUSTRIA E COMERCIO</t>
  </si>
  <si>
    <t>RUA, JOÃO CABRAL, 2460, BAIRRO PIRAJÁ, CEP: 64.002-150 MUNICÍPIO DE TERESINA PI, OBS-ESSAS COORDENAD</t>
  </si>
  <si>
    <t>B5J4U0BF</t>
  </si>
  <si>
    <t>Comercializar 15 Kg Lagostas Vermelhas, sendo 12Kg de lagostas inteiras congeladas e 03Kg de lagostas descaracterizadas, sem declarar estoque em tempo hábil ao Órgão Ambiental Competente. As lagostas estavam armazenadas no Restaurante e Petiscaria da Roch</t>
  </si>
  <si>
    <t>Maragogi</t>
  </si>
  <si>
    <t>Jose Carlos da Rocha</t>
  </si>
  <si>
    <t>Av. Gal Luiz de França Albuquerque, Ponta do Mangue</t>
  </si>
  <si>
    <t>2,, PU IN 206/2008.</t>
  </si>
  <si>
    <t>7ZZET033</t>
  </si>
  <si>
    <t>Ter em cativeiro 483 ( quatrocentos e oitenta e três) espécimes de animal silvestre, sendo eles, 08 (oito) da espécie sporophila sp, 473 (quatrocentos e setenta e três) da espécie sicalis flaveola e 02 (dois) da espécie Cyanoloxia brisonii, sem a devida l</t>
  </si>
  <si>
    <t>ADIR ALVES DA SILVA</t>
  </si>
  <si>
    <t>Rua São Miguel, Qd. 132, Lt.19, casa 2, Bairro Jardim Alto Paraíso, Aparecida de Goiânia</t>
  </si>
  <si>
    <t>7XPRS8JD</t>
  </si>
  <si>
    <t>Vender 19,02003m metros cúbicos de madeira serrada, sendo ( viga e vigota), de angelim ferro, sem licença valida 0utografa pela autoridade ambiental competente. Confirme informação xxx, (DOF 17729879).</t>
  </si>
  <si>
    <t>A.B. PINHEIRO</t>
  </si>
  <si>
    <t>Br 174 Km 203</t>
  </si>
  <si>
    <t>VWU71VK1</t>
  </si>
  <si>
    <t>Desmatar, a corte raso,  5,96 hectares de vegetação nativa, Bioma Cerrado, fora da reserva legal, sem autorização da autoridade competente.</t>
  </si>
  <si>
    <t>Dominga Espindola</t>
  </si>
  <si>
    <t>P. Assentamento Geraldo Garcia / Lote 164</t>
  </si>
  <si>
    <t>BA09JKN0</t>
  </si>
  <si>
    <t>Deixar de cumprir a reposição florestal obrigatória de 6.313 metros cúbicos, exigida mediante Notificação Administrativa n. 563/2016/NUIP/IBAMA/STM/PA.</t>
  </si>
  <si>
    <t>Roberlei Montagner</t>
  </si>
  <si>
    <t>Avenida Tapajós, n. 2267 - Laguinho - CEP: 68010-000 - Santarém - PA.</t>
  </si>
  <si>
    <t>UHJ34HEL</t>
  </si>
  <si>
    <t xml:space="preserve">Apanhar espécimes da fauna silvestre brasileira sem autorização do órgão competente. Observo que foram encontrados 10 (dez) espécimes de goiamum (Cardisoma guanhumi) e que o autuado estava capturando os animais juntamente com o seu pai, Sr. Valmir Victor </t>
  </si>
  <si>
    <t>John Willian de Oliveira Victor</t>
  </si>
  <si>
    <t>Fique da Samarco</t>
  </si>
  <si>
    <t>24 Inc. 2 Decreto 6514/2008.</t>
  </si>
  <si>
    <t>H6KPR33E</t>
  </si>
  <si>
    <t>ITAUBA MADEIRAS EIRELI</t>
  </si>
  <si>
    <t>Av. Norte-Sul S/N.
Centro.
Rolim de Moura -RO
76940-000</t>
  </si>
  <si>
    <t>S9KPQLOO</t>
  </si>
  <si>
    <t>Destruir, a corte raso 65,92 hectares de floresta nativa, objeto de especial preservação, sem autorização da autoridade ambiental competente, no sítio cajueiro Novo Progresso - PA.</t>
  </si>
  <si>
    <t>FLAVIO MENDES PEREIRA</t>
  </si>
  <si>
    <t>Sítio Cajueiro</t>
  </si>
  <si>
    <t>225, § 4º Constituição Federal 1988.</t>
  </si>
  <si>
    <t>993VCABW</t>
  </si>
  <si>
    <t>Apresentar informação falsa no sistema oficial de controle (DOF) Conforme descrito em Relatório de Constatação (SEI-xxx).</t>
  </si>
  <si>
    <t>SELECTAS S.A. INDÚSTRIA E COMÉRCIO DE MADEIRAS</t>
  </si>
  <si>
    <t>Rod. BR-364, Km. 04. 4160, Sl-01. 
Bairro S.Bernardo.
Ji-Paraná RO</t>
  </si>
  <si>
    <t>72, I 9.605/98; 82, I Dec.6.514/08.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</si>
</sst>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HH:MM\ AM/PM"/>
    <numFmt numFmtId="165" formatCode="MM/DD/YYYY"/>
  </numFmts>
  <fonts count="3">
    <font>
      <sz val="11.0"/>
      <color rgb="FF000000"/>
      <name val="Calibri"/>
    </font>
    <font>
      <sz val="10.0"/>
      <color rgb="FF000000"/>
      <name val="Calibri"/>
    </font>
    <font>
      <sz val="10.0"/>
      <color rgb="FF000000"/>
      <name val="Times New Roman"/>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49" xfId="0" applyAlignment="1" applyFont="1" applyNumberFormat="1">
      <alignment shrinkToFit="0" vertical="bottom" wrapText="1"/>
    </xf>
    <xf borderId="0" fillId="0" fontId="2" numFmtId="0" xfId="0" applyAlignment="1" applyFont="1">
      <alignment shrinkToFit="0" vertical="bottom" wrapText="1"/>
    </xf>
    <xf borderId="0" fillId="0" fontId="2" numFmtId="164" xfId="0" applyAlignment="1" applyFont="1" applyNumberFormat="1">
      <alignment shrinkToFit="0" vertical="bottom" wrapText="1"/>
    </xf>
    <xf borderId="0" fillId="0" fontId="2" numFmtId="165" xfId="0" applyAlignment="1" applyFont="1" applyNumberForma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14.14"/>
    <col customWidth="1" min="3" max="3" width="13.86"/>
    <col customWidth="1" min="4" max="4" width="19.14"/>
    <col customWidth="1" min="5" max="5" width="13.57"/>
    <col customWidth="1" min="6" max="6" width="12.14"/>
    <col customWidth="1" min="7" max="7" width="15.57"/>
    <col customWidth="1" min="8" max="8" width="15.86"/>
    <col customWidth="1" min="9" max="9" width="12.14"/>
    <col customWidth="1" min="10" max="10" width="15.0"/>
    <col customWidth="1" min="11" max="11" width="13.29"/>
    <col customWidth="1" min="12" max="12" width="38.29"/>
    <col customWidth="1" min="13" max="13" width="236.29"/>
    <col customWidth="1" min="14" max="14" width="60.43"/>
    <col customWidth="1" min="15" max="15" width="37.71"/>
    <col customWidth="1" min="16" max="16" width="17.57"/>
    <col customWidth="1" min="17" max="17" width="22.57"/>
    <col customWidth="1" min="18" max="18" width="14.29"/>
    <col customWidth="1" min="19" max="19" width="44.14"/>
    <col customWidth="1" min="20" max="20" width="18.43"/>
    <col customWidth="1" min="21" max="21" width="33.71"/>
    <col customWidth="1" min="22" max="22" width="10.29"/>
    <col customWidth="1" min="23" max="23" width="23.86"/>
    <col customWidth="1" min="24" max="24" width="33.57"/>
    <col customWidth="1" min="25" max="25" width="22.57"/>
    <col customWidth="1" min="26" max="26" width="152.86"/>
    <col customWidth="1" min="27" max="27" width="80.0"/>
    <col customWidth="1" min="28" max="28" width="22.86"/>
    <col customWidth="1" min="29" max="29" width="13.71"/>
    <col customWidth="1" min="30" max="30" width="30.57"/>
    <col customWidth="1" min="31" max="31" width="17.86"/>
    <col customWidth="1" min="32" max="32" width="19.86"/>
    <col customWidth="1" min="33" max="33" width="18.86"/>
    <col customWidth="1" min="34" max="34" width="168.43"/>
    <col customWidth="1" min="35" max="35" width="20.71"/>
    <col customWidth="1" min="36" max="36" width="24.71"/>
    <col customWidth="1" min="37" max="37" width="39.43"/>
    <col customWidth="1" min="38" max="38" width="23.57"/>
    <col customWidth="1" min="39" max="39" width="16.57"/>
    <col customWidth="1" min="40" max="40" width="60.57"/>
    <col customWidth="1" min="41" max="41" width="23.57"/>
    <col customWidth="1" min="42" max="42" width="22.86"/>
    <col customWidth="1" min="43" max="43" width="21.14"/>
    <col customWidth="1" min="44" max="44" width="142.57"/>
    <col customWidth="1" min="45" max="45" width="85.14"/>
    <col customWidth="1" min="46" max="46" width="28.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c r="A2" s="1"/>
      <c r="B2" s="1" t="s">
        <v>46</v>
      </c>
      <c r="C2" s="1" t="s">
        <v>47</v>
      </c>
      <c r="D2" s="1"/>
      <c r="E2" s="1" t="s">
        <v>48</v>
      </c>
      <c r="F2" s="1"/>
      <c r="G2" s="1" t="s">
        <v>49</v>
      </c>
      <c r="H2" s="1" t="s">
        <v>50</v>
      </c>
      <c r="I2" s="1">
        <v>8000.0</v>
      </c>
      <c r="J2" s="1"/>
      <c r="K2" s="1" t="s">
        <v>51</v>
      </c>
      <c r="L2" s="1"/>
      <c r="M2" s="1" t="s">
        <v>52</v>
      </c>
      <c r="N2" s="1" t="s">
        <v>53</v>
      </c>
      <c r="O2" s="1" t="s">
        <v>54</v>
      </c>
      <c r="P2" s="2" t="s">
        <v>55</v>
      </c>
      <c r="Q2" s="1" t="s">
        <v>56</v>
      </c>
      <c r="R2" s="1"/>
      <c r="S2" s="1" t="s">
        <v>57</v>
      </c>
      <c r="T2" s="1">
        <v>3200409.0</v>
      </c>
      <c r="U2" s="1" t="s">
        <v>58</v>
      </c>
      <c r="V2" s="1" t="s">
        <v>59</v>
      </c>
      <c r="W2" s="1" t="s">
        <v>60</v>
      </c>
      <c r="X2" s="1"/>
      <c r="Y2" s="1"/>
      <c r="Z2" s="1"/>
      <c r="AA2" s="1" t="s">
        <v>61</v>
      </c>
      <c r="AB2" s="1" t="str">
        <f>"33000167000101"</f>
        <v>33000167000101</v>
      </c>
      <c r="AC2" s="1"/>
      <c r="AD2" s="1" t="s">
        <v>62</v>
      </c>
      <c r="AE2" s="1"/>
      <c r="AF2" s="1">
        <v>-40.408611</v>
      </c>
      <c r="AG2" s="1">
        <v>-20.985</v>
      </c>
      <c r="AH2" s="1" t="s">
        <v>63</v>
      </c>
      <c r="AI2" s="1"/>
      <c r="AJ2" s="1" t="s">
        <v>64</v>
      </c>
      <c r="AK2" s="1"/>
      <c r="AL2" s="1"/>
      <c r="AM2" s="1" t="s">
        <v>65</v>
      </c>
      <c r="AN2" s="1" t="s">
        <v>66</v>
      </c>
      <c r="AO2" s="1"/>
      <c r="AP2" s="2" t="s">
        <v>67</v>
      </c>
      <c r="AQ2" s="1"/>
      <c r="AR2" s="1" t="s">
        <v>68</v>
      </c>
      <c r="AS2" s="1" t="s">
        <v>69</v>
      </c>
      <c r="AT2" s="2" t="s">
        <v>70</v>
      </c>
    </row>
    <row r="3">
      <c r="A3" s="1"/>
      <c r="B3" s="1" t="s">
        <v>46</v>
      </c>
      <c r="C3" s="1" t="s">
        <v>47</v>
      </c>
      <c r="D3" s="1"/>
      <c r="E3" s="1" t="s">
        <v>71</v>
      </c>
      <c r="F3" s="1"/>
      <c r="G3" s="1" t="s">
        <v>49</v>
      </c>
      <c r="H3" s="1" t="s">
        <v>72</v>
      </c>
      <c r="I3" s="1">
        <v>50000.0</v>
      </c>
      <c r="J3" s="1"/>
      <c r="K3" s="1"/>
      <c r="L3" s="1"/>
      <c r="M3" s="1" t="s">
        <v>73</v>
      </c>
      <c r="N3" s="1" t="s">
        <v>74</v>
      </c>
      <c r="O3" s="1" t="s">
        <v>75</v>
      </c>
      <c r="P3" s="2" t="s">
        <v>76</v>
      </c>
      <c r="Q3" s="1" t="s">
        <v>77</v>
      </c>
      <c r="R3" s="1"/>
      <c r="S3" s="1" t="s">
        <v>57</v>
      </c>
      <c r="T3" s="1">
        <v>3200409.0</v>
      </c>
      <c r="U3" s="1" t="s">
        <v>58</v>
      </c>
      <c r="V3" s="1" t="s">
        <v>59</v>
      </c>
      <c r="W3" s="1" t="s">
        <v>78</v>
      </c>
      <c r="X3" s="1"/>
      <c r="Y3" s="1"/>
      <c r="Z3" s="1" t="s">
        <v>79</v>
      </c>
      <c r="AA3" s="1" t="s">
        <v>80</v>
      </c>
      <c r="AB3" s="1" t="str">
        <f>"***732417**"</f>
        <v>***732417**</v>
      </c>
      <c r="AC3" s="1"/>
      <c r="AD3" s="1" t="s">
        <v>81</v>
      </c>
      <c r="AE3" s="1"/>
      <c r="AF3" s="1">
        <v>-40.643889</v>
      </c>
      <c r="AG3" s="1">
        <v>-20.807778</v>
      </c>
      <c r="AH3" s="1" t="s">
        <v>82</v>
      </c>
      <c r="AI3" s="1"/>
      <c r="AJ3" s="1" t="s">
        <v>64</v>
      </c>
      <c r="AK3" s="1"/>
      <c r="AL3" s="1"/>
      <c r="AM3" s="1" t="s">
        <v>65</v>
      </c>
      <c r="AN3" s="1" t="s">
        <v>83</v>
      </c>
      <c r="AO3" s="1"/>
      <c r="AP3" s="2" t="s">
        <v>84</v>
      </c>
      <c r="AQ3" s="1"/>
      <c r="AR3" s="1" t="s">
        <v>85</v>
      </c>
      <c r="AS3" s="1"/>
      <c r="AT3" s="2" t="s">
        <v>70</v>
      </c>
    </row>
    <row r="4">
      <c r="A4" s="1"/>
      <c r="B4" s="1" t="s">
        <v>46</v>
      </c>
      <c r="C4" s="1" t="s">
        <v>47</v>
      </c>
      <c r="D4" s="1"/>
      <c r="E4" s="1" t="s">
        <v>86</v>
      </c>
      <c r="F4" s="1"/>
      <c r="G4" s="1" t="s">
        <v>49</v>
      </c>
      <c r="H4" s="1" t="s">
        <v>50</v>
      </c>
      <c r="I4" s="1">
        <v>4000.0</v>
      </c>
      <c r="J4" s="1"/>
      <c r="K4" s="1" t="s">
        <v>51</v>
      </c>
      <c r="L4" s="1"/>
      <c r="M4" s="1" t="s">
        <v>87</v>
      </c>
      <c r="N4" s="1" t="s">
        <v>53</v>
      </c>
      <c r="O4" s="1" t="s">
        <v>54</v>
      </c>
      <c r="P4" s="2" t="s">
        <v>88</v>
      </c>
      <c r="Q4" s="1" t="s">
        <v>56</v>
      </c>
      <c r="R4" s="1"/>
      <c r="S4" s="1" t="s">
        <v>57</v>
      </c>
      <c r="T4" s="1">
        <v>3200409.0</v>
      </c>
      <c r="U4" s="1" t="s">
        <v>58</v>
      </c>
      <c r="V4" s="1" t="s">
        <v>59</v>
      </c>
      <c r="W4" s="1" t="s">
        <v>60</v>
      </c>
      <c r="X4" s="1"/>
      <c r="Y4" s="1"/>
      <c r="Z4" s="1"/>
      <c r="AA4" s="1" t="s">
        <v>61</v>
      </c>
      <c r="AB4" s="1" t="str">
        <f>"33000167000101"</f>
        <v>33000167000101</v>
      </c>
      <c r="AC4" s="1"/>
      <c r="AD4" s="1" t="s">
        <v>62</v>
      </c>
      <c r="AE4" s="1"/>
      <c r="AF4" s="1">
        <v>-40.408611</v>
      </c>
      <c r="AG4" s="1">
        <v>-20.985</v>
      </c>
      <c r="AH4" s="1" t="s">
        <v>89</v>
      </c>
      <c r="AI4" s="1"/>
      <c r="AJ4" s="1" t="s">
        <v>64</v>
      </c>
      <c r="AK4" s="1"/>
      <c r="AL4" s="1"/>
      <c r="AM4" s="1" t="s">
        <v>65</v>
      </c>
      <c r="AN4" s="1" t="s">
        <v>66</v>
      </c>
      <c r="AO4" s="1"/>
      <c r="AP4" s="2" t="s">
        <v>90</v>
      </c>
      <c r="AQ4" s="1"/>
      <c r="AR4" s="1" t="s">
        <v>68</v>
      </c>
      <c r="AS4" s="1" t="s">
        <v>69</v>
      </c>
      <c r="AT4" s="2" t="s">
        <v>70</v>
      </c>
    </row>
    <row r="5">
      <c r="A5" s="1"/>
      <c r="B5" s="1" t="s">
        <v>46</v>
      </c>
      <c r="C5" s="1" t="s">
        <v>47</v>
      </c>
      <c r="D5" s="1"/>
      <c r="E5" s="1" t="s">
        <v>91</v>
      </c>
      <c r="F5" s="1"/>
      <c r="G5" s="1" t="s">
        <v>49</v>
      </c>
      <c r="H5" s="1" t="s">
        <v>50</v>
      </c>
      <c r="I5" s="1">
        <v>52500.0</v>
      </c>
      <c r="J5" s="1"/>
      <c r="K5" s="1" t="s">
        <v>92</v>
      </c>
      <c r="L5" s="1"/>
      <c r="M5" s="1" t="s">
        <v>93</v>
      </c>
      <c r="N5" s="1" t="s">
        <v>94</v>
      </c>
      <c r="O5" s="1" t="s">
        <v>95</v>
      </c>
      <c r="P5" s="2" t="s">
        <v>96</v>
      </c>
      <c r="Q5" s="1" t="s">
        <v>77</v>
      </c>
      <c r="R5" s="1"/>
      <c r="S5" s="1" t="s">
        <v>97</v>
      </c>
      <c r="T5" s="1">
        <v>1301704.0</v>
      </c>
      <c r="U5" s="1" t="s">
        <v>98</v>
      </c>
      <c r="V5" s="1" t="s">
        <v>99</v>
      </c>
      <c r="W5" s="1" t="s">
        <v>100</v>
      </c>
      <c r="X5" s="1"/>
      <c r="Y5" s="1"/>
      <c r="Z5" s="1" t="s">
        <v>101</v>
      </c>
      <c r="AA5" s="1" t="s">
        <v>102</v>
      </c>
      <c r="AB5" s="1" t="str">
        <f>"17697878000120"</f>
        <v>17697878000120</v>
      </c>
      <c r="AC5" s="1"/>
      <c r="AD5" s="1" t="s">
        <v>81</v>
      </c>
      <c r="AE5" s="1"/>
      <c r="AF5" s="1">
        <v>-63.077778</v>
      </c>
      <c r="AG5" s="1">
        <v>-7.551111</v>
      </c>
      <c r="AH5" s="1" t="s">
        <v>103</v>
      </c>
      <c r="AI5" s="1"/>
      <c r="AJ5" s="1" t="s">
        <v>104</v>
      </c>
      <c r="AK5" s="1"/>
      <c r="AL5" s="1"/>
      <c r="AM5" s="1" t="s">
        <v>65</v>
      </c>
      <c r="AN5" s="1"/>
      <c r="AO5" s="1"/>
      <c r="AP5" s="2" t="s">
        <v>105</v>
      </c>
      <c r="AQ5" s="1"/>
      <c r="AR5" s="1" t="s">
        <v>106</v>
      </c>
      <c r="AS5" s="1"/>
      <c r="AT5" s="2" t="s">
        <v>70</v>
      </c>
    </row>
    <row r="6">
      <c r="A6" s="1"/>
      <c r="B6" s="1" t="s">
        <v>46</v>
      </c>
      <c r="C6" s="1" t="s">
        <v>47</v>
      </c>
      <c r="D6" s="1"/>
      <c r="E6" s="1" t="s">
        <v>107</v>
      </c>
      <c r="F6" s="1"/>
      <c r="G6" s="1" t="s">
        <v>49</v>
      </c>
      <c r="H6" s="1" t="s">
        <v>72</v>
      </c>
      <c r="I6" s="1">
        <v>10857.12</v>
      </c>
      <c r="J6" s="1"/>
      <c r="K6" s="1"/>
      <c r="L6" s="1"/>
      <c r="M6" s="1" t="s">
        <v>108</v>
      </c>
      <c r="N6" s="1" t="s">
        <v>109</v>
      </c>
      <c r="O6" s="1" t="s">
        <v>110</v>
      </c>
      <c r="P6" s="2" t="s">
        <v>111</v>
      </c>
      <c r="Q6" s="1" t="s">
        <v>56</v>
      </c>
      <c r="R6" s="1"/>
      <c r="S6" s="1" t="s">
        <v>97</v>
      </c>
      <c r="T6" s="1">
        <v>1301704.0</v>
      </c>
      <c r="U6" s="1" t="s">
        <v>98</v>
      </c>
      <c r="V6" s="1" t="s">
        <v>99</v>
      </c>
      <c r="W6" s="1" t="s">
        <v>100</v>
      </c>
      <c r="X6" s="1"/>
      <c r="Y6" s="1"/>
      <c r="Z6" s="1" t="s">
        <v>112</v>
      </c>
      <c r="AA6" s="1" t="s">
        <v>113</v>
      </c>
      <c r="AB6" s="1" t="str">
        <f>"***904911**"</f>
        <v>***904911**</v>
      </c>
      <c r="AC6" s="1"/>
      <c r="AD6" s="1" t="s">
        <v>81</v>
      </c>
      <c r="AE6" s="1"/>
      <c r="AF6" s="1">
        <v>-63.077778</v>
      </c>
      <c r="AG6" s="1">
        <v>-7.551111</v>
      </c>
      <c r="AH6" s="1" t="s">
        <v>103</v>
      </c>
      <c r="AI6" s="1"/>
      <c r="AJ6" s="1" t="s">
        <v>104</v>
      </c>
      <c r="AK6" s="1"/>
      <c r="AL6" s="1"/>
      <c r="AM6" s="1" t="s">
        <v>65</v>
      </c>
      <c r="AN6" s="1"/>
      <c r="AO6" s="1"/>
      <c r="AP6" s="2" t="s">
        <v>114</v>
      </c>
      <c r="AQ6" s="1"/>
      <c r="AR6" s="1" t="s">
        <v>115</v>
      </c>
      <c r="AS6" s="1"/>
      <c r="AT6" s="2" t="s">
        <v>70</v>
      </c>
    </row>
    <row r="7">
      <c r="A7" s="1">
        <v>2043843.0</v>
      </c>
      <c r="B7" s="1" t="s">
        <v>116</v>
      </c>
      <c r="C7" s="1" t="s">
        <v>117</v>
      </c>
      <c r="D7" s="1" t="s">
        <v>46</v>
      </c>
      <c r="E7" s="1" t="s">
        <v>118</v>
      </c>
      <c r="F7" s="1"/>
      <c r="G7" s="1" t="s">
        <v>119</v>
      </c>
      <c r="H7" s="1" t="s">
        <v>72</v>
      </c>
      <c r="I7" s="1">
        <v>4914.0</v>
      </c>
      <c r="J7" s="1"/>
      <c r="K7" s="1"/>
      <c r="L7" s="1" t="s">
        <v>120</v>
      </c>
      <c r="M7" s="1" t="s">
        <v>121</v>
      </c>
      <c r="N7" s="1" t="s">
        <v>109</v>
      </c>
      <c r="O7" s="1" t="s">
        <v>110</v>
      </c>
      <c r="P7" s="2" t="s">
        <v>122</v>
      </c>
      <c r="Q7" s="1" t="s">
        <v>56</v>
      </c>
      <c r="R7" s="1"/>
      <c r="S7" s="1" t="s">
        <v>123</v>
      </c>
      <c r="T7" s="1">
        <v>1100809.0</v>
      </c>
      <c r="U7" s="1" t="s">
        <v>124</v>
      </c>
      <c r="V7" s="1" t="s">
        <v>125</v>
      </c>
      <c r="W7" s="1" t="s">
        <v>100</v>
      </c>
      <c r="X7" s="1"/>
      <c r="Y7" s="1" t="str">
        <f>"02001004138202136"</f>
        <v>02001004138202136</v>
      </c>
      <c r="Z7" s="1" t="s">
        <v>112</v>
      </c>
      <c r="AA7" s="1" t="s">
        <v>126</v>
      </c>
      <c r="AB7" s="1" t="str">
        <f>"14743232000144"</f>
        <v>14743232000144</v>
      </c>
      <c r="AC7" s="1"/>
      <c r="AD7" s="1"/>
      <c r="AE7" s="1"/>
      <c r="AF7" s="1">
        <v>-63.413833</v>
      </c>
      <c r="AG7" s="1">
        <v>-8.664694</v>
      </c>
      <c r="AH7" s="1" t="s">
        <v>127</v>
      </c>
      <c r="AI7" s="1"/>
      <c r="AJ7" s="1" t="s">
        <v>120</v>
      </c>
      <c r="AK7" s="1"/>
      <c r="AL7" s="1" t="s">
        <v>128</v>
      </c>
      <c r="AM7" s="1" t="s">
        <v>65</v>
      </c>
      <c r="AN7" s="1" t="s">
        <v>129</v>
      </c>
      <c r="AO7" s="2" t="s">
        <v>130</v>
      </c>
      <c r="AP7" s="2" t="s">
        <v>131</v>
      </c>
      <c r="AQ7" s="1" t="s">
        <v>132</v>
      </c>
      <c r="AR7" s="1" t="s">
        <v>133</v>
      </c>
      <c r="AS7" s="1"/>
      <c r="AT7" s="2" t="s">
        <v>70</v>
      </c>
    </row>
    <row r="8">
      <c r="A8" s="1"/>
      <c r="B8" s="1" t="s">
        <v>46</v>
      </c>
      <c r="C8" s="1" t="s">
        <v>47</v>
      </c>
      <c r="D8" s="1"/>
      <c r="E8" s="1" t="s">
        <v>134</v>
      </c>
      <c r="F8" s="1"/>
      <c r="G8" s="1" t="s">
        <v>49</v>
      </c>
      <c r="H8" s="1" t="s">
        <v>50</v>
      </c>
      <c r="I8" s="1">
        <v>3050.0</v>
      </c>
      <c r="J8" s="1"/>
      <c r="K8" s="1" t="s">
        <v>51</v>
      </c>
      <c r="L8" s="1"/>
      <c r="M8" s="1" t="s">
        <v>135</v>
      </c>
      <c r="N8" s="1" t="s">
        <v>74</v>
      </c>
      <c r="O8" s="1" t="s">
        <v>75</v>
      </c>
      <c r="P8" s="2" t="s">
        <v>136</v>
      </c>
      <c r="Q8" s="1" t="s">
        <v>137</v>
      </c>
      <c r="R8" s="1"/>
      <c r="S8" s="1"/>
      <c r="T8" s="1">
        <v>3518800.0</v>
      </c>
      <c r="U8" s="1" t="s">
        <v>138</v>
      </c>
      <c r="V8" s="1" t="s">
        <v>139</v>
      </c>
      <c r="W8" s="1" t="s">
        <v>78</v>
      </c>
      <c r="X8" s="1"/>
      <c r="Y8" s="1"/>
      <c r="Z8" s="1" t="s">
        <v>79</v>
      </c>
      <c r="AA8" s="1" t="s">
        <v>140</v>
      </c>
      <c r="AB8" s="1" t="str">
        <f>"04463469000118"</f>
        <v>04463469000118</v>
      </c>
      <c r="AC8" s="1"/>
      <c r="AD8" s="1" t="s">
        <v>81</v>
      </c>
      <c r="AE8" s="1"/>
      <c r="AF8" s="1">
        <v>-46.4875</v>
      </c>
      <c r="AG8" s="1">
        <v>-23.425556</v>
      </c>
      <c r="AH8" s="1" t="s">
        <v>141</v>
      </c>
      <c r="AI8" s="1"/>
      <c r="AJ8" s="1" t="s">
        <v>142</v>
      </c>
      <c r="AK8" s="1"/>
      <c r="AL8" s="1"/>
      <c r="AM8" s="1" t="s">
        <v>65</v>
      </c>
      <c r="AN8" s="1" t="s">
        <v>83</v>
      </c>
      <c r="AO8" s="1"/>
      <c r="AP8" s="2" t="s">
        <v>143</v>
      </c>
      <c r="AQ8" s="1"/>
      <c r="AR8" s="1" t="s">
        <v>144</v>
      </c>
      <c r="AS8" s="1"/>
      <c r="AT8" s="2" t="s">
        <v>70</v>
      </c>
    </row>
    <row r="9">
      <c r="A9" s="1">
        <v>2043842.0</v>
      </c>
      <c r="B9" s="1" t="s">
        <v>116</v>
      </c>
      <c r="C9" s="1" t="s">
        <v>117</v>
      </c>
      <c r="D9" s="1" t="s">
        <v>46</v>
      </c>
      <c r="E9" s="1" t="s">
        <v>145</v>
      </c>
      <c r="F9" s="1"/>
      <c r="G9" s="1" t="s">
        <v>119</v>
      </c>
      <c r="H9" s="1" t="s">
        <v>72</v>
      </c>
      <c r="I9" s="1">
        <v>4788.0</v>
      </c>
      <c r="J9" s="1"/>
      <c r="K9" s="1"/>
      <c r="L9" s="1" t="s">
        <v>120</v>
      </c>
      <c r="M9" s="1" t="s">
        <v>146</v>
      </c>
      <c r="N9" s="1" t="s">
        <v>109</v>
      </c>
      <c r="O9" s="1" t="s">
        <v>110</v>
      </c>
      <c r="P9" s="2" t="s">
        <v>147</v>
      </c>
      <c r="Q9" s="1" t="s">
        <v>56</v>
      </c>
      <c r="R9" s="1"/>
      <c r="S9" s="1" t="s">
        <v>148</v>
      </c>
      <c r="T9" s="1">
        <v>1100809.0</v>
      </c>
      <c r="U9" s="1" t="s">
        <v>124</v>
      </c>
      <c r="V9" s="1" t="s">
        <v>125</v>
      </c>
      <c r="W9" s="1" t="s">
        <v>100</v>
      </c>
      <c r="X9" s="1"/>
      <c r="Y9" s="1" t="str">
        <f>"02001004137202191"</f>
        <v>02001004137202191</v>
      </c>
      <c r="Z9" s="1" t="s">
        <v>112</v>
      </c>
      <c r="AA9" s="1" t="s">
        <v>149</v>
      </c>
      <c r="AB9" s="1" t="str">
        <f>"***048202**"</f>
        <v>***048202**</v>
      </c>
      <c r="AC9" s="1"/>
      <c r="AD9" s="1"/>
      <c r="AE9" s="1"/>
      <c r="AF9" s="1">
        <v>-63.414861</v>
      </c>
      <c r="AG9" s="1">
        <v>-8.663861</v>
      </c>
      <c r="AH9" s="1" t="s">
        <v>150</v>
      </c>
      <c r="AI9" s="1"/>
      <c r="AJ9" s="1" t="s">
        <v>120</v>
      </c>
      <c r="AK9" s="1"/>
      <c r="AL9" s="1" t="s">
        <v>128</v>
      </c>
      <c r="AM9" s="1" t="s">
        <v>65</v>
      </c>
      <c r="AN9" s="1" t="s">
        <v>129</v>
      </c>
      <c r="AO9" s="2" t="s">
        <v>130</v>
      </c>
      <c r="AP9" s="2" t="s">
        <v>151</v>
      </c>
      <c r="AQ9" s="1" t="s">
        <v>132</v>
      </c>
      <c r="AR9" s="1" t="s">
        <v>133</v>
      </c>
      <c r="AS9" s="1"/>
      <c r="AT9" s="2" t="s">
        <v>70</v>
      </c>
    </row>
    <row r="10">
      <c r="A10" s="1"/>
      <c r="B10" s="1" t="s">
        <v>46</v>
      </c>
      <c r="C10" s="1" t="s">
        <v>47</v>
      </c>
      <c r="D10" s="1"/>
      <c r="E10" s="1" t="s">
        <v>152</v>
      </c>
      <c r="F10" s="1"/>
      <c r="G10" s="1" t="s">
        <v>49</v>
      </c>
      <c r="H10" s="1" t="s">
        <v>50</v>
      </c>
      <c r="I10" s="1">
        <v>52500.0</v>
      </c>
      <c r="J10" s="1"/>
      <c r="K10" s="1"/>
      <c r="L10" s="1"/>
      <c r="M10" s="1" t="s">
        <v>153</v>
      </c>
      <c r="N10" s="1" t="s">
        <v>109</v>
      </c>
      <c r="O10" s="1" t="s">
        <v>110</v>
      </c>
      <c r="P10" s="2" t="s">
        <v>154</v>
      </c>
      <c r="Q10" s="1" t="s">
        <v>56</v>
      </c>
      <c r="R10" s="1"/>
      <c r="S10" s="1" t="s">
        <v>123</v>
      </c>
      <c r="T10" s="1">
        <v>1100502.0</v>
      </c>
      <c r="U10" s="1" t="s">
        <v>155</v>
      </c>
      <c r="V10" s="1" t="s">
        <v>125</v>
      </c>
      <c r="W10" s="1" t="s">
        <v>100</v>
      </c>
      <c r="X10" s="1"/>
      <c r="Y10" s="1"/>
      <c r="Z10" s="1" t="s">
        <v>112</v>
      </c>
      <c r="AA10" s="1" t="s">
        <v>156</v>
      </c>
      <c r="AB10" s="1" t="str">
        <f t="shared" ref="AB10:AB11" si="1">"24792793000197"</f>
        <v>24792793000197</v>
      </c>
      <c r="AC10" s="1"/>
      <c r="AD10" s="1" t="s">
        <v>81</v>
      </c>
      <c r="AE10" s="1"/>
      <c r="AF10" s="1">
        <v>-61.923611</v>
      </c>
      <c r="AG10" s="1">
        <v>-10.881111</v>
      </c>
      <c r="AH10" s="1" t="s">
        <v>157</v>
      </c>
      <c r="AI10" s="1"/>
      <c r="AJ10" s="1" t="s">
        <v>158</v>
      </c>
      <c r="AK10" s="1"/>
      <c r="AL10" s="1"/>
      <c r="AM10" s="1" t="s">
        <v>65</v>
      </c>
      <c r="AN10" s="1" t="s">
        <v>159</v>
      </c>
      <c r="AO10" s="1"/>
      <c r="AP10" s="2" t="s">
        <v>160</v>
      </c>
      <c r="AQ10" s="1"/>
      <c r="AR10" s="1" t="s">
        <v>106</v>
      </c>
      <c r="AS10" s="1"/>
      <c r="AT10" s="2" t="s">
        <v>70</v>
      </c>
    </row>
    <row r="11">
      <c r="A11" s="1"/>
      <c r="B11" s="1" t="s">
        <v>46</v>
      </c>
      <c r="C11" s="1" t="s">
        <v>47</v>
      </c>
      <c r="D11" s="1"/>
      <c r="E11" s="1" t="s">
        <v>161</v>
      </c>
      <c r="F11" s="1"/>
      <c r="G11" s="1" t="s">
        <v>49</v>
      </c>
      <c r="H11" s="1" t="s">
        <v>50</v>
      </c>
      <c r="I11" s="1">
        <v>52500.0</v>
      </c>
      <c r="J11" s="1"/>
      <c r="K11" s="1"/>
      <c r="L11" s="1"/>
      <c r="M11" s="1" t="s">
        <v>162</v>
      </c>
      <c r="N11" s="1" t="s">
        <v>109</v>
      </c>
      <c r="O11" s="1" t="s">
        <v>110</v>
      </c>
      <c r="P11" s="2" t="s">
        <v>163</v>
      </c>
      <c r="Q11" s="1" t="s">
        <v>56</v>
      </c>
      <c r="R11" s="1"/>
      <c r="S11" s="1" t="s">
        <v>148</v>
      </c>
      <c r="T11" s="1">
        <v>1100502.0</v>
      </c>
      <c r="U11" s="1" t="s">
        <v>155</v>
      </c>
      <c r="V11" s="1" t="s">
        <v>125</v>
      </c>
      <c r="W11" s="1" t="s">
        <v>100</v>
      </c>
      <c r="X11" s="1"/>
      <c r="Y11" s="1"/>
      <c r="Z11" s="1" t="s">
        <v>112</v>
      </c>
      <c r="AA11" s="1" t="s">
        <v>156</v>
      </c>
      <c r="AB11" s="1" t="str">
        <f t="shared" si="1"/>
        <v>24792793000197</v>
      </c>
      <c r="AC11" s="1"/>
      <c r="AD11" s="1" t="s">
        <v>81</v>
      </c>
      <c r="AE11" s="1"/>
      <c r="AF11" s="1">
        <v>-61.923611</v>
      </c>
      <c r="AG11" s="1">
        <v>-10.881111</v>
      </c>
      <c r="AH11" s="1" t="s">
        <v>164</v>
      </c>
      <c r="AI11" s="1"/>
      <c r="AJ11" s="1" t="s">
        <v>158</v>
      </c>
      <c r="AK11" s="1"/>
      <c r="AL11" s="1"/>
      <c r="AM11" s="1" t="s">
        <v>65</v>
      </c>
      <c r="AN11" s="1" t="s">
        <v>159</v>
      </c>
      <c r="AO11" s="1"/>
      <c r="AP11" s="2" t="s">
        <v>165</v>
      </c>
      <c r="AQ11" s="1"/>
      <c r="AR11" s="1" t="s">
        <v>106</v>
      </c>
      <c r="AS11" s="1"/>
      <c r="AT11" s="2" t="s">
        <v>70</v>
      </c>
    </row>
    <row r="12">
      <c r="A12" s="1"/>
      <c r="B12" s="1" t="s">
        <v>46</v>
      </c>
      <c r="C12" s="1" t="s">
        <v>47</v>
      </c>
      <c r="D12" s="1"/>
      <c r="E12" s="1" t="s">
        <v>166</v>
      </c>
      <c r="F12" s="1"/>
      <c r="G12" s="1" t="s">
        <v>49</v>
      </c>
      <c r="H12" s="1" t="s">
        <v>72</v>
      </c>
      <c r="I12" s="1">
        <v>25484.4</v>
      </c>
      <c r="J12" s="1"/>
      <c r="K12" s="1"/>
      <c r="L12" s="1"/>
      <c r="M12" s="1" t="s">
        <v>167</v>
      </c>
      <c r="N12" s="1" t="s">
        <v>109</v>
      </c>
      <c r="O12" s="1" t="s">
        <v>110</v>
      </c>
      <c r="P12" s="2" t="s">
        <v>168</v>
      </c>
      <c r="Q12" s="1" t="s">
        <v>137</v>
      </c>
      <c r="R12" s="1"/>
      <c r="S12" s="1" t="s">
        <v>169</v>
      </c>
      <c r="T12" s="1">
        <v>5211909.0</v>
      </c>
      <c r="U12" s="1" t="s">
        <v>170</v>
      </c>
      <c r="V12" s="1" t="s">
        <v>171</v>
      </c>
      <c r="W12" s="1" t="s">
        <v>172</v>
      </c>
      <c r="X12" s="1"/>
      <c r="Y12" s="1"/>
      <c r="Z12" s="1" t="s">
        <v>112</v>
      </c>
      <c r="AA12" s="1" t="s">
        <v>173</v>
      </c>
      <c r="AB12" s="1" t="str">
        <f>"15343106000165"</f>
        <v>15343106000165</v>
      </c>
      <c r="AC12" s="1"/>
      <c r="AD12" s="1" t="s">
        <v>81</v>
      </c>
      <c r="AE12" s="1"/>
      <c r="AF12" s="1">
        <v>-51.689722</v>
      </c>
      <c r="AG12" s="1">
        <v>-17.923333</v>
      </c>
      <c r="AH12" s="1" t="s">
        <v>174</v>
      </c>
      <c r="AI12" s="1"/>
      <c r="AJ12" s="1" t="s">
        <v>175</v>
      </c>
      <c r="AK12" s="1"/>
      <c r="AL12" s="1"/>
      <c r="AM12" s="1" t="s">
        <v>65</v>
      </c>
      <c r="AN12" s="1" t="s">
        <v>83</v>
      </c>
      <c r="AO12" s="1"/>
      <c r="AP12" s="2" t="s">
        <v>176</v>
      </c>
      <c r="AQ12" s="1"/>
      <c r="AR12" s="1" t="s">
        <v>177</v>
      </c>
      <c r="AS12" s="1"/>
      <c r="AT12" s="2" t="s">
        <v>70</v>
      </c>
    </row>
    <row r="13">
      <c r="A13" s="1"/>
      <c r="B13" s="1" t="s">
        <v>46</v>
      </c>
      <c r="C13" s="1" t="s">
        <v>47</v>
      </c>
      <c r="D13" s="1"/>
      <c r="E13" s="1" t="s">
        <v>178</v>
      </c>
      <c r="F13" s="1"/>
      <c r="G13" s="1" t="s">
        <v>49</v>
      </c>
      <c r="H13" s="1" t="s">
        <v>50</v>
      </c>
      <c r="I13" s="1">
        <v>52500.0</v>
      </c>
      <c r="J13" s="1"/>
      <c r="K13" s="1"/>
      <c r="L13" s="1"/>
      <c r="M13" s="1" t="s">
        <v>179</v>
      </c>
      <c r="N13" s="1" t="s">
        <v>109</v>
      </c>
      <c r="O13" s="1" t="s">
        <v>110</v>
      </c>
      <c r="P13" s="2" t="s">
        <v>180</v>
      </c>
      <c r="Q13" s="1" t="s">
        <v>56</v>
      </c>
      <c r="R13" s="1"/>
      <c r="S13" s="1" t="s">
        <v>123</v>
      </c>
      <c r="T13" s="1">
        <v>1100502.0</v>
      </c>
      <c r="U13" s="1" t="s">
        <v>155</v>
      </c>
      <c r="V13" s="1" t="s">
        <v>125</v>
      </c>
      <c r="W13" s="1" t="s">
        <v>100</v>
      </c>
      <c r="X13" s="1"/>
      <c r="Y13" s="1"/>
      <c r="Z13" s="1" t="s">
        <v>112</v>
      </c>
      <c r="AA13" s="1" t="s">
        <v>156</v>
      </c>
      <c r="AB13" s="1" t="str">
        <f>"24792793000197"</f>
        <v>24792793000197</v>
      </c>
      <c r="AC13" s="1"/>
      <c r="AD13" s="1" t="s">
        <v>81</v>
      </c>
      <c r="AE13" s="1"/>
      <c r="AF13" s="1">
        <v>-61.923611</v>
      </c>
      <c r="AG13" s="1">
        <v>-10.881111</v>
      </c>
      <c r="AH13" s="1" t="s">
        <v>181</v>
      </c>
      <c r="AI13" s="1"/>
      <c r="AJ13" s="1" t="s">
        <v>158</v>
      </c>
      <c r="AK13" s="1"/>
      <c r="AL13" s="1"/>
      <c r="AM13" s="1" t="s">
        <v>65</v>
      </c>
      <c r="AN13" s="1" t="s">
        <v>159</v>
      </c>
      <c r="AO13" s="1"/>
      <c r="AP13" s="2" t="s">
        <v>182</v>
      </c>
      <c r="AQ13" s="1"/>
      <c r="AR13" s="1" t="s">
        <v>106</v>
      </c>
      <c r="AS13" s="1" t="s">
        <v>183</v>
      </c>
      <c r="AT13" s="2" t="s">
        <v>70</v>
      </c>
    </row>
    <row r="14">
      <c r="A14" s="1"/>
      <c r="B14" s="1" t="s">
        <v>46</v>
      </c>
      <c r="C14" s="1" t="s">
        <v>47</v>
      </c>
      <c r="D14" s="1"/>
      <c r="E14" s="1" t="s">
        <v>184</v>
      </c>
      <c r="F14" s="1"/>
      <c r="G14" s="1" t="s">
        <v>49</v>
      </c>
      <c r="H14" s="1" t="s">
        <v>50</v>
      </c>
      <c r="I14" s="1">
        <v>52500.0</v>
      </c>
      <c r="J14" s="1"/>
      <c r="K14" s="1"/>
      <c r="L14" s="1"/>
      <c r="M14" s="1" t="s">
        <v>185</v>
      </c>
      <c r="N14" s="1" t="s">
        <v>186</v>
      </c>
      <c r="O14" s="1" t="s">
        <v>187</v>
      </c>
      <c r="P14" s="2" t="s">
        <v>188</v>
      </c>
      <c r="Q14" s="1" t="s">
        <v>77</v>
      </c>
      <c r="R14" s="1"/>
      <c r="S14" s="1" t="s">
        <v>123</v>
      </c>
      <c r="T14" s="1">
        <v>1100114.0</v>
      </c>
      <c r="U14" s="1" t="s">
        <v>189</v>
      </c>
      <c r="V14" s="1" t="s">
        <v>125</v>
      </c>
      <c r="W14" s="1" t="s">
        <v>100</v>
      </c>
      <c r="X14" s="1"/>
      <c r="Y14" s="1"/>
      <c r="Z14" s="1"/>
      <c r="AA14" s="1" t="s">
        <v>190</v>
      </c>
      <c r="AB14" s="1" t="str">
        <f>"24127910000106"</f>
        <v>24127910000106</v>
      </c>
      <c r="AC14" s="1"/>
      <c r="AD14" s="1" t="s">
        <v>62</v>
      </c>
      <c r="AE14" s="1"/>
      <c r="AF14" s="1">
        <v>-62.794167</v>
      </c>
      <c r="AG14" s="1">
        <v>-10.851667</v>
      </c>
      <c r="AH14" s="1" t="s">
        <v>191</v>
      </c>
      <c r="AI14" s="1"/>
      <c r="AJ14" s="1" t="s">
        <v>158</v>
      </c>
      <c r="AK14" s="1"/>
      <c r="AL14" s="1"/>
      <c r="AM14" s="1" t="s">
        <v>65</v>
      </c>
      <c r="AN14" s="1" t="s">
        <v>159</v>
      </c>
      <c r="AO14" s="1"/>
      <c r="AP14" s="2" t="s">
        <v>192</v>
      </c>
      <c r="AQ14" s="1"/>
      <c r="AR14" s="1" t="s">
        <v>106</v>
      </c>
      <c r="AS14" s="1"/>
      <c r="AT14" s="2" t="s">
        <v>70</v>
      </c>
    </row>
    <row r="15">
      <c r="A15" s="1"/>
      <c r="B15" s="1" t="s">
        <v>46</v>
      </c>
      <c r="C15" s="1" t="s">
        <v>47</v>
      </c>
      <c r="D15" s="1"/>
      <c r="E15" s="1" t="s">
        <v>193</v>
      </c>
      <c r="F15" s="1"/>
      <c r="G15" s="1" t="s">
        <v>49</v>
      </c>
      <c r="H15" s="1" t="s">
        <v>50</v>
      </c>
      <c r="I15" s="1">
        <v>52500.0</v>
      </c>
      <c r="J15" s="1"/>
      <c r="K15" s="1"/>
      <c r="L15" s="1"/>
      <c r="M15" s="1" t="s">
        <v>194</v>
      </c>
      <c r="N15" s="1" t="s">
        <v>186</v>
      </c>
      <c r="O15" s="1" t="s">
        <v>187</v>
      </c>
      <c r="P15" s="2" t="s">
        <v>195</v>
      </c>
      <c r="Q15" s="1" t="s">
        <v>56</v>
      </c>
      <c r="R15" s="1"/>
      <c r="S15" s="1" t="s">
        <v>123</v>
      </c>
      <c r="T15" s="1">
        <v>1100379.0</v>
      </c>
      <c r="U15" s="1" t="s">
        <v>196</v>
      </c>
      <c r="V15" s="1" t="s">
        <v>125</v>
      </c>
      <c r="W15" s="1" t="s">
        <v>100</v>
      </c>
      <c r="X15" s="1"/>
      <c r="Y15" s="1"/>
      <c r="Z15" s="1"/>
      <c r="AA15" s="1" t="s">
        <v>197</v>
      </c>
      <c r="AB15" s="1" t="str">
        <f>"26270040000147"</f>
        <v>26270040000147</v>
      </c>
      <c r="AC15" s="1"/>
      <c r="AD15" s="1" t="s">
        <v>62</v>
      </c>
      <c r="AE15" s="1"/>
      <c r="AF15" s="1">
        <v>-61.869167</v>
      </c>
      <c r="AG15" s="1">
        <v>-12.131667</v>
      </c>
      <c r="AH15" s="1" t="s">
        <v>198</v>
      </c>
      <c r="AI15" s="1"/>
      <c r="AJ15" s="1" t="s">
        <v>158</v>
      </c>
      <c r="AK15" s="1"/>
      <c r="AL15" s="1"/>
      <c r="AM15" s="1" t="s">
        <v>65</v>
      </c>
      <c r="AN15" s="1" t="s">
        <v>159</v>
      </c>
      <c r="AO15" s="1"/>
      <c r="AP15" s="2" t="s">
        <v>199</v>
      </c>
      <c r="AQ15" s="1"/>
      <c r="AR15" s="1" t="s">
        <v>106</v>
      </c>
      <c r="AS15" s="1"/>
      <c r="AT15" s="2" t="s">
        <v>70</v>
      </c>
    </row>
    <row r="16">
      <c r="A16" s="1"/>
      <c r="B16" s="1" t="s">
        <v>46</v>
      </c>
      <c r="C16" s="1" t="s">
        <v>47</v>
      </c>
      <c r="D16" s="1"/>
      <c r="E16" s="1" t="s">
        <v>200</v>
      </c>
      <c r="F16" s="1"/>
      <c r="G16" s="1" t="s">
        <v>49</v>
      </c>
      <c r="H16" s="1" t="s">
        <v>50</v>
      </c>
      <c r="I16" s="1">
        <v>52500.0</v>
      </c>
      <c r="J16" s="1"/>
      <c r="K16" s="1"/>
      <c r="L16" s="1"/>
      <c r="M16" s="1" t="s">
        <v>185</v>
      </c>
      <c r="N16" s="1" t="s">
        <v>186</v>
      </c>
      <c r="O16" s="1" t="s">
        <v>187</v>
      </c>
      <c r="P16" s="2" t="s">
        <v>201</v>
      </c>
      <c r="Q16" s="1" t="s">
        <v>56</v>
      </c>
      <c r="R16" s="1"/>
      <c r="S16" s="1" t="s">
        <v>123</v>
      </c>
      <c r="T16" s="1">
        <v>1100049.0</v>
      </c>
      <c r="U16" s="1" t="s">
        <v>202</v>
      </c>
      <c r="V16" s="1" t="s">
        <v>125</v>
      </c>
      <c r="W16" s="1" t="s">
        <v>100</v>
      </c>
      <c r="X16" s="1"/>
      <c r="Y16" s="1"/>
      <c r="Z16" s="1"/>
      <c r="AA16" s="1" t="s">
        <v>203</v>
      </c>
      <c r="AB16" s="1" t="str">
        <f>"13888567000198"</f>
        <v>13888567000198</v>
      </c>
      <c r="AC16" s="1"/>
      <c r="AD16" s="1" t="s">
        <v>62</v>
      </c>
      <c r="AE16" s="1"/>
      <c r="AF16" s="1">
        <v>-61.444167</v>
      </c>
      <c r="AG16" s="1">
        <v>-11.429167</v>
      </c>
      <c r="AH16" s="1" t="s">
        <v>204</v>
      </c>
      <c r="AI16" s="1"/>
      <c r="AJ16" s="1" t="s">
        <v>158</v>
      </c>
      <c r="AK16" s="1"/>
      <c r="AL16" s="1"/>
      <c r="AM16" s="1" t="s">
        <v>65</v>
      </c>
      <c r="AN16" s="1" t="s">
        <v>159</v>
      </c>
      <c r="AO16" s="1"/>
      <c r="AP16" s="2" t="s">
        <v>205</v>
      </c>
      <c r="AQ16" s="1"/>
      <c r="AR16" s="1" t="s">
        <v>106</v>
      </c>
      <c r="AS16" s="1"/>
      <c r="AT16" s="2" t="s">
        <v>70</v>
      </c>
    </row>
    <row r="17">
      <c r="A17" s="1"/>
      <c r="B17" s="1" t="s">
        <v>46</v>
      </c>
      <c r="C17" s="1" t="s">
        <v>47</v>
      </c>
      <c r="D17" s="1"/>
      <c r="E17" s="1" t="s">
        <v>206</v>
      </c>
      <c r="F17" s="1"/>
      <c r="G17" s="1" t="s">
        <v>49</v>
      </c>
      <c r="H17" s="1" t="s">
        <v>50</v>
      </c>
      <c r="I17" s="1">
        <v>161500.0</v>
      </c>
      <c r="J17" s="1"/>
      <c r="K17" s="1"/>
      <c r="L17" s="1"/>
      <c r="M17" s="1" t="s">
        <v>194</v>
      </c>
      <c r="N17" s="1" t="s">
        <v>186</v>
      </c>
      <c r="O17" s="1" t="s">
        <v>187</v>
      </c>
      <c r="P17" s="2" t="s">
        <v>207</v>
      </c>
      <c r="Q17" s="1" t="s">
        <v>77</v>
      </c>
      <c r="R17" s="1"/>
      <c r="S17" s="1" t="s">
        <v>148</v>
      </c>
      <c r="T17" s="1">
        <v>1100049.0</v>
      </c>
      <c r="U17" s="1" t="s">
        <v>202</v>
      </c>
      <c r="V17" s="1" t="s">
        <v>125</v>
      </c>
      <c r="W17" s="1" t="s">
        <v>100</v>
      </c>
      <c r="X17" s="1"/>
      <c r="Y17" s="1"/>
      <c r="Z17" s="1"/>
      <c r="AA17" s="1" t="s">
        <v>208</v>
      </c>
      <c r="AB17" s="1" t="str">
        <f>"63619373000165"</f>
        <v>63619373000165</v>
      </c>
      <c r="AC17" s="1"/>
      <c r="AD17" s="1" t="s">
        <v>62</v>
      </c>
      <c r="AE17" s="1"/>
      <c r="AF17" s="1">
        <v>-61.494167</v>
      </c>
      <c r="AG17" s="1">
        <v>-11.438889</v>
      </c>
      <c r="AH17" s="1" t="s">
        <v>209</v>
      </c>
      <c r="AI17" s="1"/>
      <c r="AJ17" s="1" t="s">
        <v>158</v>
      </c>
      <c r="AK17" s="1"/>
      <c r="AL17" s="1"/>
      <c r="AM17" s="1" t="s">
        <v>65</v>
      </c>
      <c r="AN17" s="1" t="s">
        <v>159</v>
      </c>
      <c r="AO17" s="1"/>
      <c r="AP17" s="2" t="s">
        <v>210</v>
      </c>
      <c r="AQ17" s="1"/>
      <c r="AR17" s="1" t="s">
        <v>106</v>
      </c>
      <c r="AS17" s="1"/>
      <c r="AT17" s="2" t="s">
        <v>70</v>
      </c>
    </row>
    <row r="18">
      <c r="A18" s="1"/>
      <c r="B18" s="1" t="s">
        <v>46</v>
      </c>
      <c r="C18" s="1" t="s">
        <v>47</v>
      </c>
      <c r="D18" s="1"/>
      <c r="E18" s="1" t="s">
        <v>211</v>
      </c>
      <c r="F18" s="1"/>
      <c r="G18" s="1" t="s">
        <v>49</v>
      </c>
      <c r="H18" s="1" t="s">
        <v>50</v>
      </c>
      <c r="I18" s="1">
        <v>52500.0</v>
      </c>
      <c r="J18" s="1"/>
      <c r="K18" s="1"/>
      <c r="L18" s="1"/>
      <c r="M18" s="1" t="s">
        <v>185</v>
      </c>
      <c r="N18" s="1" t="s">
        <v>186</v>
      </c>
      <c r="O18" s="1" t="s">
        <v>187</v>
      </c>
      <c r="P18" s="2" t="s">
        <v>212</v>
      </c>
      <c r="Q18" s="1" t="s">
        <v>56</v>
      </c>
      <c r="R18" s="1"/>
      <c r="S18" s="1" t="s">
        <v>148</v>
      </c>
      <c r="T18" s="1">
        <v>1100049.0</v>
      </c>
      <c r="U18" s="1" t="s">
        <v>202</v>
      </c>
      <c r="V18" s="1" t="s">
        <v>125</v>
      </c>
      <c r="W18" s="1" t="s">
        <v>100</v>
      </c>
      <c r="X18" s="1"/>
      <c r="Y18" s="1"/>
      <c r="Z18" s="1"/>
      <c r="AA18" s="1" t="s">
        <v>213</v>
      </c>
      <c r="AB18" s="1" t="str">
        <f>"04262645000153"</f>
        <v>04262645000153</v>
      </c>
      <c r="AC18" s="1"/>
      <c r="AD18" s="1" t="s">
        <v>62</v>
      </c>
      <c r="AE18" s="1"/>
      <c r="AF18" s="1">
        <v>-61.486389</v>
      </c>
      <c r="AG18" s="1">
        <v>-11.445</v>
      </c>
      <c r="AH18" s="1" t="s">
        <v>214</v>
      </c>
      <c r="AI18" s="1"/>
      <c r="AJ18" s="1" t="s">
        <v>158</v>
      </c>
      <c r="AK18" s="1"/>
      <c r="AL18" s="1"/>
      <c r="AM18" s="1" t="s">
        <v>65</v>
      </c>
      <c r="AN18" s="1" t="s">
        <v>159</v>
      </c>
      <c r="AO18" s="1"/>
      <c r="AP18" s="2" t="s">
        <v>215</v>
      </c>
      <c r="AQ18" s="1"/>
      <c r="AR18" s="1" t="s">
        <v>106</v>
      </c>
      <c r="AS18" s="1"/>
      <c r="AT18" s="2" t="s">
        <v>70</v>
      </c>
    </row>
    <row r="19">
      <c r="A19" s="1"/>
      <c r="B19" s="1" t="s">
        <v>46</v>
      </c>
      <c r="C19" s="1" t="s">
        <v>47</v>
      </c>
      <c r="D19" s="1"/>
      <c r="E19" s="1" t="s">
        <v>216</v>
      </c>
      <c r="F19" s="1"/>
      <c r="G19" s="1" t="s">
        <v>217</v>
      </c>
      <c r="H19" s="1" t="s">
        <v>50</v>
      </c>
      <c r="I19" s="1"/>
      <c r="J19" s="1"/>
      <c r="K19" s="1"/>
      <c r="L19" s="1"/>
      <c r="M19" s="1" t="s">
        <v>218</v>
      </c>
      <c r="N19" s="1" t="s">
        <v>94</v>
      </c>
      <c r="O19" s="1" t="s">
        <v>95</v>
      </c>
      <c r="P19" s="2" t="s">
        <v>219</v>
      </c>
      <c r="Q19" s="1"/>
      <c r="R19" s="1"/>
      <c r="S19" s="1" t="s">
        <v>220</v>
      </c>
      <c r="T19" s="1">
        <v>4205704.0</v>
      </c>
      <c r="U19" s="1" t="s">
        <v>221</v>
      </c>
      <c r="V19" s="1" t="s">
        <v>222</v>
      </c>
      <c r="W19" s="1" t="s">
        <v>78</v>
      </c>
      <c r="X19" s="1"/>
      <c r="Y19" s="1" t="str">
        <f>"02026000552202198"</f>
        <v>02026000552202198</v>
      </c>
      <c r="Z19" s="1" t="s">
        <v>223</v>
      </c>
      <c r="AA19" s="1" t="s">
        <v>224</v>
      </c>
      <c r="AB19" s="1" t="str">
        <f>"***267400**"</f>
        <v>***267400**</v>
      </c>
      <c r="AC19" s="1"/>
      <c r="AD19" s="1" t="s">
        <v>81</v>
      </c>
      <c r="AE19" s="1"/>
      <c r="AF19" s="1">
        <v>-48.669194</v>
      </c>
      <c r="AG19" s="1">
        <v>-28.093806</v>
      </c>
      <c r="AH19" s="1" t="s">
        <v>225</v>
      </c>
      <c r="AI19" s="1"/>
      <c r="AJ19" s="1" t="s">
        <v>226</v>
      </c>
      <c r="AK19" s="1"/>
      <c r="AL19" s="1"/>
      <c r="AM19" s="1" t="s">
        <v>65</v>
      </c>
      <c r="AN19" s="1" t="s">
        <v>227</v>
      </c>
      <c r="AO19" s="1"/>
      <c r="AP19" s="2" t="s">
        <v>228</v>
      </c>
      <c r="AQ19" s="1"/>
      <c r="AR19" s="1" t="s">
        <v>229</v>
      </c>
      <c r="AS19" s="1" t="s">
        <v>230</v>
      </c>
      <c r="AT19" s="2" t="s">
        <v>70</v>
      </c>
    </row>
    <row r="20">
      <c r="A20" s="1"/>
      <c r="B20" s="1" t="s">
        <v>46</v>
      </c>
      <c r="C20" s="1" t="s">
        <v>47</v>
      </c>
      <c r="D20" s="1"/>
      <c r="E20" s="1" t="s">
        <v>231</v>
      </c>
      <c r="F20" s="1"/>
      <c r="G20" s="1" t="s">
        <v>49</v>
      </c>
      <c r="H20" s="1" t="s">
        <v>50</v>
      </c>
      <c r="I20" s="1">
        <v>52500.0</v>
      </c>
      <c r="J20" s="1"/>
      <c r="K20" s="1"/>
      <c r="L20" s="1"/>
      <c r="M20" s="1" t="s">
        <v>232</v>
      </c>
      <c r="N20" s="1" t="s">
        <v>186</v>
      </c>
      <c r="O20" s="1" t="s">
        <v>187</v>
      </c>
      <c r="P20" s="2" t="s">
        <v>233</v>
      </c>
      <c r="Q20" s="1" t="s">
        <v>56</v>
      </c>
      <c r="R20" s="1"/>
      <c r="S20" s="1" t="s">
        <v>148</v>
      </c>
      <c r="T20" s="1">
        <v>1100379.0</v>
      </c>
      <c r="U20" s="1" t="s">
        <v>196</v>
      </c>
      <c r="V20" s="1" t="s">
        <v>125</v>
      </c>
      <c r="W20" s="1" t="s">
        <v>100</v>
      </c>
      <c r="X20" s="1"/>
      <c r="Y20" s="1"/>
      <c r="Z20" s="1"/>
      <c r="AA20" s="1" t="s">
        <v>234</v>
      </c>
      <c r="AB20" s="1" t="str">
        <f>"12121671000190"</f>
        <v>12121671000190</v>
      </c>
      <c r="AC20" s="1"/>
      <c r="AD20" s="1" t="s">
        <v>62</v>
      </c>
      <c r="AE20" s="1"/>
      <c r="AF20" s="1">
        <v>-61.445</v>
      </c>
      <c r="AG20" s="1">
        <v>-11.429167</v>
      </c>
      <c r="AH20" s="1" t="s">
        <v>235</v>
      </c>
      <c r="AI20" s="1"/>
      <c r="AJ20" s="1" t="s">
        <v>158</v>
      </c>
      <c r="AK20" s="1"/>
      <c r="AL20" s="1"/>
      <c r="AM20" s="1" t="s">
        <v>65</v>
      </c>
      <c r="AN20" s="1" t="s">
        <v>159</v>
      </c>
      <c r="AO20" s="1"/>
      <c r="AP20" s="2" t="s">
        <v>236</v>
      </c>
      <c r="AQ20" s="1"/>
      <c r="AR20" s="1" t="s">
        <v>106</v>
      </c>
      <c r="AS20" s="1"/>
      <c r="AT20" s="2" t="s">
        <v>70</v>
      </c>
    </row>
    <row r="21">
      <c r="A21" s="1">
        <v>2043837.0</v>
      </c>
      <c r="B21" s="1" t="s">
        <v>116</v>
      </c>
      <c r="C21" s="1" t="s">
        <v>117</v>
      </c>
      <c r="D21" s="1" t="s">
        <v>46</v>
      </c>
      <c r="E21" s="1" t="s">
        <v>237</v>
      </c>
      <c r="F21" s="1"/>
      <c r="G21" s="1" t="s">
        <v>119</v>
      </c>
      <c r="H21" s="1" t="s">
        <v>50</v>
      </c>
      <c r="I21" s="1">
        <v>500000.0</v>
      </c>
      <c r="J21" s="1"/>
      <c r="K21" s="1"/>
      <c r="L21" s="1" t="s">
        <v>120</v>
      </c>
      <c r="M21" s="1" t="s">
        <v>238</v>
      </c>
      <c r="N21" s="1" t="s">
        <v>109</v>
      </c>
      <c r="O21" s="1" t="s">
        <v>110</v>
      </c>
      <c r="P21" s="2" t="s">
        <v>239</v>
      </c>
      <c r="Q21" s="1" t="s">
        <v>56</v>
      </c>
      <c r="R21" s="2" t="s">
        <v>240</v>
      </c>
      <c r="S21" s="1" t="s">
        <v>241</v>
      </c>
      <c r="T21" s="1">
        <v>1100205.0</v>
      </c>
      <c r="U21" s="1" t="s">
        <v>242</v>
      </c>
      <c r="V21" s="1" t="s">
        <v>125</v>
      </c>
      <c r="W21" s="1" t="s">
        <v>100</v>
      </c>
      <c r="X21" s="1"/>
      <c r="Y21" s="1" t="str">
        <f>"02001004134202158"</f>
        <v>02001004134202158</v>
      </c>
      <c r="Z21" s="1" t="s">
        <v>112</v>
      </c>
      <c r="AA21" s="1" t="s">
        <v>243</v>
      </c>
      <c r="AB21" s="1" t="str">
        <f>"28962726000124"</f>
        <v>28962726000124</v>
      </c>
      <c r="AC21" s="1"/>
      <c r="AD21" s="1"/>
      <c r="AE21" s="1"/>
      <c r="AF21" s="1">
        <v>-63.890833</v>
      </c>
      <c r="AG21" s="1">
        <v>-8.738611</v>
      </c>
      <c r="AH21" s="1" t="s">
        <v>244</v>
      </c>
      <c r="AI21" s="1"/>
      <c r="AJ21" s="1" t="s">
        <v>120</v>
      </c>
      <c r="AK21" s="1"/>
      <c r="AL21" s="1" t="s">
        <v>128</v>
      </c>
      <c r="AM21" s="1" t="s">
        <v>65</v>
      </c>
      <c r="AN21" s="1" t="s">
        <v>129</v>
      </c>
      <c r="AO21" s="2" t="s">
        <v>245</v>
      </c>
      <c r="AP21" s="2" t="s">
        <v>246</v>
      </c>
      <c r="AQ21" s="1" t="s">
        <v>132</v>
      </c>
      <c r="AR21" s="1" t="s">
        <v>247</v>
      </c>
      <c r="AS21" s="1"/>
      <c r="AT21" s="2" t="s">
        <v>70</v>
      </c>
    </row>
    <row r="22">
      <c r="A22" s="1">
        <v>2043836.0</v>
      </c>
      <c r="B22" s="1" t="s">
        <v>116</v>
      </c>
      <c r="C22" s="1" t="s">
        <v>117</v>
      </c>
      <c r="D22" s="1" t="s">
        <v>46</v>
      </c>
      <c r="E22" s="1" t="s">
        <v>248</v>
      </c>
      <c r="F22" s="1"/>
      <c r="G22" s="1" t="s">
        <v>119</v>
      </c>
      <c r="H22" s="1" t="s">
        <v>72</v>
      </c>
      <c r="I22" s="1">
        <v>7655.7</v>
      </c>
      <c r="J22" s="1"/>
      <c r="K22" s="1"/>
      <c r="L22" s="1" t="s">
        <v>120</v>
      </c>
      <c r="M22" s="1" t="s">
        <v>249</v>
      </c>
      <c r="N22" s="1" t="s">
        <v>109</v>
      </c>
      <c r="O22" s="1" t="s">
        <v>110</v>
      </c>
      <c r="P22" s="2" t="s">
        <v>250</v>
      </c>
      <c r="Q22" s="1" t="s">
        <v>56</v>
      </c>
      <c r="R22" s="1"/>
      <c r="S22" s="1" t="s">
        <v>148</v>
      </c>
      <c r="T22" s="1">
        <v>1100023.0</v>
      </c>
      <c r="U22" s="1" t="s">
        <v>251</v>
      </c>
      <c r="V22" s="1" t="s">
        <v>125</v>
      </c>
      <c r="W22" s="1" t="s">
        <v>100</v>
      </c>
      <c r="X22" s="1"/>
      <c r="Y22" s="1" t="str">
        <f>"02001004133202111"</f>
        <v>02001004133202111</v>
      </c>
      <c r="Z22" s="1" t="s">
        <v>112</v>
      </c>
      <c r="AA22" s="1" t="s">
        <v>252</v>
      </c>
      <c r="AB22" s="1" t="str">
        <f>"84595990000148"</f>
        <v>84595990000148</v>
      </c>
      <c r="AC22" s="1"/>
      <c r="AD22" s="1"/>
      <c r="AE22" s="1"/>
      <c r="AF22" s="1">
        <v>-63.057222</v>
      </c>
      <c r="AG22" s="1">
        <v>-9.881111</v>
      </c>
      <c r="AH22" s="1" t="s">
        <v>253</v>
      </c>
      <c r="AI22" s="1"/>
      <c r="AJ22" s="1" t="s">
        <v>120</v>
      </c>
      <c r="AK22" s="1"/>
      <c r="AL22" s="1" t="s">
        <v>128</v>
      </c>
      <c r="AM22" s="1" t="s">
        <v>65</v>
      </c>
      <c r="AN22" s="1" t="s">
        <v>129</v>
      </c>
      <c r="AO22" s="2" t="s">
        <v>245</v>
      </c>
      <c r="AP22" s="2" t="s">
        <v>254</v>
      </c>
      <c r="AQ22" s="1" t="s">
        <v>132</v>
      </c>
      <c r="AR22" s="1" t="s">
        <v>133</v>
      </c>
      <c r="AS22" s="1"/>
      <c r="AT22" s="2" t="s">
        <v>70</v>
      </c>
    </row>
    <row r="23">
      <c r="A23" s="1"/>
      <c r="B23" s="1" t="s">
        <v>46</v>
      </c>
      <c r="C23" s="1" t="s">
        <v>47</v>
      </c>
      <c r="D23" s="1"/>
      <c r="E23" s="1" t="s">
        <v>255</v>
      </c>
      <c r="F23" s="1"/>
      <c r="G23" s="1" t="s">
        <v>49</v>
      </c>
      <c r="H23" s="1" t="s">
        <v>50</v>
      </c>
      <c r="I23" s="1">
        <v>882000.0</v>
      </c>
      <c r="J23" s="1"/>
      <c r="K23" s="1" t="s">
        <v>92</v>
      </c>
      <c r="L23" s="1"/>
      <c r="M23" s="1" t="s">
        <v>256</v>
      </c>
      <c r="N23" s="1" t="s">
        <v>257</v>
      </c>
      <c r="O23" s="1" t="s">
        <v>258</v>
      </c>
      <c r="P23" s="2" t="s">
        <v>259</v>
      </c>
      <c r="Q23" s="1" t="s">
        <v>77</v>
      </c>
      <c r="R23" s="1"/>
      <c r="S23" s="1" t="s">
        <v>241</v>
      </c>
      <c r="T23" s="1">
        <v>3518800.0</v>
      </c>
      <c r="U23" s="1" t="s">
        <v>138</v>
      </c>
      <c r="V23" s="1" t="s">
        <v>139</v>
      </c>
      <c r="W23" s="1" t="s">
        <v>78</v>
      </c>
      <c r="X23" s="1"/>
      <c r="Y23" s="1"/>
      <c r="Z23" s="1" t="s">
        <v>260</v>
      </c>
      <c r="AA23" s="1" t="s">
        <v>261</v>
      </c>
      <c r="AB23" s="1"/>
      <c r="AC23" s="1"/>
      <c r="AD23" s="1" t="s">
        <v>81</v>
      </c>
      <c r="AE23" s="1"/>
      <c r="AF23" s="1">
        <v>-46.444444</v>
      </c>
      <c r="AG23" s="1">
        <v>-23.413056</v>
      </c>
      <c r="AH23" s="1" t="s">
        <v>262</v>
      </c>
      <c r="AI23" s="1"/>
      <c r="AJ23" s="1" t="s">
        <v>142</v>
      </c>
      <c r="AK23" s="1"/>
      <c r="AL23" s="1"/>
      <c r="AM23" s="1" t="s">
        <v>65</v>
      </c>
      <c r="AN23" s="1" t="s">
        <v>83</v>
      </c>
      <c r="AO23" s="1"/>
      <c r="AP23" s="2" t="s">
        <v>263</v>
      </c>
      <c r="AQ23" s="1"/>
      <c r="AR23" s="1" t="s">
        <v>264</v>
      </c>
      <c r="AS23" s="1"/>
      <c r="AT23" s="2" t="s">
        <v>70</v>
      </c>
    </row>
    <row r="24">
      <c r="A24" s="1"/>
      <c r="B24" s="1" t="s">
        <v>46</v>
      </c>
      <c r="C24" s="1" t="s">
        <v>47</v>
      </c>
      <c r="D24" s="1"/>
      <c r="E24" s="1" t="s">
        <v>265</v>
      </c>
      <c r="F24" s="1"/>
      <c r="G24" s="1" t="s">
        <v>49</v>
      </c>
      <c r="H24" s="1" t="s">
        <v>50</v>
      </c>
      <c r="I24" s="1">
        <v>500.0</v>
      </c>
      <c r="J24" s="1"/>
      <c r="K24" s="1" t="s">
        <v>51</v>
      </c>
      <c r="L24" s="1"/>
      <c r="M24" s="1" t="s">
        <v>266</v>
      </c>
      <c r="N24" s="1" t="s">
        <v>257</v>
      </c>
      <c r="O24" s="1" t="s">
        <v>258</v>
      </c>
      <c r="P24" s="2" t="s">
        <v>267</v>
      </c>
      <c r="Q24" s="1" t="s">
        <v>56</v>
      </c>
      <c r="R24" s="1"/>
      <c r="S24" s="1" t="s">
        <v>268</v>
      </c>
      <c r="T24" s="1">
        <v>4119152.0</v>
      </c>
      <c r="U24" s="1" t="s">
        <v>269</v>
      </c>
      <c r="V24" s="1" t="s">
        <v>270</v>
      </c>
      <c r="W24" s="1" t="s">
        <v>78</v>
      </c>
      <c r="X24" s="1"/>
      <c r="Y24" s="1"/>
      <c r="Z24" s="1" t="s">
        <v>260</v>
      </c>
      <c r="AA24" s="1" t="s">
        <v>271</v>
      </c>
      <c r="AB24" s="1" t="str">
        <f>"***563686**"</f>
        <v>***563686**</v>
      </c>
      <c r="AC24" s="1"/>
      <c r="AD24" s="1" t="s">
        <v>81</v>
      </c>
      <c r="AE24" s="1"/>
      <c r="AF24" s="1">
        <v>-49.1875</v>
      </c>
      <c r="AG24" s="1">
        <v>-25.428056</v>
      </c>
      <c r="AH24" s="1" t="s">
        <v>272</v>
      </c>
      <c r="AI24" s="1"/>
      <c r="AJ24" s="1" t="s">
        <v>273</v>
      </c>
      <c r="AK24" s="1"/>
      <c r="AL24" s="1"/>
      <c r="AM24" s="1" t="s">
        <v>65</v>
      </c>
      <c r="AN24" s="1" t="s">
        <v>274</v>
      </c>
      <c r="AO24" s="1"/>
      <c r="AP24" s="2" t="s">
        <v>275</v>
      </c>
      <c r="AQ24" s="1"/>
      <c r="AR24" s="1" t="s">
        <v>276</v>
      </c>
      <c r="AS24" s="1"/>
      <c r="AT24" s="2" t="s">
        <v>70</v>
      </c>
    </row>
    <row r="25">
      <c r="A25" s="1"/>
      <c r="B25" s="1" t="s">
        <v>46</v>
      </c>
      <c r="C25" s="1" t="s">
        <v>47</v>
      </c>
      <c r="D25" s="1"/>
      <c r="E25" s="1" t="s">
        <v>277</v>
      </c>
      <c r="F25" s="1"/>
      <c r="G25" s="1" t="s">
        <v>49</v>
      </c>
      <c r="H25" s="1" t="s">
        <v>72</v>
      </c>
      <c r="I25" s="1">
        <v>147000.0</v>
      </c>
      <c r="J25" s="1"/>
      <c r="K25" s="1"/>
      <c r="L25" s="1"/>
      <c r="M25" s="1" t="s">
        <v>278</v>
      </c>
      <c r="N25" s="1" t="s">
        <v>257</v>
      </c>
      <c r="O25" s="1" t="s">
        <v>258</v>
      </c>
      <c r="P25" s="2" t="s">
        <v>279</v>
      </c>
      <c r="Q25" s="1" t="s">
        <v>77</v>
      </c>
      <c r="R25" s="1"/>
      <c r="S25" s="1" t="s">
        <v>280</v>
      </c>
      <c r="T25" s="1">
        <v>3518800.0</v>
      </c>
      <c r="U25" s="1" t="s">
        <v>138</v>
      </c>
      <c r="V25" s="1" t="s">
        <v>139</v>
      </c>
      <c r="W25" s="1" t="s">
        <v>78</v>
      </c>
      <c r="X25" s="1"/>
      <c r="Y25" s="1"/>
      <c r="Z25" s="1" t="s">
        <v>260</v>
      </c>
      <c r="AA25" s="1" t="s">
        <v>261</v>
      </c>
      <c r="AB25" s="1"/>
      <c r="AC25" s="1"/>
      <c r="AD25" s="1" t="s">
        <v>81</v>
      </c>
      <c r="AE25" s="1"/>
      <c r="AF25" s="1">
        <v>-47.933056</v>
      </c>
      <c r="AG25" s="1">
        <v>-15.83</v>
      </c>
      <c r="AH25" s="1" t="s">
        <v>141</v>
      </c>
      <c r="AI25" s="1"/>
      <c r="AJ25" s="1" t="s">
        <v>142</v>
      </c>
      <c r="AK25" s="1"/>
      <c r="AL25" s="1"/>
      <c r="AM25" s="1" t="s">
        <v>65</v>
      </c>
      <c r="AN25" s="1" t="s">
        <v>83</v>
      </c>
      <c r="AO25" s="1"/>
      <c r="AP25" s="2" t="s">
        <v>281</v>
      </c>
      <c r="AQ25" s="1"/>
      <c r="AR25" s="1" t="s">
        <v>282</v>
      </c>
      <c r="AS25" s="1"/>
      <c r="AT25" s="2" t="s">
        <v>70</v>
      </c>
    </row>
    <row r="26">
      <c r="A26" s="1"/>
      <c r="B26" s="1" t="s">
        <v>46</v>
      </c>
      <c r="C26" s="1" t="s">
        <v>47</v>
      </c>
      <c r="D26" s="1"/>
      <c r="E26" s="1" t="s">
        <v>283</v>
      </c>
      <c r="F26" s="1"/>
      <c r="G26" s="1" t="s">
        <v>49</v>
      </c>
      <c r="H26" s="1" t="s">
        <v>50</v>
      </c>
      <c r="I26" s="1">
        <v>1500.0</v>
      </c>
      <c r="J26" s="1"/>
      <c r="K26" s="1" t="s">
        <v>51</v>
      </c>
      <c r="L26" s="1"/>
      <c r="M26" s="1" t="s">
        <v>284</v>
      </c>
      <c r="N26" s="1" t="s">
        <v>285</v>
      </c>
      <c r="O26" s="1" t="s">
        <v>286</v>
      </c>
      <c r="P26" s="2" t="s">
        <v>287</v>
      </c>
      <c r="Q26" s="1" t="s">
        <v>56</v>
      </c>
      <c r="R26" s="2" t="s">
        <v>240</v>
      </c>
      <c r="S26" s="1" t="s">
        <v>288</v>
      </c>
      <c r="T26" s="1">
        <v>2210805.0</v>
      </c>
      <c r="U26" s="1" t="s">
        <v>289</v>
      </c>
      <c r="V26" s="1" t="s">
        <v>290</v>
      </c>
      <c r="W26" s="1" t="s">
        <v>291</v>
      </c>
      <c r="X26" s="1"/>
      <c r="Y26" s="1"/>
      <c r="Z26" s="1" t="s">
        <v>292</v>
      </c>
      <c r="AA26" s="1" t="s">
        <v>293</v>
      </c>
      <c r="AB26" s="1" t="str">
        <f>"63326474000229"</f>
        <v>63326474000229</v>
      </c>
      <c r="AC26" s="1"/>
      <c r="AD26" s="1" t="s">
        <v>62</v>
      </c>
      <c r="AE26" s="1"/>
      <c r="AF26" s="1">
        <v>-42.824528</v>
      </c>
      <c r="AG26" s="1">
        <v>-5.069917</v>
      </c>
      <c r="AH26" s="1" t="s">
        <v>294</v>
      </c>
      <c r="AI26" s="1"/>
      <c r="AJ26" s="1" t="s">
        <v>295</v>
      </c>
      <c r="AK26" s="1"/>
      <c r="AL26" s="1"/>
      <c r="AM26" s="1" t="s">
        <v>65</v>
      </c>
      <c r="AN26" s="1" t="s">
        <v>296</v>
      </c>
      <c r="AO26" s="1"/>
      <c r="AP26" s="2" t="s">
        <v>297</v>
      </c>
      <c r="AQ26" s="1"/>
      <c r="AR26" s="1" t="s">
        <v>298</v>
      </c>
      <c r="AS26" s="1"/>
      <c r="AT26" s="2" t="s">
        <v>70</v>
      </c>
    </row>
    <row r="27">
      <c r="A27" s="1"/>
      <c r="B27" s="1" t="s">
        <v>46</v>
      </c>
      <c r="C27" s="1" t="s">
        <v>47</v>
      </c>
      <c r="D27" s="1"/>
      <c r="E27" s="1" t="s">
        <v>299</v>
      </c>
      <c r="F27" s="1"/>
      <c r="G27" s="1" t="s">
        <v>49</v>
      </c>
      <c r="H27" s="1" t="s">
        <v>50</v>
      </c>
      <c r="I27" s="1">
        <v>500500.0</v>
      </c>
      <c r="J27" s="1"/>
      <c r="K27" s="1" t="s">
        <v>92</v>
      </c>
      <c r="L27" s="1"/>
      <c r="M27" s="1" t="s">
        <v>300</v>
      </c>
      <c r="N27" s="1" t="s">
        <v>301</v>
      </c>
      <c r="O27" s="1" t="s">
        <v>302</v>
      </c>
      <c r="P27" s="2" t="s">
        <v>303</v>
      </c>
      <c r="Q27" s="1" t="s">
        <v>56</v>
      </c>
      <c r="R27" s="1"/>
      <c r="S27" s="1" t="s">
        <v>241</v>
      </c>
      <c r="T27" s="1">
        <v>5300108.0</v>
      </c>
      <c r="U27" s="1" t="s">
        <v>304</v>
      </c>
      <c r="V27" s="1" t="s">
        <v>305</v>
      </c>
      <c r="W27" s="1" t="s">
        <v>172</v>
      </c>
      <c r="X27" s="1"/>
      <c r="Y27" s="1"/>
      <c r="Z27" s="1" t="s">
        <v>306</v>
      </c>
      <c r="AA27" s="1" t="s">
        <v>307</v>
      </c>
      <c r="AB27" s="1" t="str">
        <f>"11368070000113"</f>
        <v>11368070000113</v>
      </c>
      <c r="AC27" s="1"/>
      <c r="AD27" s="1" t="s">
        <v>81</v>
      </c>
      <c r="AE27" s="1"/>
      <c r="AF27" s="1">
        <v>-47.993333</v>
      </c>
      <c r="AG27" s="1">
        <v>-15.780278</v>
      </c>
      <c r="AH27" s="1" t="s">
        <v>308</v>
      </c>
      <c r="AI27" s="1"/>
      <c r="AJ27" s="1" t="s">
        <v>120</v>
      </c>
      <c r="AK27" s="1"/>
      <c r="AL27" s="1"/>
      <c r="AM27" s="1" t="s">
        <v>65</v>
      </c>
      <c r="AN27" s="1" t="s">
        <v>66</v>
      </c>
      <c r="AO27" s="1"/>
      <c r="AP27" s="2" t="s">
        <v>309</v>
      </c>
      <c r="AQ27" s="1"/>
      <c r="AR27" s="1" t="s">
        <v>310</v>
      </c>
      <c r="AS27" s="1"/>
      <c r="AT27" s="2" t="s">
        <v>70</v>
      </c>
    </row>
    <row r="28">
      <c r="A28" s="1"/>
      <c r="B28" s="1" t="s">
        <v>46</v>
      </c>
      <c r="C28" s="1" t="s">
        <v>47</v>
      </c>
      <c r="D28" s="1"/>
      <c r="E28" s="1" t="s">
        <v>311</v>
      </c>
      <c r="F28" s="1"/>
      <c r="G28" s="1" t="s">
        <v>49</v>
      </c>
      <c r="H28" s="1" t="s">
        <v>50</v>
      </c>
      <c r="I28" s="1">
        <v>301000.0</v>
      </c>
      <c r="J28" s="1"/>
      <c r="K28" s="1" t="s">
        <v>92</v>
      </c>
      <c r="L28" s="1"/>
      <c r="M28" s="1" t="s">
        <v>312</v>
      </c>
      <c r="N28" s="1" t="s">
        <v>301</v>
      </c>
      <c r="O28" s="1" t="s">
        <v>302</v>
      </c>
      <c r="P28" s="2" t="s">
        <v>313</v>
      </c>
      <c r="Q28" s="1" t="s">
        <v>56</v>
      </c>
      <c r="R28" s="1"/>
      <c r="S28" s="1" t="s">
        <v>169</v>
      </c>
      <c r="T28" s="1">
        <v>5300108.0</v>
      </c>
      <c r="U28" s="1" t="s">
        <v>304</v>
      </c>
      <c r="V28" s="1" t="s">
        <v>305</v>
      </c>
      <c r="W28" s="1" t="s">
        <v>314</v>
      </c>
      <c r="X28" s="1"/>
      <c r="Y28" s="1"/>
      <c r="Z28" s="1" t="s">
        <v>306</v>
      </c>
      <c r="AA28" s="1" t="s">
        <v>315</v>
      </c>
      <c r="AB28" s="1" t="str">
        <f>"04892707000100"</f>
        <v>04892707000100</v>
      </c>
      <c r="AC28" s="1"/>
      <c r="AD28" s="1" t="s">
        <v>81</v>
      </c>
      <c r="AE28" s="1"/>
      <c r="AF28" s="1">
        <v>-47.993333</v>
      </c>
      <c r="AG28" s="1">
        <v>-15.780278</v>
      </c>
      <c r="AH28" s="1" t="s">
        <v>316</v>
      </c>
      <c r="AI28" s="1"/>
      <c r="AJ28" s="1" t="s">
        <v>120</v>
      </c>
      <c r="AK28" s="1"/>
      <c r="AL28" s="1"/>
      <c r="AM28" s="1" t="s">
        <v>65</v>
      </c>
      <c r="AN28" s="1" t="s">
        <v>66</v>
      </c>
      <c r="AO28" s="1"/>
      <c r="AP28" s="2" t="s">
        <v>317</v>
      </c>
      <c r="AQ28" s="1"/>
      <c r="AR28" s="1" t="s">
        <v>318</v>
      </c>
      <c r="AS28" s="1"/>
      <c r="AT28" s="2" t="s">
        <v>70</v>
      </c>
    </row>
    <row r="29">
      <c r="A29" s="1"/>
      <c r="B29" s="1" t="s">
        <v>46</v>
      </c>
      <c r="C29" s="1" t="s">
        <v>47</v>
      </c>
      <c r="D29" s="1"/>
      <c r="E29" s="1" t="s">
        <v>319</v>
      </c>
      <c r="F29" s="1"/>
      <c r="G29" s="1" t="s">
        <v>49</v>
      </c>
      <c r="H29" s="1" t="s">
        <v>72</v>
      </c>
      <c r="I29" s="1">
        <v>690000.0</v>
      </c>
      <c r="J29" s="1"/>
      <c r="K29" s="1"/>
      <c r="L29" s="1"/>
      <c r="M29" s="1" t="s">
        <v>320</v>
      </c>
      <c r="N29" s="1" t="s">
        <v>109</v>
      </c>
      <c r="O29" s="1" t="s">
        <v>110</v>
      </c>
      <c r="P29" s="2" t="s">
        <v>321</v>
      </c>
      <c r="Q29" s="1" t="s">
        <v>56</v>
      </c>
      <c r="R29" s="1"/>
      <c r="S29" s="1" t="s">
        <v>241</v>
      </c>
      <c r="T29" s="1">
        <v>5103254.0</v>
      </c>
      <c r="U29" s="1" t="s">
        <v>322</v>
      </c>
      <c r="V29" s="1" t="s">
        <v>323</v>
      </c>
      <c r="W29" s="1" t="s">
        <v>100</v>
      </c>
      <c r="X29" s="1"/>
      <c r="Y29" s="1"/>
      <c r="Z29" s="1" t="s">
        <v>112</v>
      </c>
      <c r="AA29" s="1" t="s">
        <v>324</v>
      </c>
      <c r="AB29" s="1" t="str">
        <f>"***731592**"</f>
        <v>***731592**</v>
      </c>
      <c r="AC29" s="1"/>
      <c r="AD29" s="1" t="s">
        <v>325</v>
      </c>
      <c r="AE29" s="1"/>
      <c r="AF29" s="1">
        <v>-60.298167</v>
      </c>
      <c r="AG29" s="1">
        <v>-9.381806</v>
      </c>
      <c r="AH29" s="1" t="s">
        <v>326</v>
      </c>
      <c r="AI29" s="1"/>
      <c r="AJ29" s="1" t="s">
        <v>327</v>
      </c>
      <c r="AK29" s="1"/>
      <c r="AL29" s="1"/>
      <c r="AM29" s="1" t="s">
        <v>65</v>
      </c>
      <c r="AN29" s="1" t="s">
        <v>328</v>
      </c>
      <c r="AO29" s="1"/>
      <c r="AP29" s="2" t="s">
        <v>329</v>
      </c>
      <c r="AQ29" s="1"/>
      <c r="AR29" s="1" t="s">
        <v>330</v>
      </c>
      <c r="AS29" s="1"/>
      <c r="AT29" s="2" t="s">
        <v>70</v>
      </c>
    </row>
    <row r="30">
      <c r="A30" s="1"/>
      <c r="B30" s="1" t="s">
        <v>46</v>
      </c>
      <c r="C30" s="1" t="s">
        <v>47</v>
      </c>
      <c r="D30" s="1"/>
      <c r="E30" s="1" t="s">
        <v>331</v>
      </c>
      <c r="F30" s="1"/>
      <c r="G30" s="1" t="s">
        <v>49</v>
      </c>
      <c r="H30" s="1" t="s">
        <v>50</v>
      </c>
      <c r="I30" s="1">
        <v>51000.0</v>
      </c>
      <c r="J30" s="1"/>
      <c r="K30" s="1" t="s">
        <v>51</v>
      </c>
      <c r="L30" s="1"/>
      <c r="M30" s="1" t="s">
        <v>332</v>
      </c>
      <c r="N30" s="1" t="s">
        <v>53</v>
      </c>
      <c r="O30" s="1" t="s">
        <v>333</v>
      </c>
      <c r="P30" s="2" t="s">
        <v>334</v>
      </c>
      <c r="Q30" s="1" t="s">
        <v>56</v>
      </c>
      <c r="R30" s="1"/>
      <c r="S30" s="1" t="s">
        <v>123</v>
      </c>
      <c r="T30" s="1">
        <v>1100098.0</v>
      </c>
      <c r="U30" s="1" t="s">
        <v>335</v>
      </c>
      <c r="V30" s="1" t="s">
        <v>125</v>
      </c>
      <c r="W30" s="1" t="s">
        <v>100</v>
      </c>
      <c r="X30" s="1"/>
      <c r="Y30" s="1"/>
      <c r="Z30" s="1" t="s">
        <v>223</v>
      </c>
      <c r="AA30" s="1" t="s">
        <v>336</v>
      </c>
      <c r="AB30" s="1" t="str">
        <f>"15235515000148"</f>
        <v>15235515000148</v>
      </c>
      <c r="AC30" s="1"/>
      <c r="AD30" s="1" t="s">
        <v>81</v>
      </c>
      <c r="AE30" s="1"/>
      <c r="AF30" s="1">
        <v>-61.013889</v>
      </c>
      <c r="AG30" s="1">
        <v>-11.525</v>
      </c>
      <c r="AH30" s="1" t="s">
        <v>337</v>
      </c>
      <c r="AI30" s="1"/>
      <c r="AJ30" s="1" t="s">
        <v>158</v>
      </c>
      <c r="AK30" s="1"/>
      <c r="AL30" s="1"/>
      <c r="AM30" s="1" t="s">
        <v>65</v>
      </c>
      <c r="AN30" s="1" t="s">
        <v>159</v>
      </c>
      <c r="AO30" s="1"/>
      <c r="AP30" s="2" t="s">
        <v>338</v>
      </c>
      <c r="AQ30" s="1"/>
      <c r="AR30" s="1" t="s">
        <v>339</v>
      </c>
      <c r="AS30" s="1" t="s">
        <v>340</v>
      </c>
      <c r="AT30" s="2" t="s">
        <v>70</v>
      </c>
    </row>
    <row r="31">
      <c r="A31" s="1"/>
      <c r="B31" s="1" t="s">
        <v>46</v>
      </c>
      <c r="C31" s="1" t="s">
        <v>47</v>
      </c>
      <c r="D31" s="1"/>
      <c r="E31" s="1" t="s">
        <v>341</v>
      </c>
      <c r="F31" s="1"/>
      <c r="G31" s="1" t="s">
        <v>49</v>
      </c>
      <c r="H31" s="1" t="s">
        <v>72</v>
      </c>
      <c r="I31" s="1">
        <v>200500.0</v>
      </c>
      <c r="J31" s="1"/>
      <c r="K31" s="1"/>
      <c r="L31" s="1"/>
      <c r="M31" s="1" t="s">
        <v>342</v>
      </c>
      <c r="N31" s="1" t="s">
        <v>301</v>
      </c>
      <c r="O31" s="1" t="s">
        <v>302</v>
      </c>
      <c r="P31" s="2" t="s">
        <v>343</v>
      </c>
      <c r="Q31" s="1" t="s">
        <v>77</v>
      </c>
      <c r="R31" s="1"/>
      <c r="S31" s="1" t="s">
        <v>268</v>
      </c>
      <c r="T31" s="1">
        <v>4127965.0</v>
      </c>
      <c r="U31" s="1" t="s">
        <v>344</v>
      </c>
      <c r="V31" s="1" t="s">
        <v>270</v>
      </c>
      <c r="W31" s="1" t="s">
        <v>78</v>
      </c>
      <c r="X31" s="1"/>
      <c r="Y31" s="1"/>
      <c r="Z31" s="1" t="s">
        <v>306</v>
      </c>
      <c r="AA31" s="1" t="s">
        <v>345</v>
      </c>
      <c r="AB31" s="1" t="str">
        <f>"***255379**"</f>
        <v>***255379**</v>
      </c>
      <c r="AC31" s="1"/>
      <c r="AD31" s="1" t="s">
        <v>62</v>
      </c>
      <c r="AE31" s="1"/>
      <c r="AF31" s="1">
        <v>-51.563056</v>
      </c>
      <c r="AG31" s="1">
        <v>-25.053611</v>
      </c>
      <c r="AH31" s="1" t="s">
        <v>346</v>
      </c>
      <c r="AI31" s="1"/>
      <c r="AJ31" s="1" t="s">
        <v>273</v>
      </c>
      <c r="AK31" s="1"/>
      <c r="AL31" s="1"/>
      <c r="AM31" s="1" t="s">
        <v>65</v>
      </c>
      <c r="AN31" s="1" t="s">
        <v>347</v>
      </c>
      <c r="AO31" s="1"/>
      <c r="AP31" s="2" t="s">
        <v>348</v>
      </c>
      <c r="AQ31" s="1"/>
      <c r="AR31" s="1" t="s">
        <v>310</v>
      </c>
      <c r="AS31" s="1"/>
      <c r="AT31" s="2" t="s">
        <v>70</v>
      </c>
    </row>
    <row r="32">
      <c r="A32" s="1"/>
      <c r="B32" s="1" t="s">
        <v>46</v>
      </c>
      <c r="C32" s="1" t="s">
        <v>47</v>
      </c>
      <c r="D32" s="1"/>
      <c r="E32" s="1" t="s">
        <v>349</v>
      </c>
      <c r="F32" s="1"/>
      <c r="G32" s="1" t="s">
        <v>49</v>
      </c>
      <c r="H32" s="1" t="s">
        <v>50</v>
      </c>
      <c r="I32" s="1">
        <v>2000.0</v>
      </c>
      <c r="J32" s="1"/>
      <c r="K32" s="1" t="s">
        <v>51</v>
      </c>
      <c r="L32" s="1"/>
      <c r="M32" s="1" t="s">
        <v>350</v>
      </c>
      <c r="N32" s="1" t="s">
        <v>94</v>
      </c>
      <c r="O32" s="1" t="s">
        <v>95</v>
      </c>
      <c r="P32" s="2" t="s">
        <v>351</v>
      </c>
      <c r="Q32" s="1" t="s">
        <v>56</v>
      </c>
      <c r="R32" s="2" t="s">
        <v>240</v>
      </c>
      <c r="S32" s="1" t="s">
        <v>288</v>
      </c>
      <c r="T32" s="1">
        <v>2200707.0</v>
      </c>
      <c r="U32" s="1" t="s">
        <v>352</v>
      </c>
      <c r="V32" s="1" t="s">
        <v>290</v>
      </c>
      <c r="W32" s="1" t="s">
        <v>172</v>
      </c>
      <c r="X32" s="1"/>
      <c r="Y32" s="1"/>
      <c r="Z32" s="1" t="s">
        <v>101</v>
      </c>
      <c r="AA32" s="1" t="s">
        <v>353</v>
      </c>
      <c r="AB32" s="1" t="str">
        <f>"07448931000104"</f>
        <v>07448931000104</v>
      </c>
      <c r="AC32" s="1"/>
      <c r="AD32" s="1" t="s">
        <v>62</v>
      </c>
      <c r="AE32" s="1"/>
      <c r="AF32" s="1">
        <v>-42.783889</v>
      </c>
      <c r="AG32" s="1">
        <v>-5.064722</v>
      </c>
      <c r="AH32" s="1" t="s">
        <v>354</v>
      </c>
      <c r="AI32" s="1"/>
      <c r="AJ32" s="1" t="s">
        <v>295</v>
      </c>
      <c r="AK32" s="1"/>
      <c r="AL32" s="1"/>
      <c r="AM32" s="1" t="s">
        <v>65</v>
      </c>
      <c r="AN32" s="1" t="s">
        <v>296</v>
      </c>
      <c r="AO32" s="1"/>
      <c r="AP32" s="2" t="s">
        <v>355</v>
      </c>
      <c r="AQ32" s="1"/>
      <c r="AR32" s="1" t="s">
        <v>298</v>
      </c>
      <c r="AS32" s="1"/>
      <c r="AT32" s="2" t="s">
        <v>70</v>
      </c>
    </row>
    <row r="33">
      <c r="A33" s="1"/>
      <c r="B33" s="1" t="s">
        <v>46</v>
      </c>
      <c r="C33" s="1" t="s">
        <v>47</v>
      </c>
      <c r="D33" s="1"/>
      <c r="E33" s="1" t="s">
        <v>356</v>
      </c>
      <c r="F33" s="1"/>
      <c r="G33" s="1" t="s">
        <v>49</v>
      </c>
      <c r="H33" s="1" t="s">
        <v>72</v>
      </c>
      <c r="I33" s="1">
        <v>1800.0</v>
      </c>
      <c r="J33" s="1"/>
      <c r="K33" s="1"/>
      <c r="L33" s="1"/>
      <c r="M33" s="1" t="s">
        <v>357</v>
      </c>
      <c r="N33" s="1" t="s">
        <v>285</v>
      </c>
      <c r="O33" s="1" t="s">
        <v>286</v>
      </c>
      <c r="P33" s="2" t="s">
        <v>358</v>
      </c>
      <c r="Q33" s="1" t="s">
        <v>137</v>
      </c>
      <c r="R33" s="1"/>
      <c r="S33" s="1" t="s">
        <v>359</v>
      </c>
      <c r="T33" s="1">
        <v>3548500.0</v>
      </c>
      <c r="U33" s="1" t="s">
        <v>360</v>
      </c>
      <c r="V33" s="1" t="s">
        <v>139</v>
      </c>
      <c r="W33" s="1" t="s">
        <v>78</v>
      </c>
      <c r="X33" s="1"/>
      <c r="Y33" s="1"/>
      <c r="Z33" s="1" t="s">
        <v>292</v>
      </c>
      <c r="AA33" s="1" t="s">
        <v>361</v>
      </c>
      <c r="AB33" s="1" t="str">
        <f>"32223082000120"</f>
        <v>32223082000120</v>
      </c>
      <c r="AC33" s="1"/>
      <c r="AD33" s="1" t="s">
        <v>62</v>
      </c>
      <c r="AE33" s="1"/>
      <c r="AF33" s="1">
        <v>-46.305</v>
      </c>
      <c r="AG33" s="1">
        <v>-23.980278</v>
      </c>
      <c r="AH33" s="1" t="s">
        <v>362</v>
      </c>
      <c r="AI33" s="1"/>
      <c r="AJ33" s="1" t="s">
        <v>142</v>
      </c>
      <c r="AK33" s="1"/>
      <c r="AL33" s="1"/>
      <c r="AM33" s="1" t="s">
        <v>65</v>
      </c>
      <c r="AN33" s="1" t="s">
        <v>274</v>
      </c>
      <c r="AO33" s="1"/>
      <c r="AP33" s="2" t="s">
        <v>363</v>
      </c>
      <c r="AQ33" s="1"/>
      <c r="AR33" s="1" t="s">
        <v>364</v>
      </c>
      <c r="AS33" s="1"/>
      <c r="AT33" s="2" t="s">
        <v>70</v>
      </c>
    </row>
    <row r="34">
      <c r="A34" s="1"/>
      <c r="B34" s="1" t="s">
        <v>46</v>
      </c>
      <c r="C34" s="1" t="s">
        <v>47</v>
      </c>
      <c r="D34" s="1"/>
      <c r="E34" s="1" t="s">
        <v>365</v>
      </c>
      <c r="F34" s="1"/>
      <c r="G34" s="1" t="s">
        <v>49</v>
      </c>
      <c r="H34" s="1" t="s">
        <v>50</v>
      </c>
      <c r="I34" s="1">
        <v>1000.0</v>
      </c>
      <c r="J34" s="1"/>
      <c r="K34" s="1" t="s">
        <v>51</v>
      </c>
      <c r="L34" s="1"/>
      <c r="M34" s="1" t="s">
        <v>366</v>
      </c>
      <c r="N34" s="1" t="s">
        <v>53</v>
      </c>
      <c r="O34" s="1" t="s">
        <v>333</v>
      </c>
      <c r="P34" s="2" t="s">
        <v>367</v>
      </c>
      <c r="Q34" s="1" t="s">
        <v>56</v>
      </c>
      <c r="R34" s="1"/>
      <c r="S34" s="1" t="s">
        <v>220</v>
      </c>
      <c r="T34" s="1">
        <v>3549805.0</v>
      </c>
      <c r="U34" s="1" t="s">
        <v>368</v>
      </c>
      <c r="V34" s="1" t="s">
        <v>139</v>
      </c>
      <c r="W34" s="1" t="s">
        <v>172</v>
      </c>
      <c r="X34" s="1"/>
      <c r="Y34" s="1"/>
      <c r="Z34" s="1" t="s">
        <v>223</v>
      </c>
      <c r="AA34" s="1" t="s">
        <v>369</v>
      </c>
      <c r="AB34" s="1" t="str">
        <f t="shared" ref="AB34:AB35" si="2">"***075508**"</f>
        <v>***075508**</v>
      </c>
      <c r="AC34" s="1"/>
      <c r="AD34" s="1" t="s">
        <v>81</v>
      </c>
      <c r="AE34" s="1"/>
      <c r="AF34" s="1">
        <v>-49.355556</v>
      </c>
      <c r="AG34" s="1">
        <v>-20.792139</v>
      </c>
      <c r="AH34" s="1" t="s">
        <v>370</v>
      </c>
      <c r="AI34" s="1"/>
      <c r="AJ34" s="1" t="s">
        <v>371</v>
      </c>
      <c r="AK34" s="1"/>
      <c r="AL34" s="1"/>
      <c r="AM34" s="1" t="s">
        <v>65</v>
      </c>
      <c r="AN34" s="1"/>
      <c r="AO34" s="1"/>
      <c r="AP34" s="2" t="s">
        <v>372</v>
      </c>
      <c r="AQ34" s="1"/>
      <c r="AR34" s="1" t="s">
        <v>318</v>
      </c>
      <c r="AS34" s="1"/>
      <c r="AT34" s="2" t="s">
        <v>70</v>
      </c>
    </row>
    <row r="35">
      <c r="A35" s="1"/>
      <c r="B35" s="1" t="s">
        <v>46</v>
      </c>
      <c r="C35" s="1" t="s">
        <v>47</v>
      </c>
      <c r="D35" s="1"/>
      <c r="E35" s="1" t="s">
        <v>373</v>
      </c>
      <c r="F35" s="1"/>
      <c r="G35" s="1" t="s">
        <v>49</v>
      </c>
      <c r="H35" s="1" t="s">
        <v>50</v>
      </c>
      <c r="I35" s="1">
        <v>500.0</v>
      </c>
      <c r="J35" s="1"/>
      <c r="K35" s="1" t="s">
        <v>51</v>
      </c>
      <c r="L35" s="1"/>
      <c r="M35" s="1" t="s">
        <v>374</v>
      </c>
      <c r="N35" s="1" t="s">
        <v>257</v>
      </c>
      <c r="O35" s="1" t="s">
        <v>258</v>
      </c>
      <c r="P35" s="2" t="s">
        <v>375</v>
      </c>
      <c r="Q35" s="1" t="s">
        <v>56</v>
      </c>
      <c r="R35" s="1"/>
      <c r="S35" s="1" t="s">
        <v>220</v>
      </c>
      <c r="T35" s="1">
        <v>3549805.0</v>
      </c>
      <c r="U35" s="1" t="s">
        <v>368</v>
      </c>
      <c r="V35" s="1" t="s">
        <v>139</v>
      </c>
      <c r="W35" s="1" t="s">
        <v>172</v>
      </c>
      <c r="X35" s="1"/>
      <c r="Y35" s="1"/>
      <c r="Z35" s="1" t="s">
        <v>260</v>
      </c>
      <c r="AA35" s="1" t="s">
        <v>376</v>
      </c>
      <c r="AB35" s="1" t="str">
        <f t="shared" si="2"/>
        <v>***075508**</v>
      </c>
      <c r="AC35" s="1"/>
      <c r="AD35" s="1" t="s">
        <v>81</v>
      </c>
      <c r="AE35" s="1"/>
      <c r="AF35" s="1">
        <v>-49.355556</v>
      </c>
      <c r="AG35" s="1">
        <v>-20.792139</v>
      </c>
      <c r="AH35" s="1" t="s">
        <v>370</v>
      </c>
      <c r="AI35" s="1"/>
      <c r="AJ35" s="1" t="s">
        <v>371</v>
      </c>
      <c r="AK35" s="1"/>
      <c r="AL35" s="1"/>
      <c r="AM35" s="1" t="s">
        <v>65</v>
      </c>
      <c r="AN35" s="1"/>
      <c r="AO35" s="1"/>
      <c r="AP35" s="2" t="s">
        <v>377</v>
      </c>
      <c r="AQ35" s="1"/>
      <c r="AR35" s="1" t="s">
        <v>378</v>
      </c>
      <c r="AS35" s="1"/>
      <c r="AT35" s="2" t="s">
        <v>70</v>
      </c>
    </row>
    <row r="36">
      <c r="A36" s="1"/>
      <c r="B36" s="1" t="s">
        <v>46</v>
      </c>
      <c r="C36" s="1" t="s">
        <v>47</v>
      </c>
      <c r="D36" s="1"/>
      <c r="E36" s="1" t="s">
        <v>379</v>
      </c>
      <c r="F36" s="1"/>
      <c r="G36" s="1" t="s">
        <v>49</v>
      </c>
      <c r="H36" s="1" t="s">
        <v>50</v>
      </c>
      <c r="I36" s="1">
        <v>4500.0</v>
      </c>
      <c r="J36" s="1"/>
      <c r="K36" s="1" t="s">
        <v>92</v>
      </c>
      <c r="L36" s="1"/>
      <c r="M36" s="1" t="s">
        <v>380</v>
      </c>
      <c r="N36" s="1" t="s">
        <v>381</v>
      </c>
      <c r="O36" s="1" t="s">
        <v>382</v>
      </c>
      <c r="P36" s="2" t="s">
        <v>383</v>
      </c>
      <c r="Q36" s="1" t="s">
        <v>137</v>
      </c>
      <c r="R36" s="1"/>
      <c r="S36" s="1" t="s">
        <v>280</v>
      </c>
      <c r="T36" s="1">
        <v>3548500.0</v>
      </c>
      <c r="U36" s="1" t="s">
        <v>360</v>
      </c>
      <c r="V36" s="1" t="s">
        <v>139</v>
      </c>
      <c r="W36" s="1" t="s">
        <v>60</v>
      </c>
      <c r="X36" s="1"/>
      <c r="Y36" s="1"/>
      <c r="Z36" s="1" t="s">
        <v>384</v>
      </c>
      <c r="AA36" s="1" t="s">
        <v>361</v>
      </c>
      <c r="AB36" s="1" t="str">
        <f>"32223082000120"</f>
        <v>32223082000120</v>
      </c>
      <c r="AC36" s="1"/>
      <c r="AD36" s="1" t="s">
        <v>62</v>
      </c>
      <c r="AE36" s="1"/>
      <c r="AF36" s="1">
        <v>-46.305</v>
      </c>
      <c r="AG36" s="1">
        <v>-23.980278</v>
      </c>
      <c r="AH36" s="1" t="s">
        <v>385</v>
      </c>
      <c r="AI36" s="1"/>
      <c r="AJ36" s="1" t="s">
        <v>142</v>
      </c>
      <c r="AK36" s="1"/>
      <c r="AL36" s="1"/>
      <c r="AM36" s="1" t="s">
        <v>65</v>
      </c>
      <c r="AN36" s="1" t="s">
        <v>274</v>
      </c>
      <c r="AO36" s="1"/>
      <c r="AP36" s="2" t="s">
        <v>386</v>
      </c>
      <c r="AQ36" s="1"/>
      <c r="AR36" s="1" t="s">
        <v>387</v>
      </c>
      <c r="AS36" s="1" t="s">
        <v>388</v>
      </c>
      <c r="AT36" s="2" t="s">
        <v>70</v>
      </c>
    </row>
    <row r="37">
      <c r="A37" s="1"/>
      <c r="B37" s="1" t="s">
        <v>46</v>
      </c>
      <c r="C37" s="1" t="s">
        <v>47</v>
      </c>
      <c r="D37" s="1"/>
      <c r="E37" s="1" t="s">
        <v>389</v>
      </c>
      <c r="F37" s="1"/>
      <c r="G37" s="1" t="s">
        <v>49</v>
      </c>
      <c r="H37" s="1" t="s">
        <v>50</v>
      </c>
      <c r="I37" s="1">
        <v>51000.0</v>
      </c>
      <c r="J37" s="1"/>
      <c r="K37" s="1" t="s">
        <v>51</v>
      </c>
      <c r="L37" s="1"/>
      <c r="M37" s="1" t="s">
        <v>390</v>
      </c>
      <c r="N37" s="1" t="s">
        <v>53</v>
      </c>
      <c r="O37" s="1" t="s">
        <v>333</v>
      </c>
      <c r="P37" s="2" t="s">
        <v>391</v>
      </c>
      <c r="Q37" s="1" t="s">
        <v>56</v>
      </c>
      <c r="R37" s="2" t="s">
        <v>392</v>
      </c>
      <c r="S37" s="1" t="s">
        <v>148</v>
      </c>
      <c r="T37" s="1">
        <v>1100098.0</v>
      </c>
      <c r="U37" s="1" t="s">
        <v>335</v>
      </c>
      <c r="V37" s="1" t="s">
        <v>125</v>
      </c>
      <c r="W37" s="1" t="s">
        <v>100</v>
      </c>
      <c r="X37" s="1"/>
      <c r="Y37" s="1"/>
      <c r="Z37" s="1" t="s">
        <v>223</v>
      </c>
      <c r="AA37" s="1" t="s">
        <v>393</v>
      </c>
      <c r="AB37" s="1" t="str">
        <f>"09458680000166"</f>
        <v>09458680000166</v>
      </c>
      <c r="AC37" s="1"/>
      <c r="AD37" s="1" t="s">
        <v>81</v>
      </c>
      <c r="AE37" s="1"/>
      <c r="AF37" s="1">
        <v>-61.013889</v>
      </c>
      <c r="AG37" s="1">
        <v>-11.525</v>
      </c>
      <c r="AH37" s="1" t="s">
        <v>394</v>
      </c>
      <c r="AI37" s="1"/>
      <c r="AJ37" s="1" t="s">
        <v>158</v>
      </c>
      <c r="AK37" s="1"/>
      <c r="AL37" s="1"/>
      <c r="AM37" s="1" t="s">
        <v>65</v>
      </c>
      <c r="AN37" s="1" t="s">
        <v>159</v>
      </c>
      <c r="AO37" s="1"/>
      <c r="AP37" s="2" t="s">
        <v>395</v>
      </c>
      <c r="AQ37" s="1"/>
      <c r="AR37" s="1" t="s">
        <v>339</v>
      </c>
      <c r="AS37" s="1" t="s">
        <v>396</v>
      </c>
      <c r="AT37" s="2" t="s">
        <v>70</v>
      </c>
    </row>
    <row r="38">
      <c r="A38" s="1"/>
      <c r="B38" s="1" t="s">
        <v>46</v>
      </c>
      <c r="C38" s="1" t="s">
        <v>47</v>
      </c>
      <c r="D38" s="1"/>
      <c r="E38" s="1" t="s">
        <v>397</v>
      </c>
      <c r="F38" s="1"/>
      <c r="G38" s="1" t="s">
        <v>49</v>
      </c>
      <c r="H38" s="1" t="s">
        <v>50</v>
      </c>
      <c r="I38" s="1">
        <v>63800.0</v>
      </c>
      <c r="J38" s="1"/>
      <c r="K38" s="1" t="s">
        <v>92</v>
      </c>
      <c r="L38" s="1"/>
      <c r="M38" s="1" t="s">
        <v>398</v>
      </c>
      <c r="N38" s="1" t="s">
        <v>74</v>
      </c>
      <c r="O38" s="1" t="s">
        <v>75</v>
      </c>
      <c r="P38" s="2" t="s">
        <v>399</v>
      </c>
      <c r="Q38" s="1" t="s">
        <v>56</v>
      </c>
      <c r="R38" s="1"/>
      <c r="S38" s="1" t="s">
        <v>400</v>
      </c>
      <c r="T38" s="1">
        <v>4312500.0</v>
      </c>
      <c r="U38" s="1" t="s">
        <v>401</v>
      </c>
      <c r="V38" s="1" t="s">
        <v>402</v>
      </c>
      <c r="W38" s="1" t="s">
        <v>60</v>
      </c>
      <c r="X38" s="1"/>
      <c r="Y38" s="1"/>
      <c r="Z38" s="1" t="s">
        <v>79</v>
      </c>
      <c r="AA38" s="1" t="s">
        <v>403</v>
      </c>
      <c r="AB38" s="1" t="str">
        <f>"17248249000113"</f>
        <v>17248249000113</v>
      </c>
      <c r="AC38" s="1"/>
      <c r="AD38" s="1" t="s">
        <v>81</v>
      </c>
      <c r="AE38" s="1"/>
      <c r="AF38" s="1">
        <v>-50.916944</v>
      </c>
      <c r="AG38" s="1">
        <v>-31.103611</v>
      </c>
      <c r="AH38" s="1" t="s">
        <v>404</v>
      </c>
      <c r="AI38" s="1"/>
      <c r="AJ38" s="1" t="s">
        <v>405</v>
      </c>
      <c r="AK38" s="1"/>
      <c r="AL38" s="1"/>
      <c r="AM38" s="1" t="s">
        <v>65</v>
      </c>
      <c r="AN38" s="1" t="s">
        <v>159</v>
      </c>
      <c r="AO38" s="1"/>
      <c r="AP38" s="2" t="s">
        <v>406</v>
      </c>
      <c r="AQ38" s="1"/>
      <c r="AR38" s="1" t="s">
        <v>407</v>
      </c>
      <c r="AS38" s="1" t="s">
        <v>408</v>
      </c>
      <c r="AT38" s="2" t="s">
        <v>70</v>
      </c>
    </row>
    <row r="39">
      <c r="A39" s="1"/>
      <c r="B39" s="1" t="s">
        <v>46</v>
      </c>
      <c r="C39" s="1" t="s">
        <v>47</v>
      </c>
      <c r="D39" s="1"/>
      <c r="E39" s="1" t="s">
        <v>409</v>
      </c>
      <c r="F39" s="1"/>
      <c r="G39" s="1" t="s">
        <v>49</v>
      </c>
      <c r="H39" s="1" t="s">
        <v>72</v>
      </c>
      <c r="I39" s="1">
        <v>20500.0</v>
      </c>
      <c r="J39" s="1"/>
      <c r="K39" s="1"/>
      <c r="L39" s="1"/>
      <c r="M39" s="1" t="s">
        <v>410</v>
      </c>
      <c r="N39" s="1" t="s">
        <v>257</v>
      </c>
      <c r="O39" s="1" t="s">
        <v>258</v>
      </c>
      <c r="P39" s="2" t="s">
        <v>411</v>
      </c>
      <c r="Q39" s="1" t="s">
        <v>77</v>
      </c>
      <c r="R39" s="1"/>
      <c r="S39" s="1" t="s">
        <v>412</v>
      </c>
      <c r="T39" s="1">
        <v>2707107.0</v>
      </c>
      <c r="U39" s="1" t="s">
        <v>413</v>
      </c>
      <c r="V39" s="1" t="s">
        <v>414</v>
      </c>
      <c r="W39" s="1" t="s">
        <v>291</v>
      </c>
      <c r="X39" s="1"/>
      <c r="Y39" s="1"/>
      <c r="Z39" s="1" t="s">
        <v>260</v>
      </c>
      <c r="AA39" s="1" t="s">
        <v>415</v>
      </c>
      <c r="AB39" s="1" t="str">
        <f>"***620024**"</f>
        <v>***620024**</v>
      </c>
      <c r="AC39" s="1"/>
      <c r="AD39" s="1" t="s">
        <v>81</v>
      </c>
      <c r="AE39" s="1"/>
      <c r="AF39" s="1">
        <v>-37.761667</v>
      </c>
      <c r="AG39" s="1">
        <v>-9.623333</v>
      </c>
      <c r="AH39" s="1" t="s">
        <v>416</v>
      </c>
      <c r="AI39" s="1"/>
      <c r="AJ39" s="1" t="s">
        <v>417</v>
      </c>
      <c r="AK39" s="1"/>
      <c r="AL39" s="1"/>
      <c r="AM39" s="1" t="s">
        <v>65</v>
      </c>
      <c r="AN39" s="1" t="s">
        <v>274</v>
      </c>
      <c r="AO39" s="1"/>
      <c r="AP39" s="2" t="s">
        <v>418</v>
      </c>
      <c r="AQ39" s="1"/>
      <c r="AR39" s="1" t="s">
        <v>419</v>
      </c>
      <c r="AS39" s="1"/>
      <c r="AT39" s="2" t="s">
        <v>70</v>
      </c>
    </row>
    <row r="40">
      <c r="A40" s="1"/>
      <c r="B40" s="1" t="s">
        <v>46</v>
      </c>
      <c r="C40" s="1" t="s">
        <v>47</v>
      </c>
      <c r="D40" s="1"/>
      <c r="E40" s="1" t="s">
        <v>420</v>
      </c>
      <c r="F40" s="1"/>
      <c r="G40" s="1" t="s">
        <v>49</v>
      </c>
      <c r="H40" s="1" t="s">
        <v>50</v>
      </c>
      <c r="I40" s="1">
        <v>52500.0</v>
      </c>
      <c r="J40" s="1"/>
      <c r="K40" s="1"/>
      <c r="L40" s="1"/>
      <c r="M40" s="1" t="s">
        <v>421</v>
      </c>
      <c r="N40" s="1" t="s">
        <v>109</v>
      </c>
      <c r="O40" s="1" t="s">
        <v>110</v>
      </c>
      <c r="P40" s="2" t="s">
        <v>422</v>
      </c>
      <c r="Q40" s="1" t="s">
        <v>56</v>
      </c>
      <c r="R40" s="1"/>
      <c r="S40" s="1" t="s">
        <v>220</v>
      </c>
      <c r="T40" s="1">
        <v>1100288.0</v>
      </c>
      <c r="U40" s="1" t="s">
        <v>423</v>
      </c>
      <c r="V40" s="1" t="s">
        <v>125</v>
      </c>
      <c r="W40" s="1" t="s">
        <v>100</v>
      </c>
      <c r="X40" s="1"/>
      <c r="Y40" s="1"/>
      <c r="Z40" s="1" t="s">
        <v>112</v>
      </c>
      <c r="AA40" s="1" t="s">
        <v>424</v>
      </c>
      <c r="AB40" s="1" t="str">
        <f>"12535196000106"</f>
        <v>12535196000106</v>
      </c>
      <c r="AC40" s="1"/>
      <c r="AD40" s="1" t="s">
        <v>81</v>
      </c>
      <c r="AE40" s="1"/>
      <c r="AF40" s="1">
        <v>-61.923611</v>
      </c>
      <c r="AG40" s="1">
        <v>-10.881111</v>
      </c>
      <c r="AH40" s="1" t="s">
        <v>425</v>
      </c>
      <c r="AI40" s="1"/>
      <c r="AJ40" s="1" t="s">
        <v>158</v>
      </c>
      <c r="AK40" s="1"/>
      <c r="AL40" s="1"/>
      <c r="AM40" s="1" t="s">
        <v>65</v>
      </c>
      <c r="AN40" s="1" t="s">
        <v>159</v>
      </c>
      <c r="AO40" s="1"/>
      <c r="AP40" s="2" t="s">
        <v>426</v>
      </c>
      <c r="AQ40" s="1"/>
      <c r="AR40" s="1" t="s">
        <v>106</v>
      </c>
      <c r="AS40" s="1"/>
      <c r="AT40" s="2" t="s">
        <v>70</v>
      </c>
    </row>
    <row r="41">
      <c r="A41" s="1"/>
      <c r="B41" s="1" t="s">
        <v>46</v>
      </c>
      <c r="C41" s="1" t="s">
        <v>47</v>
      </c>
      <c r="D41" s="1"/>
      <c r="E41" s="1" t="s">
        <v>427</v>
      </c>
      <c r="F41" s="1"/>
      <c r="G41" s="1" t="s">
        <v>49</v>
      </c>
      <c r="H41" s="1" t="s">
        <v>50</v>
      </c>
      <c r="I41" s="1">
        <v>500.0</v>
      </c>
      <c r="J41" s="1"/>
      <c r="K41" s="1" t="s">
        <v>51</v>
      </c>
      <c r="L41" s="1"/>
      <c r="M41" s="1" t="s">
        <v>428</v>
      </c>
      <c r="N41" s="1" t="s">
        <v>257</v>
      </c>
      <c r="O41" s="1" t="s">
        <v>258</v>
      </c>
      <c r="P41" s="2" t="s">
        <v>429</v>
      </c>
      <c r="Q41" s="1" t="s">
        <v>56</v>
      </c>
      <c r="R41" s="1"/>
      <c r="S41" s="1" t="s">
        <v>268</v>
      </c>
      <c r="T41" s="1">
        <v>4119152.0</v>
      </c>
      <c r="U41" s="1" t="s">
        <v>269</v>
      </c>
      <c r="V41" s="1" t="s">
        <v>270</v>
      </c>
      <c r="W41" s="1" t="s">
        <v>78</v>
      </c>
      <c r="X41" s="1"/>
      <c r="Y41" s="1"/>
      <c r="Z41" s="1" t="s">
        <v>260</v>
      </c>
      <c r="AA41" s="1" t="s">
        <v>430</v>
      </c>
      <c r="AB41" s="1" t="str">
        <f>"***106107**"</f>
        <v>***106107**</v>
      </c>
      <c r="AC41" s="1"/>
      <c r="AD41" s="1" t="s">
        <v>81</v>
      </c>
      <c r="AE41" s="1"/>
      <c r="AF41" s="1">
        <v>-49.1875</v>
      </c>
      <c r="AG41" s="1">
        <v>-25.428056</v>
      </c>
      <c r="AH41" s="1" t="s">
        <v>431</v>
      </c>
      <c r="AI41" s="1"/>
      <c r="AJ41" s="1" t="s">
        <v>273</v>
      </c>
      <c r="AK41" s="1"/>
      <c r="AL41" s="1"/>
      <c r="AM41" s="1" t="s">
        <v>65</v>
      </c>
      <c r="AN41" s="1" t="s">
        <v>432</v>
      </c>
      <c r="AO41" s="1"/>
      <c r="AP41" s="2" t="s">
        <v>433</v>
      </c>
      <c r="AQ41" s="1"/>
      <c r="AR41" s="1" t="s">
        <v>276</v>
      </c>
      <c r="AS41" s="1"/>
      <c r="AT41" s="2" t="s">
        <v>70</v>
      </c>
    </row>
    <row r="42">
      <c r="A42" s="1"/>
      <c r="B42" s="1" t="s">
        <v>46</v>
      </c>
      <c r="C42" s="1" t="s">
        <v>47</v>
      </c>
      <c r="D42" s="1"/>
      <c r="E42" s="1" t="s">
        <v>434</v>
      </c>
      <c r="F42" s="1"/>
      <c r="G42" s="1" t="s">
        <v>49</v>
      </c>
      <c r="H42" s="1" t="s">
        <v>50</v>
      </c>
      <c r="I42" s="1">
        <v>1000.0</v>
      </c>
      <c r="J42" s="1"/>
      <c r="K42" s="1" t="s">
        <v>51</v>
      </c>
      <c r="L42" s="1"/>
      <c r="M42" s="1" t="s">
        <v>435</v>
      </c>
      <c r="N42" s="1" t="s">
        <v>285</v>
      </c>
      <c r="O42" s="1" t="s">
        <v>286</v>
      </c>
      <c r="P42" s="2" t="s">
        <v>436</v>
      </c>
      <c r="Q42" s="1" t="s">
        <v>77</v>
      </c>
      <c r="R42" s="1"/>
      <c r="S42" s="1" t="s">
        <v>437</v>
      </c>
      <c r="T42" s="1">
        <v>2303709.0</v>
      </c>
      <c r="U42" s="1" t="s">
        <v>438</v>
      </c>
      <c r="V42" s="1" t="s">
        <v>439</v>
      </c>
      <c r="W42" s="1" t="s">
        <v>60</v>
      </c>
      <c r="X42" s="1"/>
      <c r="Y42" s="1"/>
      <c r="Z42" s="1" t="s">
        <v>292</v>
      </c>
      <c r="AA42" s="1" t="s">
        <v>440</v>
      </c>
      <c r="AB42" s="1" t="str">
        <f>"05782475000109"</f>
        <v>05782475000109</v>
      </c>
      <c r="AC42" s="1"/>
      <c r="AD42" s="1" t="s">
        <v>62</v>
      </c>
      <c r="AE42" s="1"/>
      <c r="AF42" s="1">
        <v>-38.669722</v>
      </c>
      <c r="AG42" s="1">
        <v>-3.761944</v>
      </c>
      <c r="AH42" s="1" t="s">
        <v>441</v>
      </c>
      <c r="AI42" s="1"/>
      <c r="AJ42" s="1" t="s">
        <v>442</v>
      </c>
      <c r="AK42" s="1"/>
      <c r="AL42" s="1"/>
      <c r="AM42" s="1" t="s">
        <v>65</v>
      </c>
      <c r="AN42" s="1" t="s">
        <v>159</v>
      </c>
      <c r="AO42" s="1"/>
      <c r="AP42" s="2" t="s">
        <v>443</v>
      </c>
      <c r="AQ42" s="1"/>
      <c r="AR42" s="1" t="s">
        <v>298</v>
      </c>
      <c r="AS42" s="1"/>
      <c r="AT42" s="2" t="s">
        <v>70</v>
      </c>
    </row>
    <row r="43">
      <c r="A43" s="1"/>
      <c r="B43" s="1" t="s">
        <v>46</v>
      </c>
      <c r="C43" s="1" t="s">
        <v>47</v>
      </c>
      <c r="D43" s="1"/>
      <c r="E43" s="1" t="s">
        <v>444</v>
      </c>
      <c r="F43" s="1"/>
      <c r="G43" s="1" t="s">
        <v>49</v>
      </c>
      <c r="H43" s="1" t="s">
        <v>72</v>
      </c>
      <c r="I43" s="1">
        <v>6940.08</v>
      </c>
      <c r="J43" s="1"/>
      <c r="K43" s="1"/>
      <c r="L43" s="1"/>
      <c r="M43" s="1" t="s">
        <v>445</v>
      </c>
      <c r="N43" s="1" t="s">
        <v>109</v>
      </c>
      <c r="O43" s="1" t="s">
        <v>110</v>
      </c>
      <c r="P43" s="2" t="s">
        <v>446</v>
      </c>
      <c r="Q43" s="1" t="s">
        <v>77</v>
      </c>
      <c r="R43" s="1"/>
      <c r="S43" s="1" t="s">
        <v>447</v>
      </c>
      <c r="T43" s="1">
        <v>2109908.0</v>
      </c>
      <c r="U43" s="1" t="s">
        <v>448</v>
      </c>
      <c r="V43" s="1" t="s">
        <v>449</v>
      </c>
      <c r="W43" s="1" t="s">
        <v>100</v>
      </c>
      <c r="X43" s="1"/>
      <c r="Y43" s="1"/>
      <c r="Z43" s="1" t="s">
        <v>112</v>
      </c>
      <c r="AA43" s="1" t="s">
        <v>450</v>
      </c>
      <c r="AB43" s="1" t="str">
        <f>"***383463**"</f>
        <v>***383463**</v>
      </c>
      <c r="AC43" s="1"/>
      <c r="AD43" s="1" t="s">
        <v>62</v>
      </c>
      <c r="AE43" s="1"/>
      <c r="AF43" s="1">
        <v>-45.420278</v>
      </c>
      <c r="AG43" s="1">
        <v>-3.655</v>
      </c>
      <c r="AH43" s="1" t="s">
        <v>451</v>
      </c>
      <c r="AI43" s="1"/>
      <c r="AJ43" s="1" t="s">
        <v>452</v>
      </c>
      <c r="AK43" s="1"/>
      <c r="AL43" s="1"/>
      <c r="AM43" s="1" t="s">
        <v>65</v>
      </c>
      <c r="AN43" s="1" t="s">
        <v>453</v>
      </c>
      <c r="AO43" s="1"/>
      <c r="AP43" s="2" t="s">
        <v>454</v>
      </c>
      <c r="AQ43" s="1"/>
      <c r="AR43" s="1" t="s">
        <v>455</v>
      </c>
      <c r="AS43" s="1"/>
      <c r="AT43" s="2" t="s">
        <v>70</v>
      </c>
    </row>
    <row r="44">
      <c r="A44" s="1"/>
      <c r="B44" s="1" t="s">
        <v>46</v>
      </c>
      <c r="C44" s="1" t="s">
        <v>47</v>
      </c>
      <c r="D44" s="1"/>
      <c r="E44" s="1" t="s">
        <v>456</v>
      </c>
      <c r="F44" s="1"/>
      <c r="G44" s="1" t="s">
        <v>49</v>
      </c>
      <c r="H44" s="1" t="s">
        <v>50</v>
      </c>
      <c r="I44" s="1">
        <v>100500.0</v>
      </c>
      <c r="J44" s="1"/>
      <c r="K44" s="1" t="s">
        <v>92</v>
      </c>
      <c r="L44" s="1"/>
      <c r="M44" s="1" t="s">
        <v>457</v>
      </c>
      <c r="N44" s="1" t="s">
        <v>53</v>
      </c>
      <c r="O44" s="1" t="s">
        <v>333</v>
      </c>
      <c r="P44" s="2" t="s">
        <v>458</v>
      </c>
      <c r="Q44" s="1" t="s">
        <v>137</v>
      </c>
      <c r="R44" s="1"/>
      <c r="S44" s="1" t="s">
        <v>123</v>
      </c>
      <c r="T44" s="1">
        <v>1100940.0</v>
      </c>
      <c r="U44" s="1" t="s">
        <v>459</v>
      </c>
      <c r="V44" s="1" t="s">
        <v>125</v>
      </c>
      <c r="W44" s="1" t="s">
        <v>100</v>
      </c>
      <c r="X44" s="1"/>
      <c r="Y44" s="1"/>
      <c r="Z44" s="1" t="s">
        <v>223</v>
      </c>
      <c r="AA44" s="1" t="s">
        <v>460</v>
      </c>
      <c r="AB44" s="1" t="str">
        <f>"05194379000131"</f>
        <v>05194379000131</v>
      </c>
      <c r="AC44" s="1"/>
      <c r="AD44" s="1" t="s">
        <v>62</v>
      </c>
      <c r="AE44" s="1"/>
      <c r="AF44" s="1">
        <v>-62.591667</v>
      </c>
      <c r="AG44" s="1">
        <v>-9.3625</v>
      </c>
      <c r="AH44" s="1" t="s">
        <v>461</v>
      </c>
      <c r="AI44" s="1"/>
      <c r="AJ44" s="1" t="s">
        <v>120</v>
      </c>
      <c r="AK44" s="1"/>
      <c r="AL44" s="1"/>
      <c r="AM44" s="1" t="s">
        <v>65</v>
      </c>
      <c r="AN44" s="1" t="s">
        <v>129</v>
      </c>
      <c r="AO44" s="1"/>
      <c r="AP44" s="2" t="s">
        <v>462</v>
      </c>
      <c r="AQ44" s="1"/>
      <c r="AR44" s="1" t="s">
        <v>463</v>
      </c>
      <c r="AS44" s="1"/>
      <c r="AT44" s="2" t="s">
        <v>70</v>
      </c>
    </row>
    <row r="45">
      <c r="A45" s="1">
        <v>2043822.0</v>
      </c>
      <c r="B45" s="1" t="s">
        <v>116</v>
      </c>
      <c r="C45" s="1" t="s">
        <v>117</v>
      </c>
      <c r="D45" s="1" t="s">
        <v>46</v>
      </c>
      <c r="E45" s="1" t="s">
        <v>464</v>
      </c>
      <c r="F45" s="1"/>
      <c r="G45" s="1" t="s">
        <v>119</v>
      </c>
      <c r="H45" s="1" t="s">
        <v>72</v>
      </c>
      <c r="I45" s="1">
        <v>7015.68</v>
      </c>
      <c r="J45" s="1"/>
      <c r="K45" s="1"/>
      <c r="L45" s="1" t="s">
        <v>452</v>
      </c>
      <c r="M45" s="1" t="s">
        <v>465</v>
      </c>
      <c r="N45" s="1" t="s">
        <v>109</v>
      </c>
      <c r="O45" s="1" t="s">
        <v>110</v>
      </c>
      <c r="P45" s="2" t="s">
        <v>466</v>
      </c>
      <c r="Q45" s="1" t="s">
        <v>77</v>
      </c>
      <c r="R45" s="2" t="s">
        <v>467</v>
      </c>
      <c r="S45" s="1" t="s">
        <v>447</v>
      </c>
      <c r="T45" s="1">
        <v>2109908.0</v>
      </c>
      <c r="U45" s="1" t="s">
        <v>448</v>
      </c>
      <c r="V45" s="1" t="s">
        <v>449</v>
      </c>
      <c r="W45" s="1" t="s">
        <v>100</v>
      </c>
      <c r="X45" s="1"/>
      <c r="Y45" s="1" t="str">
        <f>"02012000306202195"</f>
        <v>02012000306202195</v>
      </c>
      <c r="Z45" s="1" t="s">
        <v>112</v>
      </c>
      <c r="AA45" s="1" t="s">
        <v>450</v>
      </c>
      <c r="AB45" s="1" t="str">
        <f>"***383463**"</f>
        <v>***383463**</v>
      </c>
      <c r="AC45" s="1"/>
      <c r="AD45" s="1"/>
      <c r="AE45" s="1"/>
      <c r="AF45" s="1">
        <v>-45.420556</v>
      </c>
      <c r="AG45" s="1">
        <v>-3.655</v>
      </c>
      <c r="AH45" s="1" t="s">
        <v>451</v>
      </c>
      <c r="AI45" s="1"/>
      <c r="AJ45" s="1" t="s">
        <v>452</v>
      </c>
      <c r="AK45" s="1"/>
      <c r="AL45" s="1" t="s">
        <v>128</v>
      </c>
      <c r="AM45" s="1" t="s">
        <v>65</v>
      </c>
      <c r="AN45" s="1" t="s">
        <v>453</v>
      </c>
      <c r="AO45" s="2" t="s">
        <v>468</v>
      </c>
      <c r="AP45" s="2" t="s">
        <v>469</v>
      </c>
      <c r="AQ45" s="1" t="s">
        <v>132</v>
      </c>
      <c r="AR45" s="1" t="s">
        <v>470</v>
      </c>
      <c r="AS45" s="1"/>
      <c r="AT45" s="2" t="s">
        <v>70</v>
      </c>
    </row>
    <row r="46">
      <c r="A46" s="1"/>
      <c r="B46" s="1" t="s">
        <v>46</v>
      </c>
      <c r="C46" s="1" t="s">
        <v>47</v>
      </c>
      <c r="D46" s="1"/>
      <c r="E46" s="1" t="s">
        <v>471</v>
      </c>
      <c r="F46" s="1"/>
      <c r="G46" s="1" t="s">
        <v>49</v>
      </c>
      <c r="H46" s="1" t="s">
        <v>72</v>
      </c>
      <c r="I46" s="1">
        <v>2000.0</v>
      </c>
      <c r="J46" s="1"/>
      <c r="K46" s="1"/>
      <c r="L46" s="1"/>
      <c r="M46" s="1" t="s">
        <v>472</v>
      </c>
      <c r="N46" s="1" t="s">
        <v>257</v>
      </c>
      <c r="O46" s="1" t="s">
        <v>258</v>
      </c>
      <c r="P46" s="2" t="s">
        <v>473</v>
      </c>
      <c r="Q46" s="1" t="s">
        <v>56</v>
      </c>
      <c r="R46" s="2" t="s">
        <v>474</v>
      </c>
      <c r="S46" s="1" t="s">
        <v>475</v>
      </c>
      <c r="T46" s="1">
        <v>3136702.0</v>
      </c>
      <c r="U46" s="1" t="s">
        <v>476</v>
      </c>
      <c r="V46" s="1" t="s">
        <v>477</v>
      </c>
      <c r="W46" s="1" t="s">
        <v>78</v>
      </c>
      <c r="X46" s="1"/>
      <c r="Y46" s="1"/>
      <c r="Z46" s="1" t="s">
        <v>260</v>
      </c>
      <c r="AA46" s="1" t="s">
        <v>478</v>
      </c>
      <c r="AB46" s="1" t="str">
        <f>"***854126**"</f>
        <v>***854126**</v>
      </c>
      <c r="AC46" s="1"/>
      <c r="AD46" s="1" t="s">
        <v>81</v>
      </c>
      <c r="AE46" s="1"/>
      <c r="AF46" s="1">
        <v>-43.381583</v>
      </c>
      <c r="AG46" s="1">
        <v>-21.794639</v>
      </c>
      <c r="AH46" s="1" t="s">
        <v>479</v>
      </c>
      <c r="AI46" s="1"/>
      <c r="AJ46" s="1" t="s">
        <v>480</v>
      </c>
      <c r="AK46" s="1"/>
      <c r="AL46" s="1"/>
      <c r="AM46" s="1" t="s">
        <v>65</v>
      </c>
      <c r="AN46" s="1" t="s">
        <v>481</v>
      </c>
      <c r="AO46" s="1"/>
      <c r="AP46" s="2" t="s">
        <v>482</v>
      </c>
      <c r="AQ46" s="1"/>
      <c r="AR46" s="1" t="s">
        <v>483</v>
      </c>
      <c r="AS46" s="1"/>
      <c r="AT46" s="2" t="s">
        <v>70</v>
      </c>
    </row>
    <row r="47">
      <c r="A47" s="1">
        <v>2043806.0</v>
      </c>
      <c r="B47" s="1" t="s">
        <v>116</v>
      </c>
      <c r="C47" s="1" t="s">
        <v>117</v>
      </c>
      <c r="D47" s="1" t="s">
        <v>46</v>
      </c>
      <c r="E47" s="1" t="s">
        <v>484</v>
      </c>
      <c r="F47" s="1"/>
      <c r="G47" s="1" t="s">
        <v>119</v>
      </c>
      <c r="H47" s="1" t="s">
        <v>50</v>
      </c>
      <c r="I47" s="1">
        <v>50000.0</v>
      </c>
      <c r="J47" s="1"/>
      <c r="K47" s="1"/>
      <c r="L47" s="1" t="s">
        <v>485</v>
      </c>
      <c r="M47" s="1" t="s">
        <v>486</v>
      </c>
      <c r="N47" s="1" t="s">
        <v>109</v>
      </c>
      <c r="O47" s="1" t="s">
        <v>110</v>
      </c>
      <c r="P47" s="2" t="s">
        <v>487</v>
      </c>
      <c r="Q47" s="1" t="s">
        <v>56</v>
      </c>
      <c r="R47" s="1"/>
      <c r="S47" s="1" t="s">
        <v>488</v>
      </c>
      <c r="T47" s="1">
        <v>1715002.0</v>
      </c>
      <c r="U47" s="1" t="s">
        <v>489</v>
      </c>
      <c r="V47" s="1" t="s">
        <v>490</v>
      </c>
      <c r="W47" s="1" t="s">
        <v>172</v>
      </c>
      <c r="X47" s="1"/>
      <c r="Y47" s="1" t="str">
        <f>"02029000208202179"</f>
        <v>02029000208202179</v>
      </c>
      <c r="Z47" s="1" t="s">
        <v>112</v>
      </c>
      <c r="AA47" s="1" t="s">
        <v>491</v>
      </c>
      <c r="AB47" s="1" t="str">
        <f>"***209051**"</f>
        <v>***209051**</v>
      </c>
      <c r="AC47" s="1"/>
      <c r="AD47" s="1"/>
      <c r="AE47" s="1"/>
      <c r="AF47" s="1">
        <v>-48.844167</v>
      </c>
      <c r="AG47" s="1">
        <v>-10.486111</v>
      </c>
      <c r="AH47" s="1" t="s">
        <v>492</v>
      </c>
      <c r="AI47" s="1"/>
      <c r="AJ47" s="1" t="s">
        <v>485</v>
      </c>
      <c r="AK47" s="1"/>
      <c r="AL47" s="1" t="s">
        <v>128</v>
      </c>
      <c r="AM47" s="1" t="s">
        <v>65</v>
      </c>
      <c r="AN47" s="1" t="s">
        <v>274</v>
      </c>
      <c r="AO47" s="2" t="s">
        <v>468</v>
      </c>
      <c r="AP47" s="2" t="s">
        <v>493</v>
      </c>
      <c r="AQ47" s="1" t="s">
        <v>132</v>
      </c>
      <c r="AR47" s="1" t="s">
        <v>494</v>
      </c>
      <c r="AS47" s="1"/>
      <c r="AT47" s="2" t="s">
        <v>70</v>
      </c>
    </row>
    <row r="48">
      <c r="A48" s="1"/>
      <c r="B48" s="1" t="s">
        <v>46</v>
      </c>
      <c r="C48" s="1" t="s">
        <v>47</v>
      </c>
      <c r="D48" s="1"/>
      <c r="E48" s="1" t="s">
        <v>495</v>
      </c>
      <c r="F48" s="1"/>
      <c r="G48" s="1" t="s">
        <v>49</v>
      </c>
      <c r="H48" s="1" t="s">
        <v>50</v>
      </c>
      <c r="I48" s="1">
        <v>6300.0</v>
      </c>
      <c r="J48" s="1"/>
      <c r="K48" s="1" t="s">
        <v>51</v>
      </c>
      <c r="L48" s="1"/>
      <c r="M48" s="1" t="s">
        <v>496</v>
      </c>
      <c r="N48" s="1" t="s">
        <v>74</v>
      </c>
      <c r="O48" s="1" t="s">
        <v>75</v>
      </c>
      <c r="P48" s="2" t="s">
        <v>497</v>
      </c>
      <c r="Q48" s="1" t="s">
        <v>56</v>
      </c>
      <c r="R48" s="1"/>
      <c r="S48" s="1" t="s">
        <v>57</v>
      </c>
      <c r="T48" s="1">
        <v>3204906.0</v>
      </c>
      <c r="U48" s="1" t="s">
        <v>498</v>
      </c>
      <c r="V48" s="1" t="s">
        <v>59</v>
      </c>
      <c r="W48" s="1" t="s">
        <v>60</v>
      </c>
      <c r="X48" s="1"/>
      <c r="Y48" s="1"/>
      <c r="Z48" s="1" t="s">
        <v>79</v>
      </c>
      <c r="AA48" s="1" t="s">
        <v>499</v>
      </c>
      <c r="AB48" s="1" t="str">
        <f>"***545075**"</f>
        <v>***545075**</v>
      </c>
      <c r="AC48" s="1"/>
      <c r="AD48" s="1" t="s">
        <v>62</v>
      </c>
      <c r="AE48" s="1"/>
      <c r="AF48" s="1">
        <v>-39.938889</v>
      </c>
      <c r="AG48" s="1">
        <v>-18.864167</v>
      </c>
      <c r="AH48" s="1" t="s">
        <v>500</v>
      </c>
      <c r="AI48" s="1"/>
      <c r="AJ48" s="1" t="s">
        <v>64</v>
      </c>
      <c r="AK48" s="1"/>
      <c r="AL48" s="1"/>
      <c r="AM48" s="1" t="s">
        <v>65</v>
      </c>
      <c r="AN48" s="1"/>
      <c r="AO48" s="1"/>
      <c r="AP48" s="2" t="s">
        <v>501</v>
      </c>
      <c r="AQ48" s="1"/>
      <c r="AR48" s="1" t="s">
        <v>502</v>
      </c>
      <c r="AS48" s="1"/>
      <c r="AT48" s="2" t="s">
        <v>70</v>
      </c>
    </row>
    <row r="49">
      <c r="A49" s="1"/>
      <c r="B49" s="1" t="s">
        <v>46</v>
      </c>
      <c r="C49" s="1" t="s">
        <v>47</v>
      </c>
      <c r="D49" s="1"/>
      <c r="E49" s="1" t="s">
        <v>503</v>
      </c>
      <c r="F49" s="1"/>
      <c r="G49" s="1" t="s">
        <v>49</v>
      </c>
      <c r="H49" s="1" t="s">
        <v>50</v>
      </c>
      <c r="I49" s="1">
        <v>1000.0</v>
      </c>
      <c r="J49" s="1"/>
      <c r="K49" s="1" t="s">
        <v>51</v>
      </c>
      <c r="L49" s="1"/>
      <c r="M49" s="1" t="s">
        <v>504</v>
      </c>
      <c r="N49" s="1" t="s">
        <v>285</v>
      </c>
      <c r="O49" s="1" t="s">
        <v>286</v>
      </c>
      <c r="P49" s="2" t="s">
        <v>505</v>
      </c>
      <c r="Q49" s="1" t="s">
        <v>77</v>
      </c>
      <c r="R49" s="1"/>
      <c r="S49" s="1" t="s">
        <v>220</v>
      </c>
      <c r="T49" s="1">
        <v>2611309.0</v>
      </c>
      <c r="U49" s="1" t="s">
        <v>506</v>
      </c>
      <c r="V49" s="1" t="s">
        <v>507</v>
      </c>
      <c r="W49" s="1" t="s">
        <v>78</v>
      </c>
      <c r="X49" s="1"/>
      <c r="Y49" s="1"/>
      <c r="Z49" s="1" t="s">
        <v>292</v>
      </c>
      <c r="AA49" s="1" t="s">
        <v>508</v>
      </c>
      <c r="AB49" s="1" t="str">
        <f>"19743143000111"</f>
        <v>19743143000111</v>
      </c>
      <c r="AC49" s="1"/>
      <c r="AD49" s="1" t="s">
        <v>81</v>
      </c>
      <c r="AE49" s="1"/>
      <c r="AF49" s="1">
        <v>-35.395833</v>
      </c>
      <c r="AG49" s="1">
        <v>-8.141389</v>
      </c>
      <c r="AH49" s="1" t="s">
        <v>509</v>
      </c>
      <c r="AI49" s="1"/>
      <c r="AJ49" s="1" t="s">
        <v>510</v>
      </c>
      <c r="AK49" s="1"/>
      <c r="AL49" s="1"/>
      <c r="AM49" s="1" t="s">
        <v>65</v>
      </c>
      <c r="AN49" s="1" t="s">
        <v>511</v>
      </c>
      <c r="AO49" s="1"/>
      <c r="AP49" s="2" t="s">
        <v>512</v>
      </c>
      <c r="AQ49" s="1"/>
      <c r="AR49" s="1" t="s">
        <v>298</v>
      </c>
      <c r="AS49" s="1"/>
      <c r="AT49" s="2" t="s">
        <v>70</v>
      </c>
    </row>
    <row r="50">
      <c r="A50" s="1"/>
      <c r="B50" s="1" t="s">
        <v>46</v>
      </c>
      <c r="C50" s="1" t="s">
        <v>47</v>
      </c>
      <c r="D50" s="1"/>
      <c r="E50" s="1" t="s">
        <v>513</v>
      </c>
      <c r="F50" s="1"/>
      <c r="G50" s="1" t="s">
        <v>49</v>
      </c>
      <c r="H50" s="1" t="s">
        <v>50</v>
      </c>
      <c r="I50" s="1">
        <v>52500.0</v>
      </c>
      <c r="J50" s="1"/>
      <c r="K50" s="1" t="s">
        <v>51</v>
      </c>
      <c r="L50" s="1"/>
      <c r="M50" s="1" t="s">
        <v>514</v>
      </c>
      <c r="N50" s="1" t="s">
        <v>109</v>
      </c>
      <c r="O50" s="1" t="s">
        <v>110</v>
      </c>
      <c r="P50" s="2" t="s">
        <v>515</v>
      </c>
      <c r="Q50" s="1" t="s">
        <v>56</v>
      </c>
      <c r="R50" s="1"/>
      <c r="S50" s="1" t="s">
        <v>220</v>
      </c>
      <c r="T50" s="1">
        <v>1100288.0</v>
      </c>
      <c r="U50" s="1" t="s">
        <v>423</v>
      </c>
      <c r="V50" s="1" t="s">
        <v>125</v>
      </c>
      <c r="W50" s="1" t="s">
        <v>100</v>
      </c>
      <c r="X50" s="1"/>
      <c r="Y50" s="1"/>
      <c r="Z50" s="1" t="s">
        <v>112</v>
      </c>
      <c r="AA50" s="1" t="s">
        <v>424</v>
      </c>
      <c r="AB50" s="1" t="str">
        <f>"12535196000106"</f>
        <v>12535196000106</v>
      </c>
      <c r="AC50" s="1"/>
      <c r="AD50" s="1" t="s">
        <v>81</v>
      </c>
      <c r="AE50" s="1"/>
      <c r="AF50" s="1">
        <v>-61.923611</v>
      </c>
      <c r="AG50" s="1">
        <v>-10.881111</v>
      </c>
      <c r="AH50" s="1" t="s">
        <v>516</v>
      </c>
      <c r="AI50" s="1"/>
      <c r="AJ50" s="1" t="s">
        <v>158</v>
      </c>
      <c r="AK50" s="1"/>
      <c r="AL50" s="1"/>
      <c r="AM50" s="1" t="s">
        <v>65</v>
      </c>
      <c r="AN50" s="1" t="s">
        <v>159</v>
      </c>
      <c r="AO50" s="1"/>
      <c r="AP50" s="2" t="s">
        <v>517</v>
      </c>
      <c r="AQ50" s="1"/>
      <c r="AR50" s="1" t="s">
        <v>106</v>
      </c>
      <c r="AS50" s="1"/>
      <c r="AT50" s="2" t="s">
        <v>70</v>
      </c>
    </row>
    <row r="51">
      <c r="A51" s="1"/>
      <c r="B51" s="1" t="s">
        <v>46</v>
      </c>
      <c r="C51" s="1" t="s">
        <v>47</v>
      </c>
      <c r="D51" s="1"/>
      <c r="E51" s="1" t="s">
        <v>518</v>
      </c>
      <c r="F51" s="1"/>
      <c r="G51" s="1" t="s">
        <v>49</v>
      </c>
      <c r="H51" s="1" t="s">
        <v>72</v>
      </c>
      <c r="I51" s="1">
        <v>2500.0</v>
      </c>
      <c r="J51" s="1"/>
      <c r="K51" s="1"/>
      <c r="L51" s="1"/>
      <c r="M51" s="1" t="s">
        <v>519</v>
      </c>
      <c r="N51" s="1" t="s">
        <v>257</v>
      </c>
      <c r="O51" s="1" t="s">
        <v>258</v>
      </c>
      <c r="P51" s="2" t="s">
        <v>520</v>
      </c>
      <c r="Q51" s="1" t="s">
        <v>56</v>
      </c>
      <c r="R51" s="2" t="s">
        <v>521</v>
      </c>
      <c r="S51" s="1" t="s">
        <v>475</v>
      </c>
      <c r="T51" s="1">
        <v>3136702.0</v>
      </c>
      <c r="U51" s="1" t="s">
        <v>476</v>
      </c>
      <c r="V51" s="1" t="s">
        <v>477</v>
      </c>
      <c r="W51" s="1" t="s">
        <v>78</v>
      </c>
      <c r="X51" s="1"/>
      <c r="Y51" s="1"/>
      <c r="Z51" s="1" t="s">
        <v>260</v>
      </c>
      <c r="AA51" s="1" t="s">
        <v>522</v>
      </c>
      <c r="AB51" s="1" t="str">
        <f>"***136366**"</f>
        <v>***136366**</v>
      </c>
      <c r="AC51" s="1"/>
      <c r="AD51" s="1" t="s">
        <v>81</v>
      </c>
      <c r="AE51" s="1"/>
      <c r="AF51" s="1">
        <v>-43.381583</v>
      </c>
      <c r="AG51" s="1">
        <v>-21.794639</v>
      </c>
      <c r="AH51" s="1" t="s">
        <v>479</v>
      </c>
      <c r="AI51" s="1"/>
      <c r="AJ51" s="1" t="s">
        <v>480</v>
      </c>
      <c r="AK51" s="1"/>
      <c r="AL51" s="1"/>
      <c r="AM51" s="1" t="s">
        <v>65</v>
      </c>
      <c r="AN51" s="1" t="s">
        <v>481</v>
      </c>
      <c r="AO51" s="1"/>
      <c r="AP51" s="2" t="s">
        <v>523</v>
      </c>
      <c r="AQ51" s="1"/>
      <c r="AR51" s="1" t="s">
        <v>483</v>
      </c>
      <c r="AS51" s="1"/>
      <c r="AT51" s="2" t="s">
        <v>70</v>
      </c>
    </row>
    <row r="52">
      <c r="A52" s="1">
        <v>2043794.0</v>
      </c>
      <c r="B52" s="1" t="s">
        <v>116</v>
      </c>
      <c r="C52" s="1" t="s">
        <v>117</v>
      </c>
      <c r="D52" s="1" t="s">
        <v>46</v>
      </c>
      <c r="E52" s="1" t="s">
        <v>524</v>
      </c>
      <c r="F52" s="1"/>
      <c r="G52" s="1" t="s">
        <v>119</v>
      </c>
      <c r="H52" s="1" t="s">
        <v>50</v>
      </c>
      <c r="I52" s="1">
        <v>2000.0</v>
      </c>
      <c r="J52" s="1"/>
      <c r="K52" s="1"/>
      <c r="L52" s="1" t="s">
        <v>295</v>
      </c>
      <c r="M52" s="1" t="s">
        <v>525</v>
      </c>
      <c r="N52" s="1" t="s">
        <v>186</v>
      </c>
      <c r="O52" s="1" t="s">
        <v>95</v>
      </c>
      <c r="P52" s="2" t="s">
        <v>526</v>
      </c>
      <c r="Q52" s="1" t="s">
        <v>56</v>
      </c>
      <c r="R52" s="2" t="s">
        <v>467</v>
      </c>
      <c r="S52" s="1" t="s">
        <v>288</v>
      </c>
      <c r="T52" s="1">
        <v>2211001.0</v>
      </c>
      <c r="U52" s="1" t="s">
        <v>527</v>
      </c>
      <c r="V52" s="1" t="s">
        <v>290</v>
      </c>
      <c r="W52" s="1" t="s">
        <v>172</v>
      </c>
      <c r="X52" s="1"/>
      <c r="Y52" s="1" t="str">
        <f>"02020000338202191"</f>
        <v>02020000338202191</v>
      </c>
      <c r="Z52" s="1" t="s">
        <v>101</v>
      </c>
      <c r="AA52" s="1" t="s">
        <v>528</v>
      </c>
      <c r="AB52" s="1" t="str">
        <f>"13137747000138"</f>
        <v>13137747000138</v>
      </c>
      <c r="AC52" s="1"/>
      <c r="AD52" s="1"/>
      <c r="AE52" s="1"/>
      <c r="AF52" s="1">
        <v>-42.783889</v>
      </c>
      <c r="AG52" s="1">
        <v>-5.064722</v>
      </c>
      <c r="AH52" s="1" t="s">
        <v>354</v>
      </c>
      <c r="AI52" s="1"/>
      <c r="AJ52" s="1" t="s">
        <v>295</v>
      </c>
      <c r="AK52" s="1"/>
      <c r="AL52" s="1" t="s">
        <v>128</v>
      </c>
      <c r="AM52" s="1" t="s">
        <v>65</v>
      </c>
      <c r="AN52" s="1" t="s">
        <v>296</v>
      </c>
      <c r="AO52" s="2" t="s">
        <v>529</v>
      </c>
      <c r="AP52" s="2" t="s">
        <v>530</v>
      </c>
      <c r="AQ52" s="1" t="s">
        <v>132</v>
      </c>
      <c r="AR52" s="1" t="s">
        <v>531</v>
      </c>
      <c r="AS52" s="1"/>
      <c r="AT52" s="2" t="s">
        <v>70</v>
      </c>
    </row>
    <row r="53">
      <c r="A53" s="1"/>
      <c r="B53" s="1" t="s">
        <v>46</v>
      </c>
      <c r="C53" s="1" t="s">
        <v>47</v>
      </c>
      <c r="D53" s="1"/>
      <c r="E53" s="1" t="s">
        <v>532</v>
      </c>
      <c r="F53" s="1"/>
      <c r="G53" s="1" t="s">
        <v>49</v>
      </c>
      <c r="H53" s="1" t="s">
        <v>72</v>
      </c>
      <c r="I53" s="1">
        <v>50500.0</v>
      </c>
      <c r="J53" s="1"/>
      <c r="K53" s="1"/>
      <c r="L53" s="1"/>
      <c r="M53" s="1" t="s">
        <v>533</v>
      </c>
      <c r="N53" s="1" t="s">
        <v>301</v>
      </c>
      <c r="O53" s="1" t="s">
        <v>302</v>
      </c>
      <c r="P53" s="2" t="s">
        <v>534</v>
      </c>
      <c r="Q53" s="1" t="s">
        <v>77</v>
      </c>
      <c r="R53" s="1"/>
      <c r="S53" s="1" t="s">
        <v>220</v>
      </c>
      <c r="T53" s="1">
        <v>3550308.0</v>
      </c>
      <c r="U53" s="1" t="s">
        <v>535</v>
      </c>
      <c r="V53" s="1" t="s">
        <v>139</v>
      </c>
      <c r="W53" s="1" t="s">
        <v>78</v>
      </c>
      <c r="X53" s="1"/>
      <c r="Y53" s="1"/>
      <c r="Z53" s="1" t="s">
        <v>306</v>
      </c>
      <c r="AA53" s="1" t="s">
        <v>536</v>
      </c>
      <c r="AB53" s="1" t="str">
        <f>"25976883000109"</f>
        <v>25976883000109</v>
      </c>
      <c r="AC53" s="1"/>
      <c r="AD53" s="1" t="s">
        <v>81</v>
      </c>
      <c r="AE53" s="1"/>
      <c r="AF53" s="1">
        <v>-47.933056</v>
      </c>
      <c r="AG53" s="1">
        <v>-15.83</v>
      </c>
      <c r="AH53" s="1" t="s">
        <v>537</v>
      </c>
      <c r="AI53" s="1"/>
      <c r="AJ53" s="1" t="s">
        <v>142</v>
      </c>
      <c r="AK53" s="1"/>
      <c r="AL53" s="1"/>
      <c r="AM53" s="1" t="s">
        <v>65</v>
      </c>
      <c r="AN53" s="1" t="s">
        <v>83</v>
      </c>
      <c r="AO53" s="1"/>
      <c r="AP53" s="2" t="s">
        <v>538</v>
      </c>
      <c r="AQ53" s="1"/>
      <c r="AR53" s="1" t="s">
        <v>539</v>
      </c>
      <c r="AS53" s="1"/>
      <c r="AT53" s="2" t="s">
        <v>70</v>
      </c>
    </row>
    <row r="54">
      <c r="A54" s="1"/>
      <c r="B54" s="1" t="s">
        <v>46</v>
      </c>
      <c r="C54" s="1" t="s">
        <v>47</v>
      </c>
      <c r="D54" s="1"/>
      <c r="E54" s="1" t="s">
        <v>540</v>
      </c>
      <c r="F54" s="1"/>
      <c r="G54" s="1" t="s">
        <v>49</v>
      </c>
      <c r="H54" s="1" t="s">
        <v>72</v>
      </c>
      <c r="I54" s="1">
        <v>15400.0</v>
      </c>
      <c r="J54" s="1"/>
      <c r="K54" s="1"/>
      <c r="L54" s="1"/>
      <c r="M54" s="1" t="s">
        <v>541</v>
      </c>
      <c r="N54" s="1" t="s">
        <v>257</v>
      </c>
      <c r="O54" s="1" t="s">
        <v>258</v>
      </c>
      <c r="P54" s="2" t="s">
        <v>542</v>
      </c>
      <c r="Q54" s="1" t="s">
        <v>77</v>
      </c>
      <c r="R54" s="1"/>
      <c r="S54" s="1" t="s">
        <v>359</v>
      </c>
      <c r="T54" s="1">
        <v>3550308.0</v>
      </c>
      <c r="U54" s="1" t="s">
        <v>535</v>
      </c>
      <c r="V54" s="1" t="s">
        <v>139</v>
      </c>
      <c r="W54" s="1" t="s">
        <v>78</v>
      </c>
      <c r="X54" s="1"/>
      <c r="Y54" s="1"/>
      <c r="Z54" s="1" t="s">
        <v>260</v>
      </c>
      <c r="AA54" s="1" t="s">
        <v>543</v>
      </c>
      <c r="AB54" s="1" t="str">
        <f>"***416978**"</f>
        <v>***416978**</v>
      </c>
      <c r="AC54" s="1"/>
      <c r="AD54" s="1" t="s">
        <v>81</v>
      </c>
      <c r="AE54" s="1"/>
      <c r="AF54" s="1">
        <v>-46.673333</v>
      </c>
      <c r="AG54" s="1">
        <v>-23.662222</v>
      </c>
      <c r="AH54" s="1" t="s">
        <v>544</v>
      </c>
      <c r="AI54" s="1"/>
      <c r="AJ54" s="1" t="s">
        <v>142</v>
      </c>
      <c r="AK54" s="1"/>
      <c r="AL54" s="1"/>
      <c r="AM54" s="1" t="s">
        <v>65</v>
      </c>
      <c r="AN54" s="1" t="s">
        <v>83</v>
      </c>
      <c r="AO54" s="1"/>
      <c r="AP54" s="2" t="s">
        <v>545</v>
      </c>
      <c r="AQ54" s="1"/>
      <c r="AR54" s="1" t="s">
        <v>546</v>
      </c>
      <c r="AS54" s="1"/>
      <c r="AT54" s="2" t="s">
        <v>70</v>
      </c>
    </row>
    <row r="55">
      <c r="A55" s="1"/>
      <c r="B55" s="1" t="s">
        <v>46</v>
      </c>
      <c r="C55" s="1" t="s">
        <v>47</v>
      </c>
      <c r="D55" s="1"/>
      <c r="E55" s="1" t="s">
        <v>547</v>
      </c>
      <c r="F55" s="1"/>
      <c r="G55" s="1" t="s">
        <v>49</v>
      </c>
      <c r="H55" s="1" t="s">
        <v>50</v>
      </c>
      <c r="I55" s="1">
        <v>1500.0</v>
      </c>
      <c r="J55" s="1"/>
      <c r="K55" s="1" t="s">
        <v>51</v>
      </c>
      <c r="L55" s="1"/>
      <c r="M55" s="1" t="s">
        <v>548</v>
      </c>
      <c r="N55" s="1" t="s">
        <v>74</v>
      </c>
      <c r="O55" s="1" t="s">
        <v>75</v>
      </c>
      <c r="P55" s="2" t="s">
        <v>549</v>
      </c>
      <c r="Q55" s="1" t="s">
        <v>77</v>
      </c>
      <c r="R55" s="1"/>
      <c r="S55" s="1" t="s">
        <v>550</v>
      </c>
      <c r="T55" s="1">
        <v>2930204.0</v>
      </c>
      <c r="U55" s="1" t="s">
        <v>551</v>
      </c>
      <c r="V55" s="1" t="s">
        <v>552</v>
      </c>
      <c r="W55" s="1" t="s">
        <v>291</v>
      </c>
      <c r="X55" s="1"/>
      <c r="Y55" s="1"/>
      <c r="Z55" s="1" t="s">
        <v>79</v>
      </c>
      <c r="AA55" s="1" t="s">
        <v>553</v>
      </c>
      <c r="AB55" s="1" t="str">
        <f>"***753815**"</f>
        <v>***753815**</v>
      </c>
      <c r="AC55" s="1"/>
      <c r="AD55" s="1" t="s">
        <v>62</v>
      </c>
      <c r="AE55" s="1"/>
      <c r="AF55" s="1">
        <v>-42.008611</v>
      </c>
      <c r="AG55" s="1">
        <v>-9.744722</v>
      </c>
      <c r="AH55" s="1" t="s">
        <v>554</v>
      </c>
      <c r="AI55" s="1"/>
      <c r="AJ55" s="1" t="s">
        <v>555</v>
      </c>
      <c r="AK55" s="1"/>
      <c r="AL55" s="1"/>
      <c r="AM55" s="1" t="s">
        <v>65</v>
      </c>
      <c r="AN55" s="1"/>
      <c r="AO55" s="1"/>
      <c r="AP55" s="2" t="s">
        <v>556</v>
      </c>
      <c r="AQ55" s="1"/>
      <c r="AR55" s="1" t="s">
        <v>557</v>
      </c>
      <c r="AS55" s="1" t="s">
        <v>558</v>
      </c>
      <c r="AT55" s="2" t="s">
        <v>70</v>
      </c>
    </row>
    <row r="56">
      <c r="A56" s="1"/>
      <c r="B56" s="1" t="s">
        <v>46</v>
      </c>
      <c r="C56" s="1" t="s">
        <v>47</v>
      </c>
      <c r="D56" s="1"/>
      <c r="E56" s="1" t="s">
        <v>559</v>
      </c>
      <c r="F56" s="1"/>
      <c r="G56" s="1" t="s">
        <v>49</v>
      </c>
      <c r="H56" s="1" t="s">
        <v>50</v>
      </c>
      <c r="I56" s="1">
        <v>11220.0</v>
      </c>
      <c r="J56" s="1"/>
      <c r="K56" s="1" t="s">
        <v>51</v>
      </c>
      <c r="L56" s="1"/>
      <c r="M56" s="1" t="s">
        <v>560</v>
      </c>
      <c r="N56" s="1" t="s">
        <v>74</v>
      </c>
      <c r="O56" s="1" t="s">
        <v>75</v>
      </c>
      <c r="P56" s="2" t="s">
        <v>561</v>
      </c>
      <c r="Q56" s="1" t="s">
        <v>77</v>
      </c>
      <c r="R56" s="1"/>
      <c r="S56" s="1" t="s">
        <v>57</v>
      </c>
      <c r="T56" s="1">
        <v>3204906.0</v>
      </c>
      <c r="U56" s="1" t="s">
        <v>498</v>
      </c>
      <c r="V56" s="1" t="s">
        <v>59</v>
      </c>
      <c r="W56" s="1" t="s">
        <v>60</v>
      </c>
      <c r="X56" s="1"/>
      <c r="Y56" s="1"/>
      <c r="Z56" s="1" t="s">
        <v>79</v>
      </c>
      <c r="AA56" s="1" t="s">
        <v>562</v>
      </c>
      <c r="AB56" s="1" t="str">
        <f>"***614617**"</f>
        <v>***614617**</v>
      </c>
      <c r="AC56" s="1"/>
      <c r="AD56" s="1" t="s">
        <v>81</v>
      </c>
      <c r="AE56" s="1"/>
      <c r="AF56" s="1">
        <v>-39.938889</v>
      </c>
      <c r="AG56" s="1">
        <v>-18.864444</v>
      </c>
      <c r="AH56" s="1" t="s">
        <v>563</v>
      </c>
      <c r="AI56" s="1"/>
      <c r="AJ56" s="1" t="s">
        <v>64</v>
      </c>
      <c r="AK56" s="1"/>
      <c r="AL56" s="1"/>
      <c r="AM56" s="1" t="s">
        <v>65</v>
      </c>
      <c r="AN56" s="1"/>
      <c r="AO56" s="1"/>
      <c r="AP56" s="2" t="s">
        <v>564</v>
      </c>
      <c r="AQ56" s="1"/>
      <c r="AR56" s="1" t="s">
        <v>502</v>
      </c>
      <c r="AS56" s="1"/>
      <c r="AT56" s="2" t="s">
        <v>70</v>
      </c>
    </row>
    <row r="57">
      <c r="A57" s="1"/>
      <c r="B57" s="1" t="s">
        <v>46</v>
      </c>
      <c r="C57" s="1" t="s">
        <v>47</v>
      </c>
      <c r="D57" s="1"/>
      <c r="E57" s="1" t="s">
        <v>565</v>
      </c>
      <c r="F57" s="1"/>
      <c r="G57" s="1" t="s">
        <v>49</v>
      </c>
      <c r="H57" s="1" t="s">
        <v>50</v>
      </c>
      <c r="I57" s="1">
        <v>26900.0</v>
      </c>
      <c r="J57" s="1"/>
      <c r="K57" s="1" t="s">
        <v>92</v>
      </c>
      <c r="L57" s="1"/>
      <c r="M57" s="1" t="s">
        <v>566</v>
      </c>
      <c r="N57" s="1" t="s">
        <v>74</v>
      </c>
      <c r="O57" s="1" t="s">
        <v>75</v>
      </c>
      <c r="P57" s="2" t="s">
        <v>567</v>
      </c>
      <c r="Q57" s="1" t="s">
        <v>77</v>
      </c>
      <c r="R57" s="1"/>
      <c r="S57" s="1" t="s">
        <v>57</v>
      </c>
      <c r="T57" s="1">
        <v>3204906.0</v>
      </c>
      <c r="U57" s="1" t="s">
        <v>498</v>
      </c>
      <c r="V57" s="1" t="s">
        <v>59</v>
      </c>
      <c r="W57" s="1" t="s">
        <v>78</v>
      </c>
      <c r="X57" s="1"/>
      <c r="Y57" s="1"/>
      <c r="Z57" s="1" t="s">
        <v>79</v>
      </c>
      <c r="AA57" s="1" t="s">
        <v>568</v>
      </c>
      <c r="AB57" s="1" t="str">
        <f>"***391927**"</f>
        <v>***391927**</v>
      </c>
      <c r="AC57" s="1"/>
      <c r="AD57" s="1" t="s">
        <v>81</v>
      </c>
      <c r="AE57" s="1"/>
      <c r="AF57" s="1">
        <v>-39.938889</v>
      </c>
      <c r="AG57" s="1">
        <v>-18.864167</v>
      </c>
      <c r="AH57" s="1" t="s">
        <v>569</v>
      </c>
      <c r="AI57" s="1"/>
      <c r="AJ57" s="1" t="s">
        <v>64</v>
      </c>
      <c r="AK57" s="1"/>
      <c r="AL57" s="1"/>
      <c r="AM57" s="1" t="s">
        <v>65</v>
      </c>
      <c r="AN57" s="1"/>
      <c r="AO57" s="1"/>
      <c r="AP57" s="2" t="s">
        <v>570</v>
      </c>
      <c r="AQ57" s="1"/>
      <c r="AR57" s="1" t="s">
        <v>502</v>
      </c>
      <c r="AS57" s="1"/>
      <c r="AT57" s="2" t="s">
        <v>70</v>
      </c>
    </row>
    <row r="58">
      <c r="A58" s="1"/>
      <c r="B58" s="1" t="s">
        <v>46</v>
      </c>
      <c r="C58" s="1" t="s">
        <v>571</v>
      </c>
      <c r="D58" s="1" t="s">
        <v>116</v>
      </c>
      <c r="E58" s="1" t="s">
        <v>572</v>
      </c>
      <c r="F58" s="1"/>
      <c r="G58" s="1" t="s">
        <v>49</v>
      </c>
      <c r="H58" s="1" t="s">
        <v>50</v>
      </c>
      <c r="I58" s="1">
        <v>5700.0</v>
      </c>
      <c r="J58" s="1"/>
      <c r="K58" s="1" t="s">
        <v>51</v>
      </c>
      <c r="L58" s="1"/>
      <c r="M58" s="1" t="s">
        <v>573</v>
      </c>
      <c r="N58" s="1" t="s">
        <v>74</v>
      </c>
      <c r="O58" s="1" t="s">
        <v>75</v>
      </c>
      <c r="P58" s="2" t="s">
        <v>574</v>
      </c>
      <c r="Q58" s="1" t="s">
        <v>77</v>
      </c>
      <c r="R58" s="1"/>
      <c r="S58" s="1" t="s">
        <v>57</v>
      </c>
      <c r="T58" s="1">
        <v>3204906.0</v>
      </c>
      <c r="U58" s="1" t="s">
        <v>498</v>
      </c>
      <c r="V58" s="1" t="s">
        <v>59</v>
      </c>
      <c r="W58" s="1" t="s">
        <v>60</v>
      </c>
      <c r="X58" s="1"/>
      <c r="Y58" s="1"/>
      <c r="Z58" s="1" t="s">
        <v>79</v>
      </c>
      <c r="AA58" s="1" t="s">
        <v>575</v>
      </c>
      <c r="AB58" s="1" t="str">
        <f>"***545075**"</f>
        <v>***545075**</v>
      </c>
      <c r="AC58" s="1"/>
      <c r="AD58" s="1" t="s">
        <v>62</v>
      </c>
      <c r="AE58" s="1"/>
      <c r="AF58" s="1">
        <v>-39.938889</v>
      </c>
      <c r="AG58" s="1">
        <v>-18.864167</v>
      </c>
      <c r="AH58" s="1" t="s">
        <v>576</v>
      </c>
      <c r="AI58" s="1"/>
      <c r="AJ58" s="1" t="s">
        <v>64</v>
      </c>
      <c r="AK58" s="1"/>
      <c r="AL58" s="1"/>
      <c r="AM58" s="1" t="s">
        <v>65</v>
      </c>
      <c r="AN58" s="1"/>
      <c r="AO58" s="1"/>
      <c r="AP58" s="2" t="s">
        <v>577</v>
      </c>
      <c r="AQ58" s="1"/>
      <c r="AR58" s="1" t="s">
        <v>578</v>
      </c>
      <c r="AS58" s="1"/>
      <c r="AT58" s="2" t="s">
        <v>70</v>
      </c>
    </row>
    <row r="59">
      <c r="A59" s="1"/>
      <c r="B59" s="1" t="s">
        <v>46</v>
      </c>
      <c r="C59" s="1" t="s">
        <v>571</v>
      </c>
      <c r="D59" s="1" t="s">
        <v>116</v>
      </c>
      <c r="E59" s="1" t="s">
        <v>579</v>
      </c>
      <c r="F59" s="1"/>
      <c r="G59" s="1" t="s">
        <v>49</v>
      </c>
      <c r="H59" s="1" t="s">
        <v>72</v>
      </c>
      <c r="I59" s="1">
        <v>2000.0</v>
      </c>
      <c r="J59" s="1"/>
      <c r="K59" s="1"/>
      <c r="L59" s="1"/>
      <c r="M59" s="1" t="s">
        <v>580</v>
      </c>
      <c r="N59" s="1" t="s">
        <v>285</v>
      </c>
      <c r="O59" s="1" t="s">
        <v>286</v>
      </c>
      <c r="P59" s="2" t="s">
        <v>581</v>
      </c>
      <c r="Q59" s="1" t="s">
        <v>56</v>
      </c>
      <c r="R59" s="1"/>
      <c r="S59" s="1" t="s">
        <v>582</v>
      </c>
      <c r="T59" s="1">
        <v>1400308.0</v>
      </c>
      <c r="U59" s="1" t="s">
        <v>583</v>
      </c>
      <c r="V59" s="1" t="s">
        <v>584</v>
      </c>
      <c r="W59" s="1" t="s">
        <v>100</v>
      </c>
      <c r="X59" s="1"/>
      <c r="Y59" s="1"/>
      <c r="Z59" s="1" t="s">
        <v>292</v>
      </c>
      <c r="AA59" s="1" t="s">
        <v>585</v>
      </c>
      <c r="AB59" s="1" t="str">
        <f>"03550198000175"</f>
        <v>03550198000175</v>
      </c>
      <c r="AC59" s="1"/>
      <c r="AD59" s="1" t="s">
        <v>62</v>
      </c>
      <c r="AE59" s="1"/>
      <c r="AF59" s="1">
        <v>-60.968917</v>
      </c>
      <c r="AG59" s="1">
        <v>2.434306</v>
      </c>
      <c r="AH59" s="1" t="s">
        <v>586</v>
      </c>
      <c r="AI59" s="1"/>
      <c r="AJ59" s="1" t="s">
        <v>587</v>
      </c>
      <c r="AK59" s="1"/>
      <c r="AL59" s="1"/>
      <c r="AM59" s="1" t="s">
        <v>65</v>
      </c>
      <c r="AN59" s="1" t="s">
        <v>159</v>
      </c>
      <c r="AO59" s="1"/>
      <c r="AP59" s="2" t="s">
        <v>588</v>
      </c>
      <c r="AQ59" s="1"/>
      <c r="AR59" s="1" t="s">
        <v>318</v>
      </c>
      <c r="AS59" s="1"/>
      <c r="AT59" s="2" t="s">
        <v>70</v>
      </c>
    </row>
    <row r="60">
      <c r="A60" s="1"/>
      <c r="B60" s="1" t="s">
        <v>46</v>
      </c>
      <c r="C60" s="1" t="s">
        <v>47</v>
      </c>
      <c r="D60" s="1"/>
      <c r="E60" s="1" t="s">
        <v>589</v>
      </c>
      <c r="F60" s="1"/>
      <c r="G60" s="1" t="s">
        <v>49</v>
      </c>
      <c r="H60" s="1" t="s">
        <v>50</v>
      </c>
      <c r="I60" s="1">
        <v>1000.0</v>
      </c>
      <c r="J60" s="1"/>
      <c r="K60" s="1" t="s">
        <v>51</v>
      </c>
      <c r="L60" s="1"/>
      <c r="M60" s="1" t="s">
        <v>590</v>
      </c>
      <c r="N60" s="1" t="s">
        <v>285</v>
      </c>
      <c r="O60" s="1" t="s">
        <v>286</v>
      </c>
      <c r="P60" s="2" t="s">
        <v>591</v>
      </c>
      <c r="Q60" s="1" t="s">
        <v>56</v>
      </c>
      <c r="R60" s="1"/>
      <c r="S60" s="1" t="s">
        <v>437</v>
      </c>
      <c r="T60" s="1">
        <v>2304400.0</v>
      </c>
      <c r="U60" s="1" t="s">
        <v>592</v>
      </c>
      <c r="V60" s="1" t="s">
        <v>439</v>
      </c>
      <c r="W60" s="1" t="s">
        <v>60</v>
      </c>
      <c r="X60" s="1"/>
      <c r="Y60" s="1"/>
      <c r="Z60" s="1" t="s">
        <v>292</v>
      </c>
      <c r="AA60" s="1" t="s">
        <v>593</v>
      </c>
      <c r="AB60" s="1" t="str">
        <f>"35060276000140"</f>
        <v>35060276000140</v>
      </c>
      <c r="AC60" s="1"/>
      <c r="AD60" s="1" t="s">
        <v>62</v>
      </c>
      <c r="AE60" s="1"/>
      <c r="AF60" s="1">
        <v>-38.555</v>
      </c>
      <c r="AG60" s="1">
        <v>-3.813611</v>
      </c>
      <c r="AH60" s="1" t="s">
        <v>594</v>
      </c>
      <c r="AI60" s="1"/>
      <c r="AJ60" s="1" t="s">
        <v>442</v>
      </c>
      <c r="AK60" s="1"/>
      <c r="AL60" s="1"/>
      <c r="AM60" s="1" t="s">
        <v>65</v>
      </c>
      <c r="AN60" s="1" t="s">
        <v>159</v>
      </c>
      <c r="AO60" s="1"/>
      <c r="AP60" s="2" t="s">
        <v>595</v>
      </c>
      <c r="AQ60" s="1"/>
      <c r="AR60" s="1" t="s">
        <v>298</v>
      </c>
      <c r="AS60" s="1"/>
      <c r="AT60" s="2" t="s">
        <v>70</v>
      </c>
    </row>
    <row r="61">
      <c r="A61" s="1"/>
      <c r="B61" s="1" t="s">
        <v>46</v>
      </c>
      <c r="C61" s="1" t="s">
        <v>47</v>
      </c>
      <c r="D61" s="1"/>
      <c r="E61" s="1" t="s">
        <v>596</v>
      </c>
      <c r="F61" s="1"/>
      <c r="G61" s="1" t="s">
        <v>49</v>
      </c>
      <c r="H61" s="1" t="s">
        <v>72</v>
      </c>
      <c r="I61" s="1">
        <v>101500.0</v>
      </c>
      <c r="J61" s="1"/>
      <c r="K61" s="1"/>
      <c r="L61" s="1"/>
      <c r="M61" s="1" t="s">
        <v>597</v>
      </c>
      <c r="N61" s="1" t="s">
        <v>94</v>
      </c>
      <c r="O61" s="1" t="s">
        <v>95</v>
      </c>
      <c r="P61" s="2" t="s">
        <v>598</v>
      </c>
      <c r="Q61" s="1" t="s">
        <v>137</v>
      </c>
      <c r="R61" s="1"/>
      <c r="S61" s="1" t="s">
        <v>268</v>
      </c>
      <c r="T61" s="1">
        <v>4118204.0</v>
      </c>
      <c r="U61" s="1" t="s">
        <v>599</v>
      </c>
      <c r="V61" s="1" t="s">
        <v>270</v>
      </c>
      <c r="W61" s="1" t="s">
        <v>78</v>
      </c>
      <c r="X61" s="1"/>
      <c r="Y61" s="1"/>
      <c r="Z61" s="1" t="s">
        <v>101</v>
      </c>
      <c r="AA61" s="1" t="s">
        <v>600</v>
      </c>
      <c r="AB61" s="1" t="str">
        <f>"33649665000180"</f>
        <v>33649665000180</v>
      </c>
      <c r="AC61" s="1"/>
      <c r="AD61" s="1" t="s">
        <v>62</v>
      </c>
      <c r="AE61" s="1"/>
      <c r="AF61" s="1">
        <v>-48.503528</v>
      </c>
      <c r="AG61" s="1">
        <v>-25.504833</v>
      </c>
      <c r="AH61" s="1" t="s">
        <v>601</v>
      </c>
      <c r="AI61" s="1"/>
      <c r="AJ61" s="1" t="s">
        <v>273</v>
      </c>
      <c r="AK61" s="1"/>
      <c r="AL61" s="1"/>
      <c r="AM61" s="1" t="s">
        <v>65</v>
      </c>
      <c r="AN61" s="1" t="s">
        <v>274</v>
      </c>
      <c r="AO61" s="1"/>
      <c r="AP61" s="2" t="s">
        <v>602</v>
      </c>
      <c r="AQ61" s="1"/>
      <c r="AR61" s="1" t="s">
        <v>603</v>
      </c>
      <c r="AS61" s="1" t="s">
        <v>604</v>
      </c>
      <c r="AT61" s="2" t="s">
        <v>70</v>
      </c>
    </row>
    <row r="62">
      <c r="A62" s="1"/>
      <c r="B62" s="1" t="s">
        <v>46</v>
      </c>
      <c r="C62" s="1" t="s">
        <v>47</v>
      </c>
      <c r="D62" s="1"/>
      <c r="E62" s="1" t="s">
        <v>605</v>
      </c>
      <c r="F62" s="1"/>
      <c r="G62" s="1" t="s">
        <v>49</v>
      </c>
      <c r="H62" s="1" t="s">
        <v>50</v>
      </c>
      <c r="I62" s="1">
        <v>2000.0</v>
      </c>
      <c r="J62" s="1"/>
      <c r="K62" s="1" t="s">
        <v>51</v>
      </c>
      <c r="L62" s="1"/>
      <c r="M62" s="1" t="s">
        <v>606</v>
      </c>
      <c r="N62" s="1" t="s">
        <v>53</v>
      </c>
      <c r="O62" s="1" t="s">
        <v>333</v>
      </c>
      <c r="P62" s="2" t="s">
        <v>607</v>
      </c>
      <c r="Q62" s="1" t="s">
        <v>77</v>
      </c>
      <c r="R62" s="1"/>
      <c r="S62" s="1" t="s">
        <v>608</v>
      </c>
      <c r="T62" s="1">
        <v>4321477.0</v>
      </c>
      <c r="U62" s="1" t="s">
        <v>609</v>
      </c>
      <c r="V62" s="1" t="s">
        <v>402</v>
      </c>
      <c r="W62" s="1" t="s">
        <v>78</v>
      </c>
      <c r="X62" s="1"/>
      <c r="Y62" s="1"/>
      <c r="Z62" s="1" t="s">
        <v>223</v>
      </c>
      <c r="AA62" s="1" t="s">
        <v>610</v>
      </c>
      <c r="AB62" s="1" t="str">
        <f t="shared" ref="AB62:AB63" si="3">"***192130**"</f>
        <v>***192130**</v>
      </c>
      <c r="AC62" s="1"/>
      <c r="AD62" s="1" t="s">
        <v>81</v>
      </c>
      <c r="AE62" s="1"/>
      <c r="AF62" s="1">
        <v>-54.20925</v>
      </c>
      <c r="AG62" s="1">
        <v>-27.359222</v>
      </c>
      <c r="AH62" s="1" t="s">
        <v>611</v>
      </c>
      <c r="AI62" s="1"/>
      <c r="AJ62" s="1" t="s">
        <v>405</v>
      </c>
      <c r="AK62" s="1"/>
      <c r="AL62" s="1"/>
      <c r="AM62" s="1" t="s">
        <v>65</v>
      </c>
      <c r="AN62" s="1" t="s">
        <v>274</v>
      </c>
      <c r="AO62" s="1"/>
      <c r="AP62" s="2" t="s">
        <v>612</v>
      </c>
      <c r="AQ62" s="1"/>
      <c r="AR62" s="1" t="s">
        <v>613</v>
      </c>
      <c r="AS62" s="1" t="s">
        <v>614</v>
      </c>
      <c r="AT62" s="2" t="s">
        <v>70</v>
      </c>
    </row>
    <row r="63">
      <c r="A63" s="1"/>
      <c r="B63" s="1" t="s">
        <v>46</v>
      </c>
      <c r="C63" s="1" t="s">
        <v>47</v>
      </c>
      <c r="D63" s="1"/>
      <c r="E63" s="1" t="s">
        <v>615</v>
      </c>
      <c r="F63" s="1"/>
      <c r="G63" s="1" t="s">
        <v>49</v>
      </c>
      <c r="H63" s="1" t="s">
        <v>72</v>
      </c>
      <c r="I63" s="1">
        <v>33000.0</v>
      </c>
      <c r="J63" s="1"/>
      <c r="K63" s="1"/>
      <c r="L63" s="1"/>
      <c r="M63" s="1" t="s">
        <v>616</v>
      </c>
      <c r="N63" s="1" t="s">
        <v>109</v>
      </c>
      <c r="O63" s="1" t="s">
        <v>110</v>
      </c>
      <c r="P63" s="2" t="s">
        <v>617</v>
      </c>
      <c r="Q63" s="1" t="s">
        <v>77</v>
      </c>
      <c r="R63" s="1"/>
      <c r="S63" s="1" t="s">
        <v>608</v>
      </c>
      <c r="T63" s="1">
        <v>4321477.0</v>
      </c>
      <c r="U63" s="1" t="s">
        <v>609</v>
      </c>
      <c r="V63" s="1" t="s">
        <v>402</v>
      </c>
      <c r="W63" s="1" t="s">
        <v>78</v>
      </c>
      <c r="X63" s="1"/>
      <c r="Y63" s="1"/>
      <c r="Z63" s="1" t="s">
        <v>112</v>
      </c>
      <c r="AA63" s="1" t="s">
        <v>618</v>
      </c>
      <c r="AB63" s="1" t="str">
        <f t="shared" si="3"/>
        <v>***192130**</v>
      </c>
      <c r="AC63" s="1"/>
      <c r="AD63" s="1" t="s">
        <v>81</v>
      </c>
      <c r="AE63" s="1"/>
      <c r="AF63" s="1">
        <v>-54.210083</v>
      </c>
      <c r="AG63" s="1">
        <v>-27.359028</v>
      </c>
      <c r="AH63" s="1" t="s">
        <v>611</v>
      </c>
      <c r="AI63" s="1"/>
      <c r="AJ63" s="1" t="s">
        <v>405</v>
      </c>
      <c r="AK63" s="1"/>
      <c r="AL63" s="1"/>
      <c r="AM63" s="1" t="s">
        <v>65</v>
      </c>
      <c r="AN63" s="1" t="s">
        <v>274</v>
      </c>
      <c r="AO63" s="1"/>
      <c r="AP63" s="2" t="s">
        <v>619</v>
      </c>
      <c r="AQ63" s="1"/>
      <c r="AR63" s="1" t="s">
        <v>115</v>
      </c>
      <c r="AS63" s="1"/>
      <c r="AT63" s="2" t="s">
        <v>70</v>
      </c>
    </row>
    <row r="64">
      <c r="A64" s="1"/>
      <c r="B64" s="1" t="s">
        <v>46</v>
      </c>
      <c r="C64" s="1" t="s">
        <v>47</v>
      </c>
      <c r="D64" s="1"/>
      <c r="E64" s="1" t="s">
        <v>620</v>
      </c>
      <c r="F64" s="1"/>
      <c r="G64" s="1" t="s">
        <v>49</v>
      </c>
      <c r="H64" s="1" t="s">
        <v>72</v>
      </c>
      <c r="I64" s="1">
        <v>6894.9</v>
      </c>
      <c r="J64" s="1"/>
      <c r="K64" s="1"/>
      <c r="L64" s="1"/>
      <c r="M64" s="1" t="s">
        <v>621</v>
      </c>
      <c r="N64" s="1" t="s">
        <v>109</v>
      </c>
      <c r="O64" s="1" t="s">
        <v>110</v>
      </c>
      <c r="P64" s="2" t="s">
        <v>622</v>
      </c>
      <c r="Q64" s="1" t="s">
        <v>137</v>
      </c>
      <c r="R64" s="1"/>
      <c r="S64" s="1" t="s">
        <v>268</v>
      </c>
      <c r="T64" s="1">
        <v>4118204.0</v>
      </c>
      <c r="U64" s="1" t="s">
        <v>599</v>
      </c>
      <c r="V64" s="1" t="s">
        <v>270</v>
      </c>
      <c r="W64" s="1" t="s">
        <v>78</v>
      </c>
      <c r="X64" s="1"/>
      <c r="Y64" s="1"/>
      <c r="Z64" s="1" t="s">
        <v>112</v>
      </c>
      <c r="AA64" s="1" t="s">
        <v>600</v>
      </c>
      <c r="AB64" s="1" t="str">
        <f>"33649665000180"</f>
        <v>33649665000180</v>
      </c>
      <c r="AC64" s="1"/>
      <c r="AD64" s="1" t="s">
        <v>62</v>
      </c>
      <c r="AE64" s="1"/>
      <c r="AF64" s="1">
        <v>-48.503528</v>
      </c>
      <c r="AG64" s="1">
        <v>-25.504833</v>
      </c>
      <c r="AH64" s="1" t="s">
        <v>623</v>
      </c>
      <c r="AI64" s="1"/>
      <c r="AJ64" s="1" t="s">
        <v>273</v>
      </c>
      <c r="AK64" s="1"/>
      <c r="AL64" s="1"/>
      <c r="AM64" s="1" t="s">
        <v>65</v>
      </c>
      <c r="AN64" s="1" t="s">
        <v>274</v>
      </c>
      <c r="AO64" s="1"/>
      <c r="AP64" s="2" t="s">
        <v>624</v>
      </c>
      <c r="AQ64" s="1"/>
      <c r="AR64" s="1" t="s">
        <v>625</v>
      </c>
      <c r="AS64" s="1" t="s">
        <v>626</v>
      </c>
      <c r="AT64" s="2" t="s">
        <v>70</v>
      </c>
    </row>
    <row r="65">
      <c r="A65" s="1"/>
      <c r="B65" s="1" t="s">
        <v>46</v>
      </c>
      <c r="C65" s="1" t="s">
        <v>47</v>
      </c>
      <c r="D65" s="1"/>
      <c r="E65" s="1" t="s">
        <v>627</v>
      </c>
      <c r="F65" s="1"/>
      <c r="G65" s="1" t="s">
        <v>49</v>
      </c>
      <c r="H65" s="1" t="s">
        <v>50</v>
      </c>
      <c r="I65" s="1">
        <v>2500.0</v>
      </c>
      <c r="J65" s="1"/>
      <c r="K65" s="1" t="s">
        <v>51</v>
      </c>
      <c r="L65" s="1"/>
      <c r="M65" s="1" t="s">
        <v>628</v>
      </c>
      <c r="N65" s="1" t="s">
        <v>53</v>
      </c>
      <c r="O65" s="1" t="s">
        <v>333</v>
      </c>
      <c r="P65" s="2" t="s">
        <v>629</v>
      </c>
      <c r="Q65" s="1" t="s">
        <v>77</v>
      </c>
      <c r="R65" s="1"/>
      <c r="S65" s="1" t="s">
        <v>608</v>
      </c>
      <c r="T65" s="1">
        <v>4321477.0</v>
      </c>
      <c r="U65" s="1" t="s">
        <v>609</v>
      </c>
      <c r="V65" s="1" t="s">
        <v>402</v>
      </c>
      <c r="W65" s="1" t="s">
        <v>78</v>
      </c>
      <c r="X65" s="1"/>
      <c r="Y65" s="1"/>
      <c r="Z65" s="1" t="s">
        <v>223</v>
      </c>
      <c r="AA65" s="1" t="s">
        <v>618</v>
      </c>
      <c r="AB65" s="1" t="str">
        <f t="shared" ref="AB65:AB66" si="4">"***192130**"</f>
        <v>***192130**</v>
      </c>
      <c r="AC65" s="1"/>
      <c r="AD65" s="1" t="s">
        <v>81</v>
      </c>
      <c r="AE65" s="1"/>
      <c r="AF65" s="1">
        <v>-54.211194</v>
      </c>
      <c r="AG65" s="1">
        <v>-27.35925</v>
      </c>
      <c r="AH65" s="1" t="s">
        <v>630</v>
      </c>
      <c r="AI65" s="1"/>
      <c r="AJ65" s="1" t="s">
        <v>405</v>
      </c>
      <c r="AK65" s="1"/>
      <c r="AL65" s="1"/>
      <c r="AM65" s="1" t="s">
        <v>65</v>
      </c>
      <c r="AN65" s="1" t="s">
        <v>274</v>
      </c>
      <c r="AO65" s="1"/>
      <c r="AP65" s="2" t="s">
        <v>631</v>
      </c>
      <c r="AQ65" s="1"/>
      <c r="AR65" s="1" t="s">
        <v>463</v>
      </c>
      <c r="AS65" s="1"/>
      <c r="AT65" s="2" t="s">
        <v>70</v>
      </c>
    </row>
    <row r="66">
      <c r="A66" s="1"/>
      <c r="B66" s="1" t="s">
        <v>46</v>
      </c>
      <c r="C66" s="1" t="s">
        <v>47</v>
      </c>
      <c r="D66" s="1"/>
      <c r="E66" s="1" t="s">
        <v>632</v>
      </c>
      <c r="F66" s="1"/>
      <c r="G66" s="1" t="s">
        <v>49</v>
      </c>
      <c r="H66" s="1" t="s">
        <v>72</v>
      </c>
      <c r="I66" s="1">
        <v>7000.0</v>
      </c>
      <c r="J66" s="1"/>
      <c r="K66" s="1"/>
      <c r="L66" s="1"/>
      <c r="M66" s="1" t="s">
        <v>633</v>
      </c>
      <c r="N66" s="1" t="s">
        <v>109</v>
      </c>
      <c r="O66" s="1" t="s">
        <v>110</v>
      </c>
      <c r="P66" s="2" t="s">
        <v>634</v>
      </c>
      <c r="Q66" s="1" t="s">
        <v>77</v>
      </c>
      <c r="R66" s="1"/>
      <c r="S66" s="1" t="s">
        <v>608</v>
      </c>
      <c r="T66" s="1">
        <v>4321477.0</v>
      </c>
      <c r="U66" s="1" t="s">
        <v>609</v>
      </c>
      <c r="V66" s="1" t="s">
        <v>402</v>
      </c>
      <c r="W66" s="1" t="s">
        <v>78</v>
      </c>
      <c r="X66" s="1"/>
      <c r="Y66" s="1"/>
      <c r="Z66" s="1" t="s">
        <v>112</v>
      </c>
      <c r="AA66" s="1" t="s">
        <v>618</v>
      </c>
      <c r="AB66" s="1" t="str">
        <f t="shared" si="4"/>
        <v>***192130**</v>
      </c>
      <c r="AC66" s="1"/>
      <c r="AD66" s="1" t="s">
        <v>81</v>
      </c>
      <c r="AE66" s="1"/>
      <c r="AF66" s="1">
        <v>-54.210083</v>
      </c>
      <c r="AG66" s="1">
        <v>-27.359028</v>
      </c>
      <c r="AH66" s="1" t="s">
        <v>630</v>
      </c>
      <c r="AI66" s="1"/>
      <c r="AJ66" s="1" t="s">
        <v>405</v>
      </c>
      <c r="AK66" s="1"/>
      <c r="AL66" s="1"/>
      <c r="AM66" s="1" t="s">
        <v>65</v>
      </c>
      <c r="AN66" s="1" t="s">
        <v>274</v>
      </c>
      <c r="AO66" s="1"/>
      <c r="AP66" s="2" t="s">
        <v>635</v>
      </c>
      <c r="AQ66" s="1"/>
      <c r="AR66" s="1" t="s">
        <v>636</v>
      </c>
      <c r="AS66" s="1"/>
      <c r="AT66" s="2" t="s">
        <v>70</v>
      </c>
    </row>
    <row r="67">
      <c r="A67" s="1"/>
      <c r="B67" s="1" t="s">
        <v>46</v>
      </c>
      <c r="C67" s="1" t="s">
        <v>47</v>
      </c>
      <c r="D67" s="1"/>
      <c r="E67" s="1" t="s">
        <v>637</v>
      </c>
      <c r="F67" s="1"/>
      <c r="G67" s="1" t="s">
        <v>49</v>
      </c>
      <c r="H67" s="1" t="s">
        <v>50</v>
      </c>
      <c r="I67" s="1">
        <v>2500.0</v>
      </c>
      <c r="J67" s="1"/>
      <c r="K67" s="1" t="s">
        <v>51</v>
      </c>
      <c r="L67" s="1"/>
      <c r="M67" s="1" t="s">
        <v>638</v>
      </c>
      <c r="N67" s="1" t="s">
        <v>53</v>
      </c>
      <c r="O67" s="1" t="s">
        <v>333</v>
      </c>
      <c r="P67" s="2" t="s">
        <v>639</v>
      </c>
      <c r="Q67" s="1" t="s">
        <v>77</v>
      </c>
      <c r="R67" s="1"/>
      <c r="S67" s="1" t="s">
        <v>608</v>
      </c>
      <c r="T67" s="1">
        <v>4321477.0</v>
      </c>
      <c r="U67" s="1" t="s">
        <v>609</v>
      </c>
      <c r="V67" s="1" t="s">
        <v>402</v>
      </c>
      <c r="W67" s="1" t="s">
        <v>78</v>
      </c>
      <c r="X67" s="1"/>
      <c r="Y67" s="1"/>
      <c r="Z67" s="1" t="s">
        <v>223</v>
      </c>
      <c r="AA67" s="1" t="s">
        <v>640</v>
      </c>
      <c r="AB67" s="1" t="str">
        <f>"***630020**"</f>
        <v>***630020**</v>
      </c>
      <c r="AC67" s="1"/>
      <c r="AD67" s="1" t="s">
        <v>81</v>
      </c>
      <c r="AE67" s="1"/>
      <c r="AF67" s="1">
        <v>-54.210083</v>
      </c>
      <c r="AG67" s="1">
        <v>-27.359028</v>
      </c>
      <c r="AH67" s="1" t="s">
        <v>611</v>
      </c>
      <c r="AI67" s="1"/>
      <c r="AJ67" s="1" t="s">
        <v>405</v>
      </c>
      <c r="AK67" s="1"/>
      <c r="AL67" s="1"/>
      <c r="AM67" s="1" t="s">
        <v>65</v>
      </c>
      <c r="AN67" s="1" t="s">
        <v>274</v>
      </c>
      <c r="AO67" s="1"/>
      <c r="AP67" s="2" t="s">
        <v>641</v>
      </c>
      <c r="AQ67" s="1"/>
      <c r="AR67" s="1" t="s">
        <v>613</v>
      </c>
      <c r="AS67" s="1" t="s">
        <v>642</v>
      </c>
      <c r="AT67" s="2" t="s">
        <v>70</v>
      </c>
    </row>
    <row r="68">
      <c r="A68" s="1"/>
      <c r="B68" s="1" t="s">
        <v>46</v>
      </c>
      <c r="C68" s="1" t="s">
        <v>47</v>
      </c>
      <c r="D68" s="1"/>
      <c r="E68" s="1" t="s">
        <v>643</v>
      </c>
      <c r="F68" s="1"/>
      <c r="G68" s="1" t="s">
        <v>49</v>
      </c>
      <c r="H68" s="1" t="s">
        <v>50</v>
      </c>
      <c r="I68" s="1">
        <v>2500.0</v>
      </c>
      <c r="J68" s="1"/>
      <c r="K68" s="1" t="s">
        <v>51</v>
      </c>
      <c r="L68" s="1"/>
      <c r="M68" s="1" t="s">
        <v>644</v>
      </c>
      <c r="N68" s="1" t="s">
        <v>285</v>
      </c>
      <c r="O68" s="1" t="s">
        <v>286</v>
      </c>
      <c r="P68" s="2" t="s">
        <v>645</v>
      </c>
      <c r="Q68" s="1" t="s">
        <v>77</v>
      </c>
      <c r="R68" s="1"/>
      <c r="S68" s="1" t="s">
        <v>220</v>
      </c>
      <c r="T68" s="1">
        <v>2610608.0</v>
      </c>
      <c r="U68" s="1" t="s">
        <v>646</v>
      </c>
      <c r="V68" s="1" t="s">
        <v>507</v>
      </c>
      <c r="W68" s="1" t="s">
        <v>78</v>
      </c>
      <c r="X68" s="1"/>
      <c r="Y68" s="1"/>
      <c r="Z68" s="1" t="s">
        <v>292</v>
      </c>
      <c r="AA68" s="1" t="s">
        <v>647</v>
      </c>
      <c r="AB68" s="1" t="str">
        <f>"21949093000175"</f>
        <v>21949093000175</v>
      </c>
      <c r="AC68" s="1"/>
      <c r="AD68" s="1" t="s">
        <v>81</v>
      </c>
      <c r="AE68" s="1"/>
      <c r="AF68" s="1">
        <v>-35.190278</v>
      </c>
      <c r="AG68" s="1">
        <v>-7.887778</v>
      </c>
      <c r="AH68" s="1" t="s">
        <v>648</v>
      </c>
      <c r="AI68" s="1"/>
      <c r="AJ68" s="1" t="s">
        <v>510</v>
      </c>
      <c r="AK68" s="1"/>
      <c r="AL68" s="1"/>
      <c r="AM68" s="1" t="s">
        <v>65</v>
      </c>
      <c r="AN68" s="1" t="s">
        <v>511</v>
      </c>
      <c r="AO68" s="1"/>
      <c r="AP68" s="2" t="s">
        <v>649</v>
      </c>
      <c r="AQ68" s="1"/>
      <c r="AR68" s="1" t="s">
        <v>106</v>
      </c>
      <c r="AS68" s="1"/>
      <c r="AT68" s="2" t="s">
        <v>70</v>
      </c>
    </row>
    <row r="69">
      <c r="A69" s="1"/>
      <c r="B69" s="1" t="s">
        <v>46</v>
      </c>
      <c r="C69" s="1" t="s">
        <v>47</v>
      </c>
      <c r="D69" s="1"/>
      <c r="E69" s="1" t="s">
        <v>650</v>
      </c>
      <c r="F69" s="1"/>
      <c r="G69" s="1" t="s">
        <v>49</v>
      </c>
      <c r="H69" s="1" t="s">
        <v>50</v>
      </c>
      <c r="I69" s="1">
        <v>2500.0</v>
      </c>
      <c r="J69" s="1"/>
      <c r="K69" s="1" t="s">
        <v>92</v>
      </c>
      <c r="L69" s="1"/>
      <c r="M69" s="1" t="s">
        <v>651</v>
      </c>
      <c r="N69" s="1" t="s">
        <v>53</v>
      </c>
      <c r="O69" s="1" t="s">
        <v>333</v>
      </c>
      <c r="P69" s="2" t="s">
        <v>652</v>
      </c>
      <c r="Q69" s="1" t="s">
        <v>77</v>
      </c>
      <c r="R69" s="1"/>
      <c r="S69" s="1" t="s">
        <v>608</v>
      </c>
      <c r="T69" s="1">
        <v>4321477.0</v>
      </c>
      <c r="U69" s="1" t="s">
        <v>609</v>
      </c>
      <c r="V69" s="1" t="s">
        <v>402</v>
      </c>
      <c r="W69" s="1" t="s">
        <v>78</v>
      </c>
      <c r="X69" s="1"/>
      <c r="Y69" s="1"/>
      <c r="Z69" s="1" t="s">
        <v>223</v>
      </c>
      <c r="AA69" s="1" t="s">
        <v>653</v>
      </c>
      <c r="AB69" s="1" t="str">
        <f t="shared" ref="AB69:AB70" si="5">"***835150**"</f>
        <v>***835150**</v>
      </c>
      <c r="AC69" s="1"/>
      <c r="AD69" s="1" t="s">
        <v>81</v>
      </c>
      <c r="AE69" s="1"/>
      <c r="AF69" s="1">
        <v>-54.211333</v>
      </c>
      <c r="AG69" s="1">
        <v>-27.358</v>
      </c>
      <c r="AH69" s="1" t="s">
        <v>630</v>
      </c>
      <c r="AI69" s="1"/>
      <c r="AJ69" s="1" t="s">
        <v>405</v>
      </c>
      <c r="AK69" s="1"/>
      <c r="AL69" s="1"/>
      <c r="AM69" s="1" t="s">
        <v>65</v>
      </c>
      <c r="AN69" s="1" t="s">
        <v>274</v>
      </c>
      <c r="AO69" s="1"/>
      <c r="AP69" s="2" t="s">
        <v>654</v>
      </c>
      <c r="AQ69" s="1"/>
      <c r="AR69" s="1" t="s">
        <v>463</v>
      </c>
      <c r="AS69" s="1"/>
      <c r="AT69" s="2" t="s">
        <v>70</v>
      </c>
    </row>
    <row r="70">
      <c r="A70" s="1"/>
      <c r="B70" s="1" t="s">
        <v>46</v>
      </c>
      <c r="C70" s="1" t="s">
        <v>47</v>
      </c>
      <c r="D70" s="1"/>
      <c r="E70" s="1" t="s">
        <v>655</v>
      </c>
      <c r="F70" s="1"/>
      <c r="G70" s="1" t="s">
        <v>49</v>
      </c>
      <c r="H70" s="1" t="s">
        <v>72</v>
      </c>
      <c r="I70" s="1">
        <v>7000.0</v>
      </c>
      <c r="J70" s="1"/>
      <c r="K70" s="1"/>
      <c r="L70" s="1"/>
      <c r="M70" s="1" t="s">
        <v>633</v>
      </c>
      <c r="N70" s="1" t="s">
        <v>109</v>
      </c>
      <c r="O70" s="1" t="s">
        <v>110</v>
      </c>
      <c r="P70" s="2" t="s">
        <v>656</v>
      </c>
      <c r="Q70" s="1" t="s">
        <v>77</v>
      </c>
      <c r="R70" s="1"/>
      <c r="S70" s="1" t="s">
        <v>608</v>
      </c>
      <c r="T70" s="1">
        <v>4321477.0</v>
      </c>
      <c r="U70" s="1" t="s">
        <v>609</v>
      </c>
      <c r="V70" s="1" t="s">
        <v>402</v>
      </c>
      <c r="W70" s="1" t="s">
        <v>78</v>
      </c>
      <c r="X70" s="1"/>
      <c r="Y70" s="1"/>
      <c r="Z70" s="1" t="s">
        <v>112</v>
      </c>
      <c r="AA70" s="1" t="s">
        <v>657</v>
      </c>
      <c r="AB70" s="1" t="str">
        <f t="shared" si="5"/>
        <v>***835150**</v>
      </c>
      <c r="AC70" s="1"/>
      <c r="AD70" s="1" t="s">
        <v>325</v>
      </c>
      <c r="AE70" s="1"/>
      <c r="AF70" s="1">
        <v>-54.211111</v>
      </c>
      <c r="AG70" s="1">
        <v>-27.358</v>
      </c>
      <c r="AH70" s="1" t="s">
        <v>630</v>
      </c>
      <c r="AI70" s="1"/>
      <c r="AJ70" s="1" t="s">
        <v>405</v>
      </c>
      <c r="AK70" s="1"/>
      <c r="AL70" s="1"/>
      <c r="AM70" s="1" t="s">
        <v>65</v>
      </c>
      <c r="AN70" s="1" t="s">
        <v>274</v>
      </c>
      <c r="AO70" s="1"/>
      <c r="AP70" s="2" t="s">
        <v>658</v>
      </c>
      <c r="AQ70" s="1"/>
      <c r="AR70" s="1" t="s">
        <v>636</v>
      </c>
      <c r="AS70" s="1"/>
      <c r="AT70" s="2" t="s">
        <v>70</v>
      </c>
    </row>
    <row r="71">
      <c r="A71" s="1"/>
      <c r="B71" s="1" t="s">
        <v>46</v>
      </c>
      <c r="C71" s="1" t="s">
        <v>47</v>
      </c>
      <c r="D71" s="1"/>
      <c r="E71" s="1" t="s">
        <v>659</v>
      </c>
      <c r="F71" s="1"/>
      <c r="G71" s="1" t="s">
        <v>49</v>
      </c>
      <c r="H71" s="1" t="s">
        <v>50</v>
      </c>
      <c r="I71" s="1">
        <v>2500.0</v>
      </c>
      <c r="J71" s="1"/>
      <c r="K71" s="1" t="s">
        <v>51</v>
      </c>
      <c r="L71" s="1"/>
      <c r="M71" s="1" t="s">
        <v>660</v>
      </c>
      <c r="N71" s="1" t="s">
        <v>285</v>
      </c>
      <c r="O71" s="1" t="s">
        <v>286</v>
      </c>
      <c r="P71" s="2" t="s">
        <v>661</v>
      </c>
      <c r="Q71" s="1" t="s">
        <v>77</v>
      </c>
      <c r="R71" s="1"/>
      <c r="S71" s="1" t="s">
        <v>220</v>
      </c>
      <c r="T71" s="1">
        <v>2610608.0</v>
      </c>
      <c r="U71" s="1" t="s">
        <v>646</v>
      </c>
      <c r="V71" s="1" t="s">
        <v>507</v>
      </c>
      <c r="W71" s="1" t="s">
        <v>78</v>
      </c>
      <c r="X71" s="1"/>
      <c r="Y71" s="1"/>
      <c r="Z71" s="1" t="s">
        <v>292</v>
      </c>
      <c r="AA71" s="1" t="s">
        <v>662</v>
      </c>
      <c r="AB71" s="1" t="str">
        <f>"25108297000134"</f>
        <v>25108297000134</v>
      </c>
      <c r="AC71" s="1"/>
      <c r="AD71" s="1" t="s">
        <v>81</v>
      </c>
      <c r="AE71" s="1"/>
      <c r="AF71" s="1">
        <v>-35.192222</v>
      </c>
      <c r="AG71" s="1">
        <v>-7.904167</v>
      </c>
      <c r="AH71" s="1" t="s">
        <v>663</v>
      </c>
      <c r="AI71" s="1"/>
      <c r="AJ71" s="1" t="s">
        <v>510</v>
      </c>
      <c r="AK71" s="1"/>
      <c r="AL71" s="1"/>
      <c r="AM71" s="1" t="s">
        <v>65</v>
      </c>
      <c r="AN71" s="1" t="s">
        <v>511</v>
      </c>
      <c r="AO71" s="1"/>
      <c r="AP71" s="2" t="s">
        <v>664</v>
      </c>
      <c r="AQ71" s="1"/>
      <c r="AR71" s="1" t="s">
        <v>106</v>
      </c>
      <c r="AS71" s="1"/>
      <c r="AT71" s="2" t="s">
        <v>70</v>
      </c>
    </row>
    <row r="72">
      <c r="A72" s="1"/>
      <c r="B72" s="1" t="s">
        <v>46</v>
      </c>
      <c r="C72" s="1" t="s">
        <v>47</v>
      </c>
      <c r="D72" s="1"/>
      <c r="E72" s="1" t="s">
        <v>665</v>
      </c>
      <c r="F72" s="1"/>
      <c r="G72" s="1" t="s">
        <v>49</v>
      </c>
      <c r="H72" s="1" t="s">
        <v>50</v>
      </c>
      <c r="I72" s="1">
        <v>5000.0</v>
      </c>
      <c r="J72" s="1"/>
      <c r="K72" s="1" t="s">
        <v>92</v>
      </c>
      <c r="L72" s="1"/>
      <c r="M72" s="1" t="s">
        <v>666</v>
      </c>
      <c r="N72" s="1" t="s">
        <v>53</v>
      </c>
      <c r="O72" s="1" t="s">
        <v>333</v>
      </c>
      <c r="P72" s="2" t="s">
        <v>667</v>
      </c>
      <c r="Q72" s="1" t="s">
        <v>77</v>
      </c>
      <c r="R72" s="1"/>
      <c r="S72" s="1" t="s">
        <v>608</v>
      </c>
      <c r="T72" s="1">
        <v>4321477.0</v>
      </c>
      <c r="U72" s="1" t="s">
        <v>609</v>
      </c>
      <c r="V72" s="1" t="s">
        <v>402</v>
      </c>
      <c r="W72" s="1" t="s">
        <v>78</v>
      </c>
      <c r="X72" s="1"/>
      <c r="Y72" s="1"/>
      <c r="Z72" s="1" t="s">
        <v>223</v>
      </c>
      <c r="AA72" s="1" t="s">
        <v>668</v>
      </c>
      <c r="AB72" s="1" t="str">
        <f t="shared" ref="AB72:AB73" si="6">"***387960**"</f>
        <v>***387960**</v>
      </c>
      <c r="AC72" s="1"/>
      <c r="AD72" s="1" t="s">
        <v>81</v>
      </c>
      <c r="AE72" s="1"/>
      <c r="AF72" s="1">
        <v>-54.209722</v>
      </c>
      <c r="AG72" s="1">
        <v>-27.357167</v>
      </c>
      <c r="AH72" s="1" t="s">
        <v>630</v>
      </c>
      <c r="AI72" s="1"/>
      <c r="AJ72" s="1" t="s">
        <v>405</v>
      </c>
      <c r="AK72" s="1"/>
      <c r="AL72" s="1"/>
      <c r="AM72" s="1" t="s">
        <v>65</v>
      </c>
      <c r="AN72" s="1" t="s">
        <v>274</v>
      </c>
      <c r="AO72" s="1"/>
      <c r="AP72" s="2" t="s">
        <v>669</v>
      </c>
      <c r="AQ72" s="1"/>
      <c r="AR72" s="1" t="s">
        <v>670</v>
      </c>
      <c r="AS72" s="1"/>
      <c r="AT72" s="2" t="s">
        <v>70</v>
      </c>
    </row>
    <row r="73">
      <c r="A73" s="1"/>
      <c r="B73" s="1" t="s">
        <v>46</v>
      </c>
      <c r="C73" s="1" t="s">
        <v>47</v>
      </c>
      <c r="D73" s="1"/>
      <c r="E73" s="1" t="s">
        <v>671</v>
      </c>
      <c r="F73" s="1"/>
      <c r="G73" s="1" t="s">
        <v>49</v>
      </c>
      <c r="H73" s="1" t="s">
        <v>50</v>
      </c>
      <c r="I73" s="1">
        <v>5500.0</v>
      </c>
      <c r="J73" s="1"/>
      <c r="K73" s="1" t="s">
        <v>92</v>
      </c>
      <c r="L73" s="1"/>
      <c r="M73" s="1"/>
      <c r="N73" s="1" t="s">
        <v>53</v>
      </c>
      <c r="O73" s="1" t="s">
        <v>333</v>
      </c>
      <c r="P73" s="2" t="s">
        <v>672</v>
      </c>
      <c r="Q73" s="1" t="s">
        <v>77</v>
      </c>
      <c r="R73" s="1"/>
      <c r="S73" s="1" t="s">
        <v>608</v>
      </c>
      <c r="T73" s="1">
        <v>4321477.0</v>
      </c>
      <c r="U73" s="1" t="s">
        <v>609</v>
      </c>
      <c r="V73" s="1" t="s">
        <v>402</v>
      </c>
      <c r="W73" s="1" t="s">
        <v>78</v>
      </c>
      <c r="X73" s="1"/>
      <c r="Y73" s="1"/>
      <c r="Z73" s="1" t="s">
        <v>223</v>
      </c>
      <c r="AA73" s="1" t="s">
        <v>668</v>
      </c>
      <c r="AB73" s="1" t="str">
        <f t="shared" si="6"/>
        <v>***387960**</v>
      </c>
      <c r="AC73" s="1"/>
      <c r="AD73" s="1" t="s">
        <v>81</v>
      </c>
      <c r="AE73" s="1"/>
      <c r="AF73" s="1">
        <v>-54.209722</v>
      </c>
      <c r="AG73" s="1">
        <v>-27.357167</v>
      </c>
      <c r="AH73" s="1" t="s">
        <v>630</v>
      </c>
      <c r="AI73" s="1"/>
      <c r="AJ73" s="1" t="s">
        <v>405</v>
      </c>
      <c r="AK73" s="1"/>
      <c r="AL73" s="1"/>
      <c r="AM73" s="1" t="s">
        <v>65</v>
      </c>
      <c r="AN73" s="1" t="s">
        <v>274</v>
      </c>
      <c r="AO73" s="1"/>
      <c r="AP73" s="2" t="s">
        <v>673</v>
      </c>
      <c r="AQ73" s="1"/>
      <c r="AR73" s="1" t="s">
        <v>613</v>
      </c>
      <c r="AS73" s="1" t="s">
        <v>674</v>
      </c>
      <c r="AT73" s="2" t="s">
        <v>70</v>
      </c>
    </row>
    <row r="74">
      <c r="A74" s="1"/>
      <c r="B74" s="1" t="s">
        <v>46</v>
      </c>
      <c r="C74" s="1" t="s">
        <v>47</v>
      </c>
      <c r="D74" s="1"/>
      <c r="E74" s="1" t="s">
        <v>675</v>
      </c>
      <c r="F74" s="1"/>
      <c r="G74" s="1" t="s">
        <v>49</v>
      </c>
      <c r="H74" s="1" t="s">
        <v>50</v>
      </c>
      <c r="I74" s="1">
        <v>10000.0</v>
      </c>
      <c r="J74" s="1"/>
      <c r="K74" s="1" t="s">
        <v>51</v>
      </c>
      <c r="L74" s="1"/>
      <c r="M74" s="1" t="s">
        <v>676</v>
      </c>
      <c r="N74" s="1" t="s">
        <v>109</v>
      </c>
      <c r="O74" s="1" t="s">
        <v>110</v>
      </c>
      <c r="P74" s="2" t="s">
        <v>677</v>
      </c>
      <c r="Q74" s="1" t="s">
        <v>56</v>
      </c>
      <c r="R74" s="1"/>
      <c r="S74" s="1" t="s">
        <v>550</v>
      </c>
      <c r="T74" s="1">
        <v>2915601.0</v>
      </c>
      <c r="U74" s="1" t="s">
        <v>678</v>
      </c>
      <c r="V74" s="1" t="s">
        <v>552</v>
      </c>
      <c r="W74" s="1" t="s">
        <v>78</v>
      </c>
      <c r="X74" s="1"/>
      <c r="Y74" s="1"/>
      <c r="Z74" s="1" t="s">
        <v>112</v>
      </c>
      <c r="AA74" s="1" t="s">
        <v>679</v>
      </c>
      <c r="AB74" s="1" t="str">
        <f>"***114715**"</f>
        <v>***114715**</v>
      </c>
      <c r="AC74" s="1"/>
      <c r="AD74" s="1" t="s">
        <v>325</v>
      </c>
      <c r="AE74" s="1"/>
      <c r="AF74" s="1">
        <v>-39.943056</v>
      </c>
      <c r="AG74" s="1">
        <v>-16.899167</v>
      </c>
      <c r="AH74" s="1" t="s">
        <v>680</v>
      </c>
      <c r="AI74" s="1"/>
      <c r="AJ74" s="1" t="s">
        <v>681</v>
      </c>
      <c r="AK74" s="1"/>
      <c r="AL74" s="1"/>
      <c r="AM74" s="1" t="s">
        <v>65</v>
      </c>
      <c r="AN74" s="1" t="s">
        <v>682</v>
      </c>
      <c r="AO74" s="1"/>
      <c r="AP74" s="2" t="s">
        <v>683</v>
      </c>
      <c r="AQ74" s="1"/>
      <c r="AR74" s="1" t="s">
        <v>684</v>
      </c>
      <c r="AS74" s="1"/>
      <c r="AT74" s="2" t="s">
        <v>70</v>
      </c>
    </row>
    <row r="75">
      <c r="A75" s="1">
        <v>2043756.0</v>
      </c>
      <c r="B75" s="1" t="s">
        <v>116</v>
      </c>
      <c r="C75" s="1" t="s">
        <v>117</v>
      </c>
      <c r="D75" s="1" t="s">
        <v>46</v>
      </c>
      <c r="E75" s="1" t="s">
        <v>685</v>
      </c>
      <c r="F75" s="1"/>
      <c r="G75" s="1" t="s">
        <v>119</v>
      </c>
      <c r="H75" s="1" t="s">
        <v>50</v>
      </c>
      <c r="I75" s="1">
        <v>6000.0</v>
      </c>
      <c r="J75" s="1"/>
      <c r="K75" s="1"/>
      <c r="L75" s="1" t="s">
        <v>485</v>
      </c>
      <c r="M75" s="1" t="s">
        <v>686</v>
      </c>
      <c r="N75" s="1" t="s">
        <v>285</v>
      </c>
      <c r="O75" s="1" t="s">
        <v>286</v>
      </c>
      <c r="P75" s="2" t="s">
        <v>687</v>
      </c>
      <c r="Q75" s="1" t="s">
        <v>56</v>
      </c>
      <c r="R75" s="1"/>
      <c r="S75" s="1" t="s">
        <v>488</v>
      </c>
      <c r="T75" s="1">
        <v>1701002.0</v>
      </c>
      <c r="U75" s="1" t="s">
        <v>688</v>
      </c>
      <c r="V75" s="1" t="s">
        <v>490</v>
      </c>
      <c r="W75" s="1" t="s">
        <v>100</v>
      </c>
      <c r="X75" s="1"/>
      <c r="Y75" s="1" t="str">
        <f>"02029000193202149"</f>
        <v>02029000193202149</v>
      </c>
      <c r="Z75" s="1" t="s">
        <v>292</v>
      </c>
      <c r="AA75" s="1" t="s">
        <v>689</v>
      </c>
      <c r="AB75" s="1" t="str">
        <f>"***818276**"</f>
        <v>***818276**</v>
      </c>
      <c r="AC75" s="1"/>
      <c r="AD75" s="1"/>
      <c r="AE75" s="1"/>
      <c r="AF75" s="1">
        <v>-48.069722</v>
      </c>
      <c r="AG75" s="1">
        <v>-6.369167</v>
      </c>
      <c r="AH75" s="1" t="s">
        <v>690</v>
      </c>
      <c r="AI75" s="1"/>
      <c r="AJ75" s="1" t="s">
        <v>485</v>
      </c>
      <c r="AK75" s="1"/>
      <c r="AL75" s="1" t="s">
        <v>128</v>
      </c>
      <c r="AM75" s="1" t="s">
        <v>65</v>
      </c>
      <c r="AN75" s="1" t="s">
        <v>296</v>
      </c>
      <c r="AO75" s="2" t="s">
        <v>691</v>
      </c>
      <c r="AP75" s="2" t="s">
        <v>692</v>
      </c>
      <c r="AQ75" s="1" t="s">
        <v>132</v>
      </c>
      <c r="AR75" s="1" t="s">
        <v>693</v>
      </c>
      <c r="AS75" s="1"/>
      <c r="AT75" s="2" t="s">
        <v>70</v>
      </c>
    </row>
    <row r="76">
      <c r="A76" s="1">
        <v>2043793.0</v>
      </c>
      <c r="B76" s="1" t="s">
        <v>116</v>
      </c>
      <c r="C76" s="1" t="s">
        <v>117</v>
      </c>
      <c r="D76" s="1" t="s">
        <v>46</v>
      </c>
      <c r="E76" s="1" t="s">
        <v>694</v>
      </c>
      <c r="F76" s="1"/>
      <c r="G76" s="1" t="s">
        <v>119</v>
      </c>
      <c r="H76" s="1" t="s">
        <v>50</v>
      </c>
      <c r="I76" s="1">
        <v>2000.0</v>
      </c>
      <c r="J76" s="1"/>
      <c r="K76" s="1"/>
      <c r="L76" s="1" t="s">
        <v>295</v>
      </c>
      <c r="M76" s="1" t="s">
        <v>350</v>
      </c>
      <c r="N76" s="1" t="s">
        <v>186</v>
      </c>
      <c r="O76" s="1" t="s">
        <v>95</v>
      </c>
      <c r="P76" s="2" t="s">
        <v>687</v>
      </c>
      <c r="Q76" s="1" t="s">
        <v>56</v>
      </c>
      <c r="R76" s="2" t="s">
        <v>474</v>
      </c>
      <c r="S76" s="1" t="s">
        <v>288</v>
      </c>
      <c r="T76" s="1">
        <v>2202604.0</v>
      </c>
      <c r="U76" s="1" t="s">
        <v>695</v>
      </c>
      <c r="V76" s="1" t="s">
        <v>290</v>
      </c>
      <c r="W76" s="1" t="s">
        <v>172</v>
      </c>
      <c r="X76" s="1"/>
      <c r="Y76" s="1" t="str">
        <f>"02020000337202147"</f>
        <v>02020000337202147</v>
      </c>
      <c r="Z76" s="1" t="s">
        <v>101</v>
      </c>
      <c r="AA76" s="1" t="s">
        <v>696</v>
      </c>
      <c r="AB76" s="1" t="str">
        <f>"02441901000144"</f>
        <v>02441901000144</v>
      </c>
      <c r="AC76" s="1"/>
      <c r="AD76" s="1"/>
      <c r="AE76" s="1"/>
      <c r="AF76" s="1">
        <v>-42.783889</v>
      </c>
      <c r="AG76" s="1">
        <v>-5.065</v>
      </c>
      <c r="AH76" s="1" t="s">
        <v>354</v>
      </c>
      <c r="AI76" s="1"/>
      <c r="AJ76" s="1" t="s">
        <v>295</v>
      </c>
      <c r="AK76" s="1"/>
      <c r="AL76" s="1" t="s">
        <v>128</v>
      </c>
      <c r="AM76" s="1" t="s">
        <v>65</v>
      </c>
      <c r="AN76" s="1" t="s">
        <v>296</v>
      </c>
      <c r="AO76" s="2" t="s">
        <v>529</v>
      </c>
      <c r="AP76" s="2" t="s">
        <v>697</v>
      </c>
      <c r="AQ76" s="1" t="s">
        <v>132</v>
      </c>
      <c r="AR76" s="1" t="s">
        <v>531</v>
      </c>
      <c r="AS76" s="1"/>
      <c r="AT76" s="2" t="s">
        <v>70</v>
      </c>
    </row>
    <row r="77">
      <c r="A77" s="1"/>
      <c r="B77" s="1" t="s">
        <v>46</v>
      </c>
      <c r="C77" s="1" t="s">
        <v>47</v>
      </c>
      <c r="D77" s="1"/>
      <c r="E77" s="1" t="s">
        <v>698</v>
      </c>
      <c r="F77" s="1"/>
      <c r="G77" s="1" t="s">
        <v>49</v>
      </c>
      <c r="H77" s="1" t="s">
        <v>50</v>
      </c>
      <c r="I77" s="1">
        <v>2500.0</v>
      </c>
      <c r="J77" s="1"/>
      <c r="K77" s="1" t="s">
        <v>92</v>
      </c>
      <c r="L77" s="1"/>
      <c r="M77" s="1" t="s">
        <v>699</v>
      </c>
      <c r="N77" s="1" t="s">
        <v>53</v>
      </c>
      <c r="O77" s="1" t="s">
        <v>333</v>
      </c>
      <c r="P77" s="2" t="s">
        <v>700</v>
      </c>
      <c r="Q77" s="1" t="s">
        <v>77</v>
      </c>
      <c r="R77" s="1"/>
      <c r="S77" s="1" t="s">
        <v>608</v>
      </c>
      <c r="T77" s="1">
        <v>4321477.0</v>
      </c>
      <c r="U77" s="1" t="s">
        <v>609</v>
      </c>
      <c r="V77" s="1" t="s">
        <v>402</v>
      </c>
      <c r="W77" s="1" t="s">
        <v>78</v>
      </c>
      <c r="X77" s="1"/>
      <c r="Y77" s="1"/>
      <c r="Z77" s="1" t="s">
        <v>223</v>
      </c>
      <c r="AA77" s="1" t="s">
        <v>701</v>
      </c>
      <c r="AB77" s="1" t="str">
        <f t="shared" ref="AB77:AB78" si="7">"***387960**"</f>
        <v>***387960**</v>
      </c>
      <c r="AC77" s="1"/>
      <c r="AD77" s="1" t="s">
        <v>81</v>
      </c>
      <c r="AE77" s="1"/>
      <c r="AF77" s="1">
        <v>-54.211056</v>
      </c>
      <c r="AG77" s="1">
        <v>-27.457417</v>
      </c>
      <c r="AH77" s="1" t="s">
        <v>702</v>
      </c>
      <c r="AI77" s="1"/>
      <c r="AJ77" s="1" t="s">
        <v>405</v>
      </c>
      <c r="AK77" s="1"/>
      <c r="AL77" s="1"/>
      <c r="AM77" s="1" t="s">
        <v>65</v>
      </c>
      <c r="AN77" s="1" t="s">
        <v>274</v>
      </c>
      <c r="AO77" s="1"/>
      <c r="AP77" s="2" t="s">
        <v>703</v>
      </c>
      <c r="AQ77" s="1"/>
      <c r="AR77" s="1" t="s">
        <v>463</v>
      </c>
      <c r="AS77" s="1"/>
      <c r="AT77" s="2" t="s">
        <v>70</v>
      </c>
    </row>
    <row r="78">
      <c r="A78" s="1"/>
      <c r="B78" s="1" t="s">
        <v>46</v>
      </c>
      <c r="C78" s="1" t="s">
        <v>47</v>
      </c>
      <c r="D78" s="1"/>
      <c r="E78" s="1" t="s">
        <v>704</v>
      </c>
      <c r="F78" s="1"/>
      <c r="G78" s="1" t="s">
        <v>49</v>
      </c>
      <c r="H78" s="1" t="s">
        <v>72</v>
      </c>
      <c r="I78" s="1">
        <v>7000.0</v>
      </c>
      <c r="J78" s="1"/>
      <c r="K78" s="1"/>
      <c r="L78" s="1"/>
      <c r="M78" s="1" t="s">
        <v>705</v>
      </c>
      <c r="N78" s="1" t="s">
        <v>109</v>
      </c>
      <c r="O78" s="1" t="s">
        <v>110</v>
      </c>
      <c r="P78" s="2" t="s">
        <v>706</v>
      </c>
      <c r="Q78" s="1" t="s">
        <v>77</v>
      </c>
      <c r="R78" s="1"/>
      <c r="S78" s="1" t="s">
        <v>608</v>
      </c>
      <c r="T78" s="1">
        <v>4321477.0</v>
      </c>
      <c r="U78" s="1" t="s">
        <v>609</v>
      </c>
      <c r="V78" s="1" t="s">
        <v>402</v>
      </c>
      <c r="W78" s="1" t="s">
        <v>78</v>
      </c>
      <c r="X78" s="1"/>
      <c r="Y78" s="1"/>
      <c r="Z78" s="1" t="s">
        <v>112</v>
      </c>
      <c r="AA78" s="1" t="s">
        <v>668</v>
      </c>
      <c r="AB78" s="1" t="str">
        <f t="shared" si="7"/>
        <v>***387960**</v>
      </c>
      <c r="AC78" s="1"/>
      <c r="AD78" s="1" t="s">
        <v>325</v>
      </c>
      <c r="AE78" s="1"/>
      <c r="AF78" s="1">
        <v>-54.211056</v>
      </c>
      <c r="AG78" s="1">
        <v>-27.357417</v>
      </c>
      <c r="AH78" s="1" t="s">
        <v>611</v>
      </c>
      <c r="AI78" s="1"/>
      <c r="AJ78" s="1" t="s">
        <v>405</v>
      </c>
      <c r="AK78" s="1"/>
      <c r="AL78" s="1"/>
      <c r="AM78" s="1" t="s">
        <v>65</v>
      </c>
      <c r="AN78" s="1" t="s">
        <v>274</v>
      </c>
      <c r="AO78" s="1"/>
      <c r="AP78" s="2" t="s">
        <v>707</v>
      </c>
      <c r="AQ78" s="1"/>
      <c r="AR78" s="1" t="s">
        <v>636</v>
      </c>
      <c r="AS78" s="1"/>
      <c r="AT78" s="2" t="s">
        <v>70</v>
      </c>
    </row>
    <row r="79">
      <c r="A79" s="1"/>
      <c r="B79" s="1" t="s">
        <v>46</v>
      </c>
      <c r="C79" s="1" t="s">
        <v>47</v>
      </c>
      <c r="D79" s="1"/>
      <c r="E79" s="1" t="s">
        <v>708</v>
      </c>
      <c r="F79" s="1"/>
      <c r="G79" s="1" t="s">
        <v>49</v>
      </c>
      <c r="H79" s="1" t="s">
        <v>50</v>
      </c>
      <c r="I79" s="1">
        <v>2500.0</v>
      </c>
      <c r="J79" s="1"/>
      <c r="K79" s="1" t="s">
        <v>51</v>
      </c>
      <c r="L79" s="1"/>
      <c r="M79" s="1" t="s">
        <v>709</v>
      </c>
      <c r="N79" s="1" t="s">
        <v>285</v>
      </c>
      <c r="O79" s="1" t="s">
        <v>286</v>
      </c>
      <c r="P79" s="2" t="s">
        <v>710</v>
      </c>
      <c r="Q79" s="1" t="s">
        <v>77</v>
      </c>
      <c r="R79" s="1"/>
      <c r="S79" s="1" t="s">
        <v>220</v>
      </c>
      <c r="T79" s="1">
        <v>2610608.0</v>
      </c>
      <c r="U79" s="1" t="s">
        <v>646</v>
      </c>
      <c r="V79" s="1" t="s">
        <v>507</v>
      </c>
      <c r="W79" s="1" t="s">
        <v>78</v>
      </c>
      <c r="X79" s="1"/>
      <c r="Y79" s="1"/>
      <c r="Z79" s="1" t="s">
        <v>292</v>
      </c>
      <c r="AA79" s="1" t="s">
        <v>711</v>
      </c>
      <c r="AB79" s="1" t="str">
        <f>"12500414000169"</f>
        <v>12500414000169</v>
      </c>
      <c r="AC79" s="1"/>
      <c r="AD79" s="1" t="s">
        <v>81</v>
      </c>
      <c r="AE79" s="1"/>
      <c r="AF79" s="1">
        <v>-35.183056</v>
      </c>
      <c r="AG79" s="1">
        <v>-7.921111</v>
      </c>
      <c r="AH79" s="1" t="s">
        <v>712</v>
      </c>
      <c r="AI79" s="1"/>
      <c r="AJ79" s="1" t="s">
        <v>510</v>
      </c>
      <c r="AK79" s="1"/>
      <c r="AL79" s="1"/>
      <c r="AM79" s="1" t="s">
        <v>65</v>
      </c>
      <c r="AN79" s="1" t="s">
        <v>511</v>
      </c>
      <c r="AO79" s="1"/>
      <c r="AP79" s="2" t="s">
        <v>713</v>
      </c>
      <c r="AQ79" s="1"/>
      <c r="AR79" s="1" t="s">
        <v>106</v>
      </c>
      <c r="AS79" s="1"/>
      <c r="AT79" s="2" t="s">
        <v>70</v>
      </c>
    </row>
    <row r="80">
      <c r="A80" s="1"/>
      <c r="B80" s="1" t="s">
        <v>46</v>
      </c>
      <c r="C80" s="1" t="s">
        <v>47</v>
      </c>
      <c r="D80" s="1"/>
      <c r="E80" s="1" t="s">
        <v>714</v>
      </c>
      <c r="F80" s="1"/>
      <c r="G80" s="1" t="s">
        <v>49</v>
      </c>
      <c r="H80" s="1" t="s">
        <v>50</v>
      </c>
      <c r="I80" s="1">
        <v>51000.0</v>
      </c>
      <c r="J80" s="1"/>
      <c r="K80" s="1" t="s">
        <v>92</v>
      </c>
      <c r="L80" s="1"/>
      <c r="M80" s="1" t="s">
        <v>715</v>
      </c>
      <c r="N80" s="1" t="s">
        <v>186</v>
      </c>
      <c r="O80" s="1" t="s">
        <v>187</v>
      </c>
      <c r="P80" s="2" t="s">
        <v>716</v>
      </c>
      <c r="Q80" s="1" t="s">
        <v>56</v>
      </c>
      <c r="R80" s="1"/>
      <c r="S80" s="1" t="s">
        <v>148</v>
      </c>
      <c r="T80" s="1">
        <v>1100288.0</v>
      </c>
      <c r="U80" s="1" t="s">
        <v>423</v>
      </c>
      <c r="V80" s="1" t="s">
        <v>125</v>
      </c>
      <c r="W80" s="1" t="s">
        <v>100</v>
      </c>
      <c r="X80" s="1"/>
      <c r="Y80" s="1"/>
      <c r="Z80" s="1"/>
      <c r="AA80" s="1" t="s">
        <v>424</v>
      </c>
      <c r="AB80" s="1" t="str">
        <f t="shared" ref="AB80:AB81" si="8">"12535196000106"</f>
        <v>12535196000106</v>
      </c>
      <c r="AC80" s="1"/>
      <c r="AD80" s="1" t="s">
        <v>81</v>
      </c>
      <c r="AE80" s="1"/>
      <c r="AF80" s="1">
        <v>-61.776667</v>
      </c>
      <c r="AG80" s="1">
        <v>-11.721667</v>
      </c>
      <c r="AH80" s="1" t="s">
        <v>717</v>
      </c>
      <c r="AI80" s="1"/>
      <c r="AJ80" s="1" t="s">
        <v>158</v>
      </c>
      <c r="AK80" s="1"/>
      <c r="AL80" s="1"/>
      <c r="AM80" s="1" t="s">
        <v>65</v>
      </c>
      <c r="AN80" s="1" t="s">
        <v>159</v>
      </c>
      <c r="AO80" s="1"/>
      <c r="AP80" s="2" t="s">
        <v>718</v>
      </c>
      <c r="AQ80" s="1"/>
      <c r="AR80" s="1" t="s">
        <v>106</v>
      </c>
      <c r="AS80" s="1"/>
      <c r="AT80" s="2" t="s">
        <v>70</v>
      </c>
    </row>
    <row r="81">
      <c r="A81" s="1"/>
      <c r="B81" s="1" t="s">
        <v>46</v>
      </c>
      <c r="C81" s="1" t="s">
        <v>47</v>
      </c>
      <c r="D81" s="1"/>
      <c r="E81" s="1" t="s">
        <v>719</v>
      </c>
      <c r="F81" s="1"/>
      <c r="G81" s="1" t="s">
        <v>49</v>
      </c>
      <c r="H81" s="1" t="s">
        <v>50</v>
      </c>
      <c r="I81" s="1">
        <v>51000.0</v>
      </c>
      <c r="J81" s="1"/>
      <c r="K81" s="1" t="s">
        <v>92</v>
      </c>
      <c r="L81" s="1"/>
      <c r="M81" s="1" t="s">
        <v>720</v>
      </c>
      <c r="N81" s="1" t="s">
        <v>53</v>
      </c>
      <c r="O81" s="1" t="s">
        <v>333</v>
      </c>
      <c r="P81" s="2" t="s">
        <v>721</v>
      </c>
      <c r="Q81" s="1" t="s">
        <v>56</v>
      </c>
      <c r="R81" s="1"/>
      <c r="S81" s="1" t="s">
        <v>148</v>
      </c>
      <c r="T81" s="1">
        <v>1100288.0</v>
      </c>
      <c r="U81" s="1" t="s">
        <v>423</v>
      </c>
      <c r="V81" s="1" t="s">
        <v>125</v>
      </c>
      <c r="W81" s="1" t="s">
        <v>100</v>
      </c>
      <c r="X81" s="1"/>
      <c r="Y81" s="1"/>
      <c r="Z81" s="1" t="s">
        <v>223</v>
      </c>
      <c r="AA81" s="1" t="s">
        <v>424</v>
      </c>
      <c r="AB81" s="1" t="str">
        <f t="shared" si="8"/>
        <v>12535196000106</v>
      </c>
      <c r="AC81" s="1"/>
      <c r="AD81" s="1" t="s">
        <v>81</v>
      </c>
      <c r="AE81" s="1"/>
      <c r="AF81" s="1">
        <v>-61.776667</v>
      </c>
      <c r="AG81" s="1">
        <v>-11.721667</v>
      </c>
      <c r="AH81" s="1" t="s">
        <v>722</v>
      </c>
      <c r="AI81" s="1"/>
      <c r="AJ81" s="1" t="s">
        <v>158</v>
      </c>
      <c r="AK81" s="1"/>
      <c r="AL81" s="1"/>
      <c r="AM81" s="1" t="s">
        <v>65</v>
      </c>
      <c r="AN81" s="1" t="s">
        <v>159</v>
      </c>
      <c r="AO81" s="1"/>
      <c r="AP81" s="2" t="s">
        <v>723</v>
      </c>
      <c r="AQ81" s="1"/>
      <c r="AR81" s="1" t="s">
        <v>106</v>
      </c>
      <c r="AS81" s="1"/>
      <c r="AT81" s="2" t="s">
        <v>70</v>
      </c>
    </row>
    <row r="82">
      <c r="A82" s="1"/>
      <c r="B82" s="1" t="s">
        <v>46</v>
      </c>
      <c r="C82" s="1" t="s">
        <v>47</v>
      </c>
      <c r="D82" s="1"/>
      <c r="E82" s="1" t="s">
        <v>724</v>
      </c>
      <c r="F82" s="1"/>
      <c r="G82" s="1" t="s">
        <v>49</v>
      </c>
      <c r="H82" s="1" t="s">
        <v>50</v>
      </c>
      <c r="I82" s="1">
        <v>2500.0</v>
      </c>
      <c r="J82" s="1"/>
      <c r="K82" s="1" t="s">
        <v>92</v>
      </c>
      <c r="L82" s="1"/>
      <c r="M82" s="1" t="s">
        <v>725</v>
      </c>
      <c r="N82" s="1" t="s">
        <v>53</v>
      </c>
      <c r="O82" s="1" t="s">
        <v>333</v>
      </c>
      <c r="P82" s="2" t="s">
        <v>726</v>
      </c>
      <c r="Q82" s="1" t="s">
        <v>77</v>
      </c>
      <c r="R82" s="1"/>
      <c r="S82" s="1" t="s">
        <v>608</v>
      </c>
      <c r="T82" s="1">
        <v>4321477.0</v>
      </c>
      <c r="U82" s="1" t="s">
        <v>609</v>
      </c>
      <c r="V82" s="1" t="s">
        <v>402</v>
      </c>
      <c r="W82" s="1" t="s">
        <v>78</v>
      </c>
      <c r="X82" s="1"/>
      <c r="Y82" s="1"/>
      <c r="Z82" s="1" t="s">
        <v>223</v>
      </c>
      <c r="AA82" s="1" t="s">
        <v>727</v>
      </c>
      <c r="AB82" s="1" t="str">
        <f t="shared" ref="AB82:AB83" si="9">"***567880**"</f>
        <v>***567880**</v>
      </c>
      <c r="AC82" s="1"/>
      <c r="AD82" s="1" t="s">
        <v>81</v>
      </c>
      <c r="AE82" s="1"/>
      <c r="AF82" s="1">
        <v>-54.211111</v>
      </c>
      <c r="AG82" s="1">
        <v>-27.3585</v>
      </c>
      <c r="AH82" s="1" t="s">
        <v>611</v>
      </c>
      <c r="AI82" s="1"/>
      <c r="AJ82" s="1" t="s">
        <v>405</v>
      </c>
      <c r="AK82" s="1"/>
      <c r="AL82" s="1"/>
      <c r="AM82" s="1" t="s">
        <v>65</v>
      </c>
      <c r="AN82" s="1" t="s">
        <v>274</v>
      </c>
      <c r="AO82" s="1"/>
      <c r="AP82" s="2" t="s">
        <v>728</v>
      </c>
      <c r="AQ82" s="1"/>
      <c r="AR82" s="1" t="s">
        <v>463</v>
      </c>
      <c r="AS82" s="1"/>
      <c r="AT82" s="2" t="s">
        <v>70</v>
      </c>
    </row>
    <row r="83">
      <c r="A83" s="1"/>
      <c r="B83" s="1" t="s">
        <v>46</v>
      </c>
      <c r="C83" s="1" t="s">
        <v>47</v>
      </c>
      <c r="D83" s="1"/>
      <c r="E83" s="1" t="s">
        <v>729</v>
      </c>
      <c r="F83" s="1"/>
      <c r="G83" s="1" t="s">
        <v>49</v>
      </c>
      <c r="H83" s="1" t="s">
        <v>72</v>
      </c>
      <c r="I83" s="1">
        <v>7000.0</v>
      </c>
      <c r="J83" s="1"/>
      <c r="K83" s="1"/>
      <c r="L83" s="1"/>
      <c r="M83" s="1" t="s">
        <v>730</v>
      </c>
      <c r="N83" s="1" t="s">
        <v>109</v>
      </c>
      <c r="O83" s="1" t="s">
        <v>110</v>
      </c>
      <c r="P83" s="2" t="s">
        <v>731</v>
      </c>
      <c r="Q83" s="1" t="s">
        <v>77</v>
      </c>
      <c r="R83" s="1"/>
      <c r="S83" s="1" t="s">
        <v>608</v>
      </c>
      <c r="T83" s="1">
        <v>4321477.0</v>
      </c>
      <c r="U83" s="1" t="s">
        <v>609</v>
      </c>
      <c r="V83" s="1" t="s">
        <v>402</v>
      </c>
      <c r="W83" s="1" t="s">
        <v>78</v>
      </c>
      <c r="X83" s="1"/>
      <c r="Y83" s="1"/>
      <c r="Z83" s="1" t="s">
        <v>112</v>
      </c>
      <c r="AA83" s="1" t="s">
        <v>727</v>
      </c>
      <c r="AB83" s="1" t="str">
        <f t="shared" si="9"/>
        <v>***567880**</v>
      </c>
      <c r="AC83" s="1"/>
      <c r="AD83" s="1" t="s">
        <v>325</v>
      </c>
      <c r="AE83" s="1"/>
      <c r="AF83" s="1">
        <v>-54.211111</v>
      </c>
      <c r="AG83" s="1">
        <v>-27.3585</v>
      </c>
      <c r="AH83" s="1" t="s">
        <v>611</v>
      </c>
      <c r="AI83" s="1"/>
      <c r="AJ83" s="1" t="s">
        <v>405</v>
      </c>
      <c r="AK83" s="1"/>
      <c r="AL83" s="1"/>
      <c r="AM83" s="1" t="s">
        <v>65</v>
      </c>
      <c r="AN83" s="1" t="s">
        <v>274</v>
      </c>
      <c r="AO83" s="1"/>
      <c r="AP83" s="2" t="s">
        <v>732</v>
      </c>
      <c r="AQ83" s="1"/>
      <c r="AR83" s="1" t="s">
        <v>733</v>
      </c>
      <c r="AS83" s="1"/>
      <c r="AT83" s="2" t="s">
        <v>70</v>
      </c>
    </row>
    <row r="84">
      <c r="A84" s="1">
        <v>2043792.0</v>
      </c>
      <c r="B84" s="1" t="s">
        <v>116</v>
      </c>
      <c r="C84" s="1" t="s">
        <v>117</v>
      </c>
      <c r="D84" s="1" t="s">
        <v>46</v>
      </c>
      <c r="E84" s="1" t="s">
        <v>734</v>
      </c>
      <c r="F84" s="1"/>
      <c r="G84" s="1" t="s">
        <v>119</v>
      </c>
      <c r="H84" s="1" t="s">
        <v>50</v>
      </c>
      <c r="I84" s="1">
        <v>1000.0</v>
      </c>
      <c r="J84" s="1"/>
      <c r="K84" s="1"/>
      <c r="L84" s="1" t="s">
        <v>295</v>
      </c>
      <c r="M84" s="1" t="s">
        <v>735</v>
      </c>
      <c r="N84" s="1" t="s">
        <v>285</v>
      </c>
      <c r="O84" s="1" t="s">
        <v>286</v>
      </c>
      <c r="P84" s="2" t="s">
        <v>736</v>
      </c>
      <c r="Q84" s="1" t="s">
        <v>56</v>
      </c>
      <c r="R84" s="2" t="s">
        <v>474</v>
      </c>
      <c r="S84" s="1" t="s">
        <v>288</v>
      </c>
      <c r="T84" s="1">
        <v>2202703.0</v>
      </c>
      <c r="U84" s="1" t="s">
        <v>737</v>
      </c>
      <c r="V84" s="1" t="s">
        <v>290</v>
      </c>
      <c r="W84" s="1" t="s">
        <v>291</v>
      </c>
      <c r="X84" s="1"/>
      <c r="Y84" s="1" t="str">
        <f>"02020000336202101"</f>
        <v>02020000336202101</v>
      </c>
      <c r="Z84" s="1" t="s">
        <v>292</v>
      </c>
      <c r="AA84" s="1" t="s">
        <v>738</v>
      </c>
      <c r="AB84" s="1" t="str">
        <f>"13244442000206"</f>
        <v>13244442000206</v>
      </c>
      <c r="AC84" s="1"/>
      <c r="AD84" s="1"/>
      <c r="AE84" s="1"/>
      <c r="AF84" s="1">
        <v>-42.824528</v>
      </c>
      <c r="AG84" s="1">
        <v>-5.069889</v>
      </c>
      <c r="AH84" s="1" t="s">
        <v>739</v>
      </c>
      <c r="AI84" s="1"/>
      <c r="AJ84" s="1" t="s">
        <v>295</v>
      </c>
      <c r="AK84" s="1"/>
      <c r="AL84" s="1" t="s">
        <v>128</v>
      </c>
      <c r="AM84" s="1" t="s">
        <v>65</v>
      </c>
      <c r="AN84" s="1" t="s">
        <v>296</v>
      </c>
      <c r="AO84" s="2" t="s">
        <v>529</v>
      </c>
      <c r="AP84" s="2" t="s">
        <v>740</v>
      </c>
      <c r="AQ84" s="1" t="s">
        <v>132</v>
      </c>
      <c r="AR84" s="1" t="s">
        <v>531</v>
      </c>
      <c r="AS84" s="1"/>
      <c r="AT84" s="2" t="s">
        <v>70</v>
      </c>
    </row>
    <row r="85">
      <c r="A85" s="1"/>
      <c r="B85" s="1" t="s">
        <v>46</v>
      </c>
      <c r="C85" s="1" t="s">
        <v>47</v>
      </c>
      <c r="D85" s="1"/>
      <c r="E85" s="1" t="s">
        <v>741</v>
      </c>
      <c r="F85" s="1"/>
      <c r="G85" s="1" t="s">
        <v>49</v>
      </c>
      <c r="H85" s="1" t="s">
        <v>72</v>
      </c>
      <c r="I85" s="1">
        <v>35000.0</v>
      </c>
      <c r="J85" s="1"/>
      <c r="K85" s="1"/>
      <c r="L85" s="1"/>
      <c r="M85" s="1" t="s">
        <v>742</v>
      </c>
      <c r="N85" s="1" t="s">
        <v>109</v>
      </c>
      <c r="O85" s="1" t="s">
        <v>110</v>
      </c>
      <c r="P85" s="2" t="s">
        <v>743</v>
      </c>
      <c r="Q85" s="1" t="s">
        <v>56</v>
      </c>
      <c r="R85" s="1"/>
      <c r="S85" s="1" t="s">
        <v>220</v>
      </c>
      <c r="T85" s="1">
        <v>2915601.0</v>
      </c>
      <c r="U85" s="1" t="s">
        <v>678</v>
      </c>
      <c r="V85" s="1" t="s">
        <v>552</v>
      </c>
      <c r="W85" s="1" t="s">
        <v>78</v>
      </c>
      <c r="X85" s="1"/>
      <c r="Y85" s="1"/>
      <c r="Z85" s="1" t="s">
        <v>112</v>
      </c>
      <c r="AA85" s="1" t="s">
        <v>679</v>
      </c>
      <c r="AB85" s="1" t="str">
        <f>"***114715**"</f>
        <v>***114715**</v>
      </c>
      <c r="AC85" s="1"/>
      <c r="AD85" s="1" t="s">
        <v>325</v>
      </c>
      <c r="AE85" s="1"/>
      <c r="AF85" s="1">
        <v>-39.943056</v>
      </c>
      <c r="AG85" s="1">
        <v>-16.899167</v>
      </c>
      <c r="AH85" s="1" t="s">
        <v>744</v>
      </c>
      <c r="AI85" s="1"/>
      <c r="AJ85" s="1" t="s">
        <v>681</v>
      </c>
      <c r="AK85" s="1"/>
      <c r="AL85" s="1"/>
      <c r="AM85" s="1" t="s">
        <v>65</v>
      </c>
      <c r="AN85" s="1" t="s">
        <v>682</v>
      </c>
      <c r="AO85" s="1"/>
      <c r="AP85" s="2" t="s">
        <v>745</v>
      </c>
      <c r="AQ85" s="1"/>
      <c r="AR85" s="1" t="s">
        <v>746</v>
      </c>
      <c r="AS85" s="1"/>
      <c r="AT85" s="2" t="s">
        <v>70</v>
      </c>
    </row>
    <row r="86">
      <c r="A86" s="1"/>
      <c r="B86" s="1" t="s">
        <v>46</v>
      </c>
      <c r="C86" s="1" t="s">
        <v>47</v>
      </c>
      <c r="D86" s="1"/>
      <c r="E86" s="1" t="s">
        <v>747</v>
      </c>
      <c r="F86" s="1"/>
      <c r="G86" s="1" t="s">
        <v>49</v>
      </c>
      <c r="H86" s="1" t="s">
        <v>72</v>
      </c>
      <c r="I86" s="1">
        <v>54300.0</v>
      </c>
      <c r="J86" s="1"/>
      <c r="K86" s="1"/>
      <c r="L86" s="1"/>
      <c r="M86" s="1" t="s">
        <v>748</v>
      </c>
      <c r="N86" s="1" t="s">
        <v>109</v>
      </c>
      <c r="O86" s="1" t="s">
        <v>110</v>
      </c>
      <c r="P86" s="2" t="s">
        <v>749</v>
      </c>
      <c r="Q86" s="1" t="s">
        <v>56</v>
      </c>
      <c r="R86" s="1"/>
      <c r="S86" s="1" t="s">
        <v>220</v>
      </c>
      <c r="T86" s="1">
        <v>1100809.0</v>
      </c>
      <c r="U86" s="1" t="s">
        <v>124</v>
      </c>
      <c r="V86" s="1" t="s">
        <v>125</v>
      </c>
      <c r="W86" s="1" t="s">
        <v>100</v>
      </c>
      <c r="X86" s="1"/>
      <c r="Y86" s="1"/>
      <c r="Z86" s="1" t="s">
        <v>112</v>
      </c>
      <c r="AA86" s="1" t="s">
        <v>750</v>
      </c>
      <c r="AB86" s="1" t="str">
        <f>"20702872000109"</f>
        <v>20702872000109</v>
      </c>
      <c r="AC86" s="1"/>
      <c r="AD86" s="1" t="s">
        <v>62</v>
      </c>
      <c r="AE86" s="1"/>
      <c r="AF86" s="1">
        <v>-63.403889</v>
      </c>
      <c r="AG86" s="1">
        <v>-8.66</v>
      </c>
      <c r="AH86" s="1" t="s">
        <v>751</v>
      </c>
      <c r="AI86" s="1"/>
      <c r="AJ86" s="1" t="s">
        <v>120</v>
      </c>
      <c r="AK86" s="1"/>
      <c r="AL86" s="1"/>
      <c r="AM86" s="1" t="s">
        <v>65</v>
      </c>
      <c r="AN86" s="1" t="s">
        <v>129</v>
      </c>
      <c r="AO86" s="1"/>
      <c r="AP86" s="2" t="s">
        <v>752</v>
      </c>
      <c r="AQ86" s="1"/>
      <c r="AR86" s="1" t="s">
        <v>753</v>
      </c>
      <c r="AS86" s="1"/>
      <c r="AT86" s="2" t="s">
        <v>70</v>
      </c>
    </row>
    <row r="87">
      <c r="A87" s="1"/>
      <c r="B87" s="1" t="s">
        <v>46</v>
      </c>
      <c r="C87" s="1" t="s">
        <v>47</v>
      </c>
      <c r="D87" s="1"/>
      <c r="E87" s="1" t="s">
        <v>754</v>
      </c>
      <c r="F87" s="1"/>
      <c r="G87" s="1" t="s">
        <v>49</v>
      </c>
      <c r="H87" s="1" t="s">
        <v>50</v>
      </c>
      <c r="I87" s="1">
        <v>40000.0</v>
      </c>
      <c r="J87" s="1"/>
      <c r="K87" s="1" t="s">
        <v>51</v>
      </c>
      <c r="L87" s="1"/>
      <c r="M87" s="1" t="s">
        <v>755</v>
      </c>
      <c r="N87" s="1" t="s">
        <v>186</v>
      </c>
      <c r="O87" s="1" t="s">
        <v>187</v>
      </c>
      <c r="P87" s="2" t="s">
        <v>756</v>
      </c>
      <c r="Q87" s="1" t="s">
        <v>56</v>
      </c>
      <c r="R87" s="1"/>
      <c r="S87" s="1" t="s">
        <v>437</v>
      </c>
      <c r="T87" s="1">
        <v>2305357.0</v>
      </c>
      <c r="U87" s="1" t="s">
        <v>757</v>
      </c>
      <c r="V87" s="1" t="s">
        <v>439</v>
      </c>
      <c r="W87" s="1" t="s">
        <v>60</v>
      </c>
      <c r="X87" s="1"/>
      <c r="Y87" s="1"/>
      <c r="Z87" s="1"/>
      <c r="AA87" s="1" t="s">
        <v>758</v>
      </c>
      <c r="AB87" s="1" t="str">
        <f>"07047251000170"</f>
        <v>07047251000170</v>
      </c>
      <c r="AC87" s="1"/>
      <c r="AD87" s="1" t="s">
        <v>81</v>
      </c>
      <c r="AE87" s="1"/>
      <c r="AF87" s="1">
        <v>-37.413556</v>
      </c>
      <c r="AG87" s="1">
        <v>-4.687639</v>
      </c>
      <c r="AH87" s="1" t="s">
        <v>759</v>
      </c>
      <c r="AI87" s="1"/>
      <c r="AJ87" s="1" t="s">
        <v>442</v>
      </c>
      <c r="AK87" s="1"/>
      <c r="AL87" s="1"/>
      <c r="AM87" s="1" t="s">
        <v>65</v>
      </c>
      <c r="AN87" s="1" t="s">
        <v>159</v>
      </c>
      <c r="AO87" s="1"/>
      <c r="AP87" s="2" t="s">
        <v>760</v>
      </c>
      <c r="AQ87" s="1"/>
      <c r="AR87" s="1" t="s">
        <v>613</v>
      </c>
      <c r="AS87" s="1" t="s">
        <v>761</v>
      </c>
      <c r="AT87" s="2" t="s">
        <v>70</v>
      </c>
    </row>
    <row r="88">
      <c r="A88" s="1"/>
      <c r="B88" s="1" t="s">
        <v>46</v>
      </c>
      <c r="C88" s="1" t="s">
        <v>47</v>
      </c>
      <c r="D88" s="1"/>
      <c r="E88" s="1" t="s">
        <v>762</v>
      </c>
      <c r="F88" s="1"/>
      <c r="G88" s="1" t="s">
        <v>49</v>
      </c>
      <c r="H88" s="1" t="s">
        <v>72</v>
      </c>
      <c r="I88" s="1">
        <v>12600.0</v>
      </c>
      <c r="J88" s="1"/>
      <c r="K88" s="1"/>
      <c r="L88" s="1"/>
      <c r="M88" s="1" t="s">
        <v>763</v>
      </c>
      <c r="N88" s="1" t="s">
        <v>109</v>
      </c>
      <c r="O88" s="1" t="s">
        <v>110</v>
      </c>
      <c r="P88" s="2" t="s">
        <v>764</v>
      </c>
      <c r="Q88" s="1" t="s">
        <v>56</v>
      </c>
      <c r="R88" s="1"/>
      <c r="S88" s="1" t="s">
        <v>765</v>
      </c>
      <c r="T88" s="1">
        <v>2614105.0</v>
      </c>
      <c r="U88" s="1" t="s">
        <v>766</v>
      </c>
      <c r="V88" s="1" t="s">
        <v>507</v>
      </c>
      <c r="W88" s="1" t="s">
        <v>291</v>
      </c>
      <c r="X88" s="1"/>
      <c r="Y88" s="1"/>
      <c r="Z88" s="1" t="s">
        <v>112</v>
      </c>
      <c r="AA88" s="1" t="s">
        <v>767</v>
      </c>
      <c r="AB88" s="1" t="str">
        <f>"***967204**"</f>
        <v>***967204**</v>
      </c>
      <c r="AC88" s="1"/>
      <c r="AD88" s="1" t="s">
        <v>81</v>
      </c>
      <c r="AE88" s="1"/>
      <c r="AF88" s="1">
        <v>-37.273333</v>
      </c>
      <c r="AG88" s="1">
        <v>-8.359444</v>
      </c>
      <c r="AH88" s="1" t="s">
        <v>768</v>
      </c>
      <c r="AI88" s="1"/>
      <c r="AJ88" s="1" t="s">
        <v>510</v>
      </c>
      <c r="AK88" s="1"/>
      <c r="AL88" s="1"/>
      <c r="AM88" s="1" t="s">
        <v>65</v>
      </c>
      <c r="AN88" s="1" t="s">
        <v>769</v>
      </c>
      <c r="AO88" s="1"/>
      <c r="AP88" s="2" t="s">
        <v>770</v>
      </c>
      <c r="AQ88" s="1"/>
      <c r="AR88" s="1" t="s">
        <v>115</v>
      </c>
      <c r="AS88" s="1"/>
      <c r="AT88" s="2" t="s">
        <v>70</v>
      </c>
    </row>
    <row r="89">
      <c r="A89" s="1">
        <v>2043740.0</v>
      </c>
      <c r="B89" s="1" t="s">
        <v>116</v>
      </c>
      <c r="C89" s="1" t="s">
        <v>117</v>
      </c>
      <c r="D89" s="1" t="s">
        <v>46</v>
      </c>
      <c r="E89" s="1" t="s">
        <v>771</v>
      </c>
      <c r="F89" s="1"/>
      <c r="G89" s="1" t="s">
        <v>119</v>
      </c>
      <c r="H89" s="1" t="s">
        <v>72</v>
      </c>
      <c r="I89" s="1">
        <v>15750.0</v>
      </c>
      <c r="J89" s="1"/>
      <c r="K89" s="1"/>
      <c r="L89" s="1" t="s">
        <v>64</v>
      </c>
      <c r="M89" s="1" t="s">
        <v>772</v>
      </c>
      <c r="N89" s="1" t="s">
        <v>109</v>
      </c>
      <c r="O89" s="1" t="s">
        <v>110</v>
      </c>
      <c r="P89" s="2" t="s">
        <v>773</v>
      </c>
      <c r="Q89" s="1" t="s">
        <v>77</v>
      </c>
      <c r="R89" s="2" t="s">
        <v>521</v>
      </c>
      <c r="S89" s="1" t="s">
        <v>57</v>
      </c>
      <c r="T89" s="1">
        <v>3203205.0</v>
      </c>
      <c r="U89" s="1" t="s">
        <v>774</v>
      </c>
      <c r="V89" s="1" t="s">
        <v>59</v>
      </c>
      <c r="W89" s="1" t="s">
        <v>78</v>
      </c>
      <c r="X89" s="1"/>
      <c r="Y89" s="1"/>
      <c r="Z89" s="1" t="s">
        <v>112</v>
      </c>
      <c r="AA89" s="1" t="s">
        <v>775</v>
      </c>
      <c r="AB89" s="1" t="str">
        <f>"***693447**"</f>
        <v>***693447**</v>
      </c>
      <c r="AC89" s="1"/>
      <c r="AD89" s="1"/>
      <c r="AE89" s="1"/>
      <c r="AF89" s="1">
        <v>-40.321944</v>
      </c>
      <c r="AG89" s="1">
        <v>19.584167</v>
      </c>
      <c r="AH89" s="1" t="s">
        <v>776</v>
      </c>
      <c r="AI89" s="1"/>
      <c r="AJ89" s="1" t="s">
        <v>64</v>
      </c>
      <c r="AK89" s="1"/>
      <c r="AL89" s="1" t="s">
        <v>128</v>
      </c>
      <c r="AM89" s="1" t="s">
        <v>65</v>
      </c>
      <c r="AN89" s="1" t="s">
        <v>777</v>
      </c>
      <c r="AO89" s="2" t="s">
        <v>778</v>
      </c>
      <c r="AP89" s="2" t="s">
        <v>779</v>
      </c>
      <c r="AQ89" s="1" t="s">
        <v>132</v>
      </c>
      <c r="AR89" s="1" t="s">
        <v>780</v>
      </c>
      <c r="AS89" s="1"/>
      <c r="AT89" s="2" t="s">
        <v>70</v>
      </c>
    </row>
    <row r="90">
      <c r="A90" s="1">
        <v>2043809.0</v>
      </c>
      <c r="B90" s="1" t="s">
        <v>116</v>
      </c>
      <c r="C90" s="1" t="s">
        <v>117</v>
      </c>
      <c r="D90" s="1" t="s">
        <v>46</v>
      </c>
      <c r="E90" s="1" t="s">
        <v>781</v>
      </c>
      <c r="F90" s="1"/>
      <c r="G90" s="1" t="s">
        <v>119</v>
      </c>
      <c r="H90" s="1" t="s">
        <v>50</v>
      </c>
      <c r="I90" s="1">
        <v>1000.0</v>
      </c>
      <c r="J90" s="1"/>
      <c r="K90" s="1"/>
      <c r="L90" s="1" t="s">
        <v>226</v>
      </c>
      <c r="M90" s="1" t="s">
        <v>782</v>
      </c>
      <c r="N90" s="1" t="s">
        <v>109</v>
      </c>
      <c r="O90" s="1" t="s">
        <v>110</v>
      </c>
      <c r="P90" s="2" t="s">
        <v>783</v>
      </c>
      <c r="Q90" s="1" t="s">
        <v>56</v>
      </c>
      <c r="R90" s="1"/>
      <c r="S90" s="1" t="s">
        <v>784</v>
      </c>
      <c r="T90" s="1">
        <v>4211306.0</v>
      </c>
      <c r="U90" s="1" t="s">
        <v>785</v>
      </c>
      <c r="V90" s="1" t="s">
        <v>222</v>
      </c>
      <c r="W90" s="1" t="s">
        <v>78</v>
      </c>
      <c r="X90" s="1"/>
      <c r="Y90" s="1" t="str">
        <f>"02026000548202120"</f>
        <v>02026000548202120</v>
      </c>
      <c r="Z90" s="1" t="s">
        <v>112</v>
      </c>
      <c r="AA90" s="1" t="s">
        <v>786</v>
      </c>
      <c r="AB90" s="1" t="str">
        <f>"***748479**"</f>
        <v>***748479**</v>
      </c>
      <c r="AC90" s="1"/>
      <c r="AD90" s="1"/>
      <c r="AE90" s="1"/>
      <c r="AF90" s="1">
        <v>-48.782889</v>
      </c>
      <c r="AG90" s="1">
        <v>-26.768722</v>
      </c>
      <c r="AH90" s="1" t="s">
        <v>787</v>
      </c>
      <c r="AI90" s="1"/>
      <c r="AJ90" s="1" t="s">
        <v>226</v>
      </c>
      <c r="AK90" s="1"/>
      <c r="AL90" s="1" t="s">
        <v>128</v>
      </c>
      <c r="AM90" s="1" t="s">
        <v>65</v>
      </c>
      <c r="AN90" s="1" t="s">
        <v>788</v>
      </c>
      <c r="AO90" s="2" t="s">
        <v>468</v>
      </c>
      <c r="AP90" s="2" t="s">
        <v>789</v>
      </c>
      <c r="AQ90" s="1" t="s">
        <v>132</v>
      </c>
      <c r="AR90" s="1" t="s">
        <v>693</v>
      </c>
      <c r="AS90" s="1"/>
      <c r="AT90" s="2" t="s">
        <v>70</v>
      </c>
    </row>
    <row r="91">
      <c r="A91" s="1"/>
      <c r="B91" s="1" t="s">
        <v>46</v>
      </c>
      <c r="C91" s="1" t="s">
        <v>47</v>
      </c>
      <c r="D91" s="1"/>
      <c r="E91" s="1" t="s">
        <v>790</v>
      </c>
      <c r="F91" s="1"/>
      <c r="G91" s="1" t="s">
        <v>49</v>
      </c>
      <c r="H91" s="1" t="s">
        <v>72</v>
      </c>
      <c r="I91" s="1">
        <v>2000.0</v>
      </c>
      <c r="J91" s="1"/>
      <c r="K91" s="1"/>
      <c r="L91" s="1"/>
      <c r="M91" s="1" t="s">
        <v>791</v>
      </c>
      <c r="N91" s="1" t="s">
        <v>257</v>
      </c>
      <c r="O91" s="1" t="s">
        <v>258</v>
      </c>
      <c r="P91" s="2" t="s">
        <v>792</v>
      </c>
      <c r="Q91" s="1" t="s">
        <v>56</v>
      </c>
      <c r="R91" s="2" t="s">
        <v>521</v>
      </c>
      <c r="S91" s="1" t="s">
        <v>475</v>
      </c>
      <c r="T91" s="1">
        <v>3136702.0</v>
      </c>
      <c r="U91" s="1" t="s">
        <v>476</v>
      </c>
      <c r="V91" s="1" t="s">
        <v>477</v>
      </c>
      <c r="W91" s="1" t="s">
        <v>78</v>
      </c>
      <c r="X91" s="1"/>
      <c r="Y91" s="1"/>
      <c r="Z91" s="1" t="s">
        <v>260</v>
      </c>
      <c r="AA91" s="1" t="s">
        <v>793</v>
      </c>
      <c r="AB91" s="1" t="str">
        <f>"***950696**"</f>
        <v>***950696**</v>
      </c>
      <c r="AC91" s="1"/>
      <c r="AD91" s="1" t="s">
        <v>81</v>
      </c>
      <c r="AE91" s="1"/>
      <c r="AF91" s="1">
        <v>-43.381556</v>
      </c>
      <c r="AG91" s="1">
        <v>-21.794556</v>
      </c>
      <c r="AH91" s="1" t="s">
        <v>479</v>
      </c>
      <c r="AI91" s="1"/>
      <c r="AJ91" s="1" t="s">
        <v>480</v>
      </c>
      <c r="AK91" s="1"/>
      <c r="AL91" s="1"/>
      <c r="AM91" s="1" t="s">
        <v>65</v>
      </c>
      <c r="AN91" s="1" t="s">
        <v>83</v>
      </c>
      <c r="AO91" s="1"/>
      <c r="AP91" s="2" t="s">
        <v>794</v>
      </c>
      <c r="AQ91" s="1"/>
      <c r="AR91" s="1" t="s">
        <v>795</v>
      </c>
      <c r="AS91" s="1"/>
      <c r="AT91" s="2" t="s">
        <v>70</v>
      </c>
    </row>
    <row r="92">
      <c r="A92" s="1"/>
      <c r="B92" s="1" t="s">
        <v>46</v>
      </c>
      <c r="C92" s="1" t="s">
        <v>47</v>
      </c>
      <c r="D92" s="1"/>
      <c r="E92" s="1" t="s">
        <v>796</v>
      </c>
      <c r="F92" s="1"/>
      <c r="G92" s="1" t="s">
        <v>49</v>
      </c>
      <c r="H92" s="1" t="s">
        <v>72</v>
      </c>
      <c r="I92" s="1">
        <v>50.0</v>
      </c>
      <c r="J92" s="1"/>
      <c r="K92" s="1"/>
      <c r="L92" s="1"/>
      <c r="M92" s="1" t="s">
        <v>797</v>
      </c>
      <c r="N92" s="1" t="s">
        <v>285</v>
      </c>
      <c r="O92" s="1" t="s">
        <v>286</v>
      </c>
      <c r="P92" s="2" t="s">
        <v>798</v>
      </c>
      <c r="Q92" s="1" t="s">
        <v>56</v>
      </c>
      <c r="R92" s="2" t="s">
        <v>474</v>
      </c>
      <c r="S92" s="1" t="s">
        <v>437</v>
      </c>
      <c r="T92" s="1">
        <v>2301406.0</v>
      </c>
      <c r="U92" s="1" t="s">
        <v>799</v>
      </c>
      <c r="V92" s="1" t="s">
        <v>439</v>
      </c>
      <c r="W92" s="1" t="s">
        <v>291</v>
      </c>
      <c r="X92" s="1"/>
      <c r="Y92" s="1"/>
      <c r="Z92" s="1" t="s">
        <v>292</v>
      </c>
      <c r="AA92" s="1" t="s">
        <v>800</v>
      </c>
      <c r="AB92" s="1" t="str">
        <f>"***730543**"</f>
        <v>***730543**</v>
      </c>
      <c r="AC92" s="1"/>
      <c r="AD92" s="1" t="s">
        <v>62</v>
      </c>
      <c r="AE92" s="1"/>
      <c r="AF92" s="1">
        <v>-39.021667</v>
      </c>
      <c r="AG92" s="1">
        <v>-4.449167</v>
      </c>
      <c r="AH92" s="1" t="s">
        <v>801</v>
      </c>
      <c r="AI92" s="1"/>
      <c r="AJ92" s="1" t="s">
        <v>442</v>
      </c>
      <c r="AK92" s="1"/>
      <c r="AL92" s="1"/>
      <c r="AM92" s="1" t="s">
        <v>65</v>
      </c>
      <c r="AN92" s="1" t="s">
        <v>159</v>
      </c>
      <c r="AO92" s="1"/>
      <c r="AP92" s="2" t="s">
        <v>802</v>
      </c>
      <c r="AQ92" s="1"/>
      <c r="AR92" s="1" t="s">
        <v>803</v>
      </c>
      <c r="AS92" s="1"/>
      <c r="AT92" s="2" t="s">
        <v>70</v>
      </c>
    </row>
    <row r="93">
      <c r="A93" s="1">
        <v>2043835.0</v>
      </c>
      <c r="B93" s="1" t="s">
        <v>116</v>
      </c>
      <c r="C93" s="1" t="s">
        <v>117</v>
      </c>
      <c r="D93" s="1" t="s">
        <v>46</v>
      </c>
      <c r="E93" s="1" t="s">
        <v>804</v>
      </c>
      <c r="F93" s="1"/>
      <c r="G93" s="1" t="s">
        <v>119</v>
      </c>
      <c r="H93" s="1" t="s">
        <v>72</v>
      </c>
      <c r="I93" s="1">
        <v>7655.7</v>
      </c>
      <c r="J93" s="1"/>
      <c r="K93" s="1"/>
      <c r="L93" s="1" t="s">
        <v>120</v>
      </c>
      <c r="M93" s="1" t="s">
        <v>805</v>
      </c>
      <c r="N93" s="1" t="s">
        <v>109</v>
      </c>
      <c r="O93" s="1" t="s">
        <v>110</v>
      </c>
      <c r="P93" s="2" t="s">
        <v>806</v>
      </c>
      <c r="Q93" s="1" t="s">
        <v>77</v>
      </c>
      <c r="R93" s="2" t="s">
        <v>521</v>
      </c>
      <c r="S93" s="1" t="s">
        <v>123</v>
      </c>
      <c r="T93" s="1">
        <v>1100023.0</v>
      </c>
      <c r="U93" s="1" t="s">
        <v>251</v>
      </c>
      <c r="V93" s="1" t="s">
        <v>125</v>
      </c>
      <c r="W93" s="1" t="s">
        <v>100</v>
      </c>
      <c r="X93" s="1"/>
      <c r="Y93" s="1" t="str">
        <f>"02001004132202169"</f>
        <v>02001004132202169</v>
      </c>
      <c r="Z93" s="1" t="s">
        <v>112</v>
      </c>
      <c r="AA93" s="1" t="s">
        <v>807</v>
      </c>
      <c r="AB93" s="1" t="str">
        <f>"***484141**"</f>
        <v>***484141**</v>
      </c>
      <c r="AC93" s="1"/>
      <c r="AD93" s="1"/>
      <c r="AE93" s="1"/>
      <c r="AF93" s="1">
        <v>-63.057222</v>
      </c>
      <c r="AG93" s="1">
        <v>-9.881111</v>
      </c>
      <c r="AH93" s="1" t="s">
        <v>808</v>
      </c>
      <c r="AI93" s="1"/>
      <c r="AJ93" s="1" t="s">
        <v>120</v>
      </c>
      <c r="AK93" s="1"/>
      <c r="AL93" s="1" t="s">
        <v>128</v>
      </c>
      <c r="AM93" s="1" t="s">
        <v>65</v>
      </c>
      <c r="AN93" s="1" t="s">
        <v>129</v>
      </c>
      <c r="AO93" s="2" t="s">
        <v>245</v>
      </c>
      <c r="AP93" s="2" t="s">
        <v>809</v>
      </c>
      <c r="AQ93" s="1" t="s">
        <v>132</v>
      </c>
      <c r="AR93" s="1" t="s">
        <v>133</v>
      </c>
      <c r="AS93" s="1"/>
      <c r="AT93" s="2" t="s">
        <v>70</v>
      </c>
    </row>
    <row r="94">
      <c r="A94" s="1"/>
      <c r="B94" s="1" t="s">
        <v>46</v>
      </c>
      <c r="C94" s="1" t="s">
        <v>47</v>
      </c>
      <c r="D94" s="1"/>
      <c r="E94" s="1" t="s">
        <v>810</v>
      </c>
      <c r="F94" s="1"/>
      <c r="G94" s="1" t="s">
        <v>49</v>
      </c>
      <c r="H94" s="1" t="s">
        <v>72</v>
      </c>
      <c r="I94" s="1">
        <v>20500.0</v>
      </c>
      <c r="J94" s="1"/>
      <c r="K94" s="1"/>
      <c r="L94" s="1"/>
      <c r="M94" s="1" t="s">
        <v>811</v>
      </c>
      <c r="N94" s="1" t="s">
        <v>257</v>
      </c>
      <c r="O94" s="1" t="s">
        <v>258</v>
      </c>
      <c r="P94" s="2" t="s">
        <v>812</v>
      </c>
      <c r="Q94" s="1" t="s">
        <v>77</v>
      </c>
      <c r="R94" s="1"/>
      <c r="S94" s="1" t="s">
        <v>220</v>
      </c>
      <c r="T94" s="1">
        <v>2910727.0</v>
      </c>
      <c r="U94" s="1" t="s">
        <v>813</v>
      </c>
      <c r="V94" s="1" t="s">
        <v>552</v>
      </c>
      <c r="W94" s="1" t="s">
        <v>78</v>
      </c>
      <c r="X94" s="1"/>
      <c r="Y94" s="1"/>
      <c r="Z94" s="1" t="s">
        <v>260</v>
      </c>
      <c r="AA94" s="1" t="s">
        <v>814</v>
      </c>
      <c r="AB94" s="1" t="str">
        <f>"***208305**"</f>
        <v>***208305**</v>
      </c>
      <c r="AC94" s="1"/>
      <c r="AD94" s="1" t="s">
        <v>62</v>
      </c>
      <c r="AE94" s="1"/>
      <c r="AF94" s="1">
        <v>-39.583889</v>
      </c>
      <c r="AG94" s="1">
        <v>-16.394167</v>
      </c>
      <c r="AH94" s="1" t="s">
        <v>815</v>
      </c>
      <c r="AI94" s="1"/>
      <c r="AJ94" s="1" t="s">
        <v>681</v>
      </c>
      <c r="AK94" s="1"/>
      <c r="AL94" s="1"/>
      <c r="AM94" s="1" t="s">
        <v>65</v>
      </c>
      <c r="AN94" s="1" t="s">
        <v>682</v>
      </c>
      <c r="AO94" s="1"/>
      <c r="AP94" s="2" t="s">
        <v>816</v>
      </c>
      <c r="AQ94" s="1"/>
      <c r="AR94" s="1" t="s">
        <v>817</v>
      </c>
      <c r="AS94" s="1" t="s">
        <v>818</v>
      </c>
      <c r="AT94" s="2" t="s">
        <v>70</v>
      </c>
    </row>
    <row r="95">
      <c r="A95" s="1"/>
      <c r="B95" s="1" t="s">
        <v>46</v>
      </c>
      <c r="C95" s="1" t="s">
        <v>47</v>
      </c>
      <c r="D95" s="1"/>
      <c r="E95" s="1" t="s">
        <v>819</v>
      </c>
      <c r="F95" s="1"/>
      <c r="G95" s="1" t="s">
        <v>49</v>
      </c>
      <c r="H95" s="1" t="s">
        <v>72</v>
      </c>
      <c r="I95" s="1">
        <v>2000.0</v>
      </c>
      <c r="J95" s="1"/>
      <c r="K95" s="1"/>
      <c r="L95" s="1"/>
      <c r="M95" s="1" t="s">
        <v>820</v>
      </c>
      <c r="N95" s="1" t="s">
        <v>257</v>
      </c>
      <c r="O95" s="1" t="s">
        <v>258</v>
      </c>
      <c r="P95" s="2" t="s">
        <v>821</v>
      </c>
      <c r="Q95" s="1" t="s">
        <v>77</v>
      </c>
      <c r="R95" s="1"/>
      <c r="S95" s="1" t="s">
        <v>220</v>
      </c>
      <c r="T95" s="1">
        <v>3529708.0</v>
      </c>
      <c r="U95" s="1" t="s">
        <v>822</v>
      </c>
      <c r="V95" s="1" t="s">
        <v>139</v>
      </c>
      <c r="W95" s="1" t="s">
        <v>172</v>
      </c>
      <c r="X95" s="1"/>
      <c r="Y95" s="1"/>
      <c r="Z95" s="1" t="s">
        <v>260</v>
      </c>
      <c r="AA95" s="1" t="s">
        <v>823</v>
      </c>
      <c r="AB95" s="1" t="str">
        <f>"***867718**"</f>
        <v>***867718**</v>
      </c>
      <c r="AC95" s="1"/>
      <c r="AD95" s="1" t="s">
        <v>81</v>
      </c>
      <c r="AE95" s="1"/>
      <c r="AF95" s="1">
        <v>-48.0225</v>
      </c>
      <c r="AG95" s="1">
        <v>-20.1875</v>
      </c>
      <c r="AH95" s="1" t="s">
        <v>824</v>
      </c>
      <c r="AI95" s="1"/>
      <c r="AJ95" s="1" t="s">
        <v>142</v>
      </c>
      <c r="AK95" s="1"/>
      <c r="AL95" s="1"/>
      <c r="AM95" s="1" t="s">
        <v>65</v>
      </c>
      <c r="AN95" s="1" t="s">
        <v>825</v>
      </c>
      <c r="AO95" s="1"/>
      <c r="AP95" s="2" t="s">
        <v>826</v>
      </c>
      <c r="AQ95" s="1"/>
      <c r="AR95" s="1" t="s">
        <v>546</v>
      </c>
      <c r="AS95" s="1"/>
      <c r="AT95" s="2" t="s">
        <v>70</v>
      </c>
    </row>
    <row r="96">
      <c r="A96" s="1">
        <v>2043760.0</v>
      </c>
      <c r="B96" s="1" t="s">
        <v>116</v>
      </c>
      <c r="C96" s="1" t="s">
        <v>117</v>
      </c>
      <c r="D96" s="1" t="s">
        <v>46</v>
      </c>
      <c r="E96" s="1" t="s">
        <v>827</v>
      </c>
      <c r="F96" s="1"/>
      <c r="G96" s="1" t="s">
        <v>119</v>
      </c>
      <c r="H96" s="1" t="s">
        <v>72</v>
      </c>
      <c r="I96" s="1">
        <v>500.0</v>
      </c>
      <c r="J96" s="1"/>
      <c r="K96" s="1"/>
      <c r="L96" s="1" t="s">
        <v>273</v>
      </c>
      <c r="M96" s="1" t="s">
        <v>828</v>
      </c>
      <c r="N96" s="1" t="s">
        <v>257</v>
      </c>
      <c r="O96" s="1" t="s">
        <v>258</v>
      </c>
      <c r="P96" s="2" t="s">
        <v>829</v>
      </c>
      <c r="Q96" s="1" t="s">
        <v>56</v>
      </c>
      <c r="R96" s="1"/>
      <c r="S96" s="1" t="s">
        <v>268</v>
      </c>
      <c r="T96" s="1">
        <v>4113700.0</v>
      </c>
      <c r="U96" s="1" t="s">
        <v>830</v>
      </c>
      <c r="V96" s="1" t="s">
        <v>270</v>
      </c>
      <c r="W96" s="1" t="s">
        <v>78</v>
      </c>
      <c r="X96" s="1"/>
      <c r="Y96" s="1" t="str">
        <f>"02017000351202108"</f>
        <v>02017000351202108</v>
      </c>
      <c r="Z96" s="1" t="s">
        <v>260</v>
      </c>
      <c r="AA96" s="1" t="s">
        <v>831</v>
      </c>
      <c r="AB96" s="1" t="str">
        <f>"***635099**"</f>
        <v>***635099**</v>
      </c>
      <c r="AC96" s="1"/>
      <c r="AD96" s="1"/>
      <c r="AE96" s="1"/>
      <c r="AF96" s="1">
        <v>-51.2125</v>
      </c>
      <c r="AG96" s="1">
        <v>-23.318056</v>
      </c>
      <c r="AH96" s="1" t="s">
        <v>832</v>
      </c>
      <c r="AI96" s="1"/>
      <c r="AJ96" s="1" t="s">
        <v>273</v>
      </c>
      <c r="AK96" s="1"/>
      <c r="AL96" s="1" t="s">
        <v>128</v>
      </c>
      <c r="AM96" s="1" t="s">
        <v>65</v>
      </c>
      <c r="AN96" s="1" t="s">
        <v>274</v>
      </c>
      <c r="AO96" s="2" t="s">
        <v>691</v>
      </c>
      <c r="AP96" s="2" t="s">
        <v>833</v>
      </c>
      <c r="AQ96" s="1" t="s">
        <v>132</v>
      </c>
      <c r="AR96" s="1" t="s">
        <v>834</v>
      </c>
      <c r="AS96" s="1"/>
      <c r="AT96" s="2" t="s">
        <v>70</v>
      </c>
    </row>
    <row r="97">
      <c r="A97" s="1"/>
      <c r="B97" s="1" t="s">
        <v>46</v>
      </c>
      <c r="C97" s="1" t="s">
        <v>47</v>
      </c>
      <c r="D97" s="1"/>
      <c r="E97" s="1" t="s">
        <v>835</v>
      </c>
      <c r="F97" s="1"/>
      <c r="G97" s="1" t="s">
        <v>49</v>
      </c>
      <c r="H97" s="1" t="s">
        <v>50</v>
      </c>
      <c r="I97" s="1">
        <v>5000.0</v>
      </c>
      <c r="J97" s="1"/>
      <c r="K97" s="1" t="s">
        <v>51</v>
      </c>
      <c r="L97" s="1"/>
      <c r="M97" s="1" t="s">
        <v>836</v>
      </c>
      <c r="N97" s="1" t="s">
        <v>285</v>
      </c>
      <c r="O97" s="1" t="s">
        <v>286</v>
      </c>
      <c r="P97" s="2" t="s">
        <v>837</v>
      </c>
      <c r="Q97" s="1" t="s">
        <v>77</v>
      </c>
      <c r="R97" s="1"/>
      <c r="S97" s="1" t="s">
        <v>220</v>
      </c>
      <c r="T97" s="1">
        <v>2302602.0</v>
      </c>
      <c r="U97" s="1" t="s">
        <v>838</v>
      </c>
      <c r="V97" s="1" t="s">
        <v>439</v>
      </c>
      <c r="W97" s="1" t="s">
        <v>60</v>
      </c>
      <c r="X97" s="1"/>
      <c r="Y97" s="1"/>
      <c r="Z97" s="1" t="s">
        <v>292</v>
      </c>
      <c r="AA97" s="1" t="s">
        <v>839</v>
      </c>
      <c r="AB97" s="1" t="str">
        <f>"07020233000952"</f>
        <v>07020233000952</v>
      </c>
      <c r="AC97" s="1"/>
      <c r="AD97" s="1" t="s">
        <v>81</v>
      </c>
      <c r="AE97" s="1"/>
      <c r="AF97" s="1">
        <v>-40.085278</v>
      </c>
      <c r="AG97" s="1">
        <v>-3.116111</v>
      </c>
      <c r="AH97" s="1" t="s">
        <v>840</v>
      </c>
      <c r="AI97" s="1"/>
      <c r="AJ97" s="1" t="s">
        <v>442</v>
      </c>
      <c r="AK97" s="1"/>
      <c r="AL97" s="1"/>
      <c r="AM97" s="1" t="s">
        <v>65</v>
      </c>
      <c r="AN97" s="1" t="s">
        <v>159</v>
      </c>
      <c r="AO97" s="1"/>
      <c r="AP97" s="2" t="s">
        <v>841</v>
      </c>
      <c r="AQ97" s="1"/>
      <c r="AR97" s="1" t="s">
        <v>298</v>
      </c>
      <c r="AS97" s="1"/>
      <c r="AT97" s="2" t="s">
        <v>70</v>
      </c>
    </row>
    <row r="98">
      <c r="A98" s="1"/>
      <c r="B98" s="1" t="s">
        <v>46</v>
      </c>
      <c r="C98" s="1" t="s">
        <v>47</v>
      </c>
      <c r="D98" s="1"/>
      <c r="E98" s="1" t="s">
        <v>842</v>
      </c>
      <c r="F98" s="1"/>
      <c r="G98" s="1" t="s">
        <v>49</v>
      </c>
      <c r="H98" s="1" t="s">
        <v>72</v>
      </c>
      <c r="I98" s="1">
        <v>33000.0</v>
      </c>
      <c r="J98" s="1"/>
      <c r="K98" s="1"/>
      <c r="L98" s="1"/>
      <c r="M98" s="1" t="s">
        <v>843</v>
      </c>
      <c r="N98" s="1" t="s">
        <v>109</v>
      </c>
      <c r="O98" s="1" t="s">
        <v>110</v>
      </c>
      <c r="P98" s="2" t="s">
        <v>844</v>
      </c>
      <c r="Q98" s="1" t="s">
        <v>77</v>
      </c>
      <c r="R98" s="1"/>
      <c r="S98" s="1" t="s">
        <v>608</v>
      </c>
      <c r="T98" s="1">
        <v>4321477.0</v>
      </c>
      <c r="U98" s="1" t="s">
        <v>609</v>
      </c>
      <c r="V98" s="1" t="s">
        <v>402</v>
      </c>
      <c r="W98" s="1" t="s">
        <v>78</v>
      </c>
      <c r="X98" s="1"/>
      <c r="Y98" s="1"/>
      <c r="Z98" s="1" t="s">
        <v>112</v>
      </c>
      <c r="AA98" s="1" t="s">
        <v>845</v>
      </c>
      <c r="AB98" s="1" t="str">
        <f>"***576330**"</f>
        <v>***576330**</v>
      </c>
      <c r="AC98" s="1"/>
      <c r="AD98" s="1" t="s">
        <v>81</v>
      </c>
      <c r="AE98" s="1"/>
      <c r="AF98" s="1">
        <v>-54.209889</v>
      </c>
      <c r="AG98" s="1">
        <v>-27.359056</v>
      </c>
      <c r="AH98" s="1" t="s">
        <v>846</v>
      </c>
      <c r="AI98" s="1"/>
      <c r="AJ98" s="1" t="s">
        <v>405</v>
      </c>
      <c r="AK98" s="1"/>
      <c r="AL98" s="1"/>
      <c r="AM98" s="1" t="s">
        <v>65</v>
      </c>
      <c r="AN98" s="1" t="s">
        <v>274</v>
      </c>
      <c r="AO98" s="1"/>
      <c r="AP98" s="2" t="s">
        <v>847</v>
      </c>
      <c r="AQ98" s="1"/>
      <c r="AR98" s="1" t="s">
        <v>177</v>
      </c>
      <c r="AS98" s="1"/>
      <c r="AT98" s="2" t="s">
        <v>70</v>
      </c>
    </row>
    <row r="99">
      <c r="A99" s="1">
        <v>2043725.0</v>
      </c>
      <c r="B99" s="1" t="s">
        <v>116</v>
      </c>
      <c r="C99" s="1" t="s">
        <v>117</v>
      </c>
      <c r="D99" s="1" t="s">
        <v>46</v>
      </c>
      <c r="E99" s="1" t="s">
        <v>848</v>
      </c>
      <c r="F99" s="1"/>
      <c r="G99" s="1" t="s">
        <v>119</v>
      </c>
      <c r="H99" s="1" t="s">
        <v>50</v>
      </c>
      <c r="I99" s="1">
        <v>4000.0</v>
      </c>
      <c r="J99" s="1"/>
      <c r="K99" s="1"/>
      <c r="L99" s="1" t="s">
        <v>485</v>
      </c>
      <c r="M99" s="1" t="s">
        <v>849</v>
      </c>
      <c r="N99" s="1" t="s">
        <v>285</v>
      </c>
      <c r="O99" s="1" t="s">
        <v>286</v>
      </c>
      <c r="P99" s="2" t="s">
        <v>850</v>
      </c>
      <c r="Q99" s="1" t="s">
        <v>56</v>
      </c>
      <c r="R99" s="1"/>
      <c r="S99" s="1" t="s">
        <v>488</v>
      </c>
      <c r="T99" s="1">
        <v>1702109.0</v>
      </c>
      <c r="U99" s="1" t="s">
        <v>851</v>
      </c>
      <c r="V99" s="1" t="s">
        <v>490</v>
      </c>
      <c r="W99" s="1" t="s">
        <v>100</v>
      </c>
      <c r="X99" s="1"/>
      <c r="Y99" s="1" t="str">
        <f>"02029000185202101"</f>
        <v>02029000185202101</v>
      </c>
      <c r="Z99" s="1" t="s">
        <v>292</v>
      </c>
      <c r="AA99" s="1" t="s">
        <v>852</v>
      </c>
      <c r="AB99" s="1" t="str">
        <f>"29155970000148"</f>
        <v>29155970000148</v>
      </c>
      <c r="AC99" s="1"/>
      <c r="AD99" s="1"/>
      <c r="AE99" s="1"/>
      <c r="AF99" s="1">
        <v>-48.217222</v>
      </c>
      <c r="AG99" s="1">
        <v>-7.1725</v>
      </c>
      <c r="AH99" s="1" t="s">
        <v>853</v>
      </c>
      <c r="AI99" s="1"/>
      <c r="AJ99" s="1" t="s">
        <v>485</v>
      </c>
      <c r="AK99" s="1"/>
      <c r="AL99" s="1" t="s">
        <v>128</v>
      </c>
      <c r="AM99" s="1" t="s">
        <v>65</v>
      </c>
      <c r="AN99" s="1" t="s">
        <v>296</v>
      </c>
      <c r="AO99" s="2" t="s">
        <v>778</v>
      </c>
      <c r="AP99" s="2" t="s">
        <v>854</v>
      </c>
      <c r="AQ99" s="1" t="s">
        <v>132</v>
      </c>
      <c r="AR99" s="1" t="s">
        <v>693</v>
      </c>
      <c r="AS99" s="1"/>
      <c r="AT99" s="2" t="s">
        <v>70</v>
      </c>
    </row>
    <row r="100">
      <c r="A100" s="1"/>
      <c r="B100" s="1" t="s">
        <v>46</v>
      </c>
      <c r="C100" s="1" t="s">
        <v>47</v>
      </c>
      <c r="D100" s="1"/>
      <c r="E100" s="1" t="s">
        <v>855</v>
      </c>
      <c r="F100" s="1"/>
      <c r="G100" s="1" t="s">
        <v>49</v>
      </c>
      <c r="H100" s="1" t="s">
        <v>72</v>
      </c>
      <c r="I100" s="1">
        <v>8241.0</v>
      </c>
      <c r="J100" s="1"/>
      <c r="K100" s="1"/>
      <c r="L100" s="1"/>
      <c r="M100" s="1" t="s">
        <v>856</v>
      </c>
      <c r="N100" s="1" t="s">
        <v>109</v>
      </c>
      <c r="O100" s="1" t="s">
        <v>110</v>
      </c>
      <c r="P100" s="2" t="s">
        <v>857</v>
      </c>
      <c r="Q100" s="1" t="s">
        <v>77</v>
      </c>
      <c r="R100" s="1"/>
      <c r="S100" s="1" t="s">
        <v>148</v>
      </c>
      <c r="T100" s="1">
        <v>1100809.0</v>
      </c>
      <c r="U100" s="1" t="s">
        <v>124</v>
      </c>
      <c r="V100" s="1" t="s">
        <v>125</v>
      </c>
      <c r="W100" s="1" t="s">
        <v>100</v>
      </c>
      <c r="X100" s="1"/>
      <c r="Y100" s="1"/>
      <c r="Z100" s="1" t="s">
        <v>112</v>
      </c>
      <c r="AA100" s="1" t="s">
        <v>858</v>
      </c>
      <c r="AB100" s="1" t="str">
        <f>"05296237000185"</f>
        <v>05296237000185</v>
      </c>
      <c r="AC100" s="1"/>
      <c r="AD100" s="1" t="s">
        <v>325</v>
      </c>
      <c r="AE100" s="1"/>
      <c r="AF100" s="1">
        <v>-63.406111</v>
      </c>
      <c r="AG100" s="1">
        <v>-8.662222</v>
      </c>
      <c r="AH100" s="1" t="s">
        <v>859</v>
      </c>
      <c r="AI100" s="1"/>
      <c r="AJ100" s="1" t="s">
        <v>120</v>
      </c>
      <c r="AK100" s="1"/>
      <c r="AL100" s="1"/>
      <c r="AM100" s="1" t="s">
        <v>65</v>
      </c>
      <c r="AN100" s="1" t="s">
        <v>129</v>
      </c>
      <c r="AO100" s="1"/>
      <c r="AP100" s="2" t="s">
        <v>860</v>
      </c>
      <c r="AQ100" s="1"/>
      <c r="AR100" s="1" t="s">
        <v>177</v>
      </c>
      <c r="AS100" s="1"/>
      <c r="AT100" s="2" t="s">
        <v>70</v>
      </c>
    </row>
    <row r="101">
      <c r="A101" s="1"/>
      <c r="B101" s="1" t="s">
        <v>46</v>
      </c>
      <c r="C101" s="1" t="s">
        <v>47</v>
      </c>
      <c r="D101" s="1"/>
      <c r="E101" s="1" t="s">
        <v>861</v>
      </c>
      <c r="F101" s="1"/>
      <c r="G101" s="1" t="s">
        <v>49</v>
      </c>
      <c r="H101" s="1" t="s">
        <v>50</v>
      </c>
      <c r="I101" s="1">
        <v>2000.0</v>
      </c>
      <c r="J101" s="1"/>
      <c r="K101" s="1" t="s">
        <v>51</v>
      </c>
      <c r="L101" s="1"/>
      <c r="M101" s="1" t="s">
        <v>862</v>
      </c>
      <c r="N101" s="1" t="s">
        <v>53</v>
      </c>
      <c r="O101" s="1" t="s">
        <v>54</v>
      </c>
      <c r="P101" s="2" t="s">
        <v>863</v>
      </c>
      <c r="Q101" s="1" t="s">
        <v>77</v>
      </c>
      <c r="R101" s="1"/>
      <c r="S101" s="1" t="s">
        <v>412</v>
      </c>
      <c r="T101" s="1">
        <v>2708600.0</v>
      </c>
      <c r="U101" s="1" t="s">
        <v>864</v>
      </c>
      <c r="V101" s="1" t="s">
        <v>414</v>
      </c>
      <c r="W101" s="1" t="s">
        <v>78</v>
      </c>
      <c r="X101" s="1"/>
      <c r="Y101" s="1"/>
      <c r="Z101" s="1"/>
      <c r="AA101" s="1" t="s">
        <v>865</v>
      </c>
      <c r="AB101" s="1" t="str">
        <f t="shared" ref="AB101:AB102" si="10">"36178292000102"</f>
        <v>36178292000102</v>
      </c>
      <c r="AC101" s="1"/>
      <c r="AD101" s="1" t="s">
        <v>81</v>
      </c>
      <c r="AE101" s="1"/>
      <c r="AF101" s="1">
        <v>-36.114444</v>
      </c>
      <c r="AG101" s="1">
        <v>-9.8075</v>
      </c>
      <c r="AH101" s="1" t="s">
        <v>866</v>
      </c>
      <c r="AI101" s="1"/>
      <c r="AJ101" s="1" t="s">
        <v>417</v>
      </c>
      <c r="AK101" s="1"/>
      <c r="AL101" s="1"/>
      <c r="AM101" s="1" t="s">
        <v>65</v>
      </c>
      <c r="AN101" s="1" t="s">
        <v>274</v>
      </c>
      <c r="AO101" s="1"/>
      <c r="AP101" s="2" t="s">
        <v>867</v>
      </c>
      <c r="AQ101" s="1"/>
      <c r="AR101" s="1" t="s">
        <v>387</v>
      </c>
      <c r="AS101" s="1"/>
      <c r="AT101" s="2" t="s">
        <v>70</v>
      </c>
    </row>
    <row r="102">
      <c r="A102" s="1"/>
      <c r="B102" s="1" t="s">
        <v>46</v>
      </c>
      <c r="C102" s="1" t="s">
        <v>47</v>
      </c>
      <c r="D102" s="1"/>
      <c r="E102" s="1" t="s">
        <v>868</v>
      </c>
      <c r="F102" s="1"/>
      <c r="G102" s="1" t="s">
        <v>49</v>
      </c>
      <c r="H102" s="1" t="s">
        <v>50</v>
      </c>
      <c r="I102" s="1">
        <v>2000.0</v>
      </c>
      <c r="J102" s="1"/>
      <c r="K102" s="1" t="s">
        <v>92</v>
      </c>
      <c r="L102" s="1"/>
      <c r="M102" s="1" t="s">
        <v>869</v>
      </c>
      <c r="N102" s="1" t="s">
        <v>301</v>
      </c>
      <c r="O102" s="1" t="s">
        <v>302</v>
      </c>
      <c r="P102" s="2" t="s">
        <v>870</v>
      </c>
      <c r="Q102" s="1" t="s">
        <v>77</v>
      </c>
      <c r="R102" s="1"/>
      <c r="S102" s="1" t="s">
        <v>412</v>
      </c>
      <c r="T102" s="1">
        <v>2708600.0</v>
      </c>
      <c r="U102" s="1" t="s">
        <v>864</v>
      </c>
      <c r="V102" s="1" t="s">
        <v>414</v>
      </c>
      <c r="W102" s="1" t="s">
        <v>78</v>
      </c>
      <c r="X102" s="1"/>
      <c r="Y102" s="1"/>
      <c r="Z102" s="1" t="s">
        <v>306</v>
      </c>
      <c r="AA102" s="1" t="s">
        <v>865</v>
      </c>
      <c r="AB102" s="1" t="str">
        <f t="shared" si="10"/>
        <v>36178292000102</v>
      </c>
      <c r="AC102" s="1"/>
      <c r="AD102" s="1" t="s">
        <v>81</v>
      </c>
      <c r="AE102" s="1"/>
      <c r="AF102" s="1">
        <v>-36.115556</v>
      </c>
      <c r="AG102" s="1">
        <v>-9.806944</v>
      </c>
      <c r="AH102" s="1" t="s">
        <v>871</v>
      </c>
      <c r="AI102" s="1"/>
      <c r="AJ102" s="1" t="s">
        <v>417</v>
      </c>
      <c r="AK102" s="1"/>
      <c r="AL102" s="1"/>
      <c r="AM102" s="1" t="s">
        <v>65</v>
      </c>
      <c r="AN102" s="1" t="s">
        <v>274</v>
      </c>
      <c r="AO102" s="1"/>
      <c r="AP102" s="2" t="s">
        <v>872</v>
      </c>
      <c r="AQ102" s="1"/>
      <c r="AR102" s="1" t="s">
        <v>873</v>
      </c>
      <c r="AS102" s="1"/>
      <c r="AT102" s="2" t="s">
        <v>70</v>
      </c>
    </row>
    <row r="103">
      <c r="A103" s="1"/>
      <c r="B103" s="1" t="s">
        <v>46</v>
      </c>
      <c r="C103" s="1" t="s">
        <v>47</v>
      </c>
      <c r="D103" s="1"/>
      <c r="E103" s="1" t="s">
        <v>874</v>
      </c>
      <c r="F103" s="1"/>
      <c r="G103" s="1" t="s">
        <v>49</v>
      </c>
      <c r="H103" s="1" t="s">
        <v>72</v>
      </c>
      <c r="I103" s="1">
        <v>22758.6</v>
      </c>
      <c r="J103" s="1"/>
      <c r="K103" s="1"/>
      <c r="L103" s="1"/>
      <c r="M103" s="1" t="s">
        <v>875</v>
      </c>
      <c r="N103" s="1" t="s">
        <v>109</v>
      </c>
      <c r="O103" s="1" t="s">
        <v>110</v>
      </c>
      <c r="P103" s="2" t="s">
        <v>876</v>
      </c>
      <c r="Q103" s="1" t="s">
        <v>77</v>
      </c>
      <c r="R103" s="1"/>
      <c r="S103" s="1" t="s">
        <v>123</v>
      </c>
      <c r="T103" s="1">
        <v>1100809.0</v>
      </c>
      <c r="U103" s="1" t="s">
        <v>124</v>
      </c>
      <c r="V103" s="1" t="s">
        <v>125</v>
      </c>
      <c r="W103" s="1" t="s">
        <v>100</v>
      </c>
      <c r="X103" s="1"/>
      <c r="Y103" s="1"/>
      <c r="Z103" s="1" t="s">
        <v>112</v>
      </c>
      <c r="AA103" s="1" t="s">
        <v>877</v>
      </c>
      <c r="AB103" s="1" t="str">
        <f>"04174043000144"</f>
        <v>04174043000144</v>
      </c>
      <c r="AC103" s="1"/>
      <c r="AD103" s="1" t="s">
        <v>62</v>
      </c>
      <c r="AE103" s="1"/>
      <c r="AF103" s="1">
        <v>-63.404167</v>
      </c>
      <c r="AG103" s="1">
        <v>-8.661667</v>
      </c>
      <c r="AH103" s="1" t="s">
        <v>878</v>
      </c>
      <c r="AI103" s="1"/>
      <c r="AJ103" s="1" t="s">
        <v>120</v>
      </c>
      <c r="AK103" s="1"/>
      <c r="AL103" s="1"/>
      <c r="AM103" s="1" t="s">
        <v>65</v>
      </c>
      <c r="AN103" s="1" t="s">
        <v>129</v>
      </c>
      <c r="AO103" s="1"/>
      <c r="AP103" s="2" t="s">
        <v>879</v>
      </c>
      <c r="AQ103" s="1"/>
      <c r="AR103" s="1" t="s">
        <v>880</v>
      </c>
      <c r="AS103" s="1" t="s">
        <v>881</v>
      </c>
      <c r="AT103" s="2" t="s">
        <v>70</v>
      </c>
    </row>
    <row r="104">
      <c r="A104" s="1">
        <v>2043751.0</v>
      </c>
      <c r="B104" s="1" t="s">
        <v>116</v>
      </c>
      <c r="C104" s="1" t="s">
        <v>117</v>
      </c>
      <c r="D104" s="1" t="s">
        <v>46</v>
      </c>
      <c r="E104" s="1" t="s">
        <v>882</v>
      </c>
      <c r="F104" s="1"/>
      <c r="G104" s="1" t="s">
        <v>119</v>
      </c>
      <c r="H104" s="1" t="s">
        <v>50</v>
      </c>
      <c r="I104" s="1">
        <v>1100.0</v>
      </c>
      <c r="J104" s="1"/>
      <c r="K104" s="1"/>
      <c r="L104" s="1" t="s">
        <v>485</v>
      </c>
      <c r="M104" s="1" t="s">
        <v>883</v>
      </c>
      <c r="N104" s="1" t="s">
        <v>285</v>
      </c>
      <c r="O104" s="1" t="s">
        <v>286</v>
      </c>
      <c r="P104" s="2" t="s">
        <v>884</v>
      </c>
      <c r="Q104" s="1" t="s">
        <v>56</v>
      </c>
      <c r="R104" s="2" t="s">
        <v>885</v>
      </c>
      <c r="S104" s="1" t="s">
        <v>488</v>
      </c>
      <c r="T104" s="1">
        <v>1721000.0</v>
      </c>
      <c r="U104" s="1" t="s">
        <v>886</v>
      </c>
      <c r="V104" s="1" t="s">
        <v>490</v>
      </c>
      <c r="W104" s="1" t="s">
        <v>172</v>
      </c>
      <c r="X104" s="1"/>
      <c r="Y104" s="1" t="str">
        <f>"02029000192202102"</f>
        <v>02029000192202102</v>
      </c>
      <c r="Z104" s="1" t="s">
        <v>292</v>
      </c>
      <c r="AA104" s="1" t="s">
        <v>887</v>
      </c>
      <c r="AB104" s="1" t="str">
        <f>"09235446000170"</f>
        <v>09235446000170</v>
      </c>
      <c r="AC104" s="1"/>
      <c r="AD104" s="1"/>
      <c r="AE104" s="1"/>
      <c r="AF104" s="1">
        <v>-49.076111</v>
      </c>
      <c r="AG104" s="1">
        <v>-11.727222</v>
      </c>
      <c r="AH104" s="1" t="s">
        <v>888</v>
      </c>
      <c r="AI104" s="1"/>
      <c r="AJ104" s="1" t="s">
        <v>485</v>
      </c>
      <c r="AK104" s="1"/>
      <c r="AL104" s="1" t="s">
        <v>128</v>
      </c>
      <c r="AM104" s="1" t="s">
        <v>65</v>
      </c>
      <c r="AN104" s="1" t="s">
        <v>296</v>
      </c>
      <c r="AO104" s="2" t="s">
        <v>691</v>
      </c>
      <c r="AP104" s="2" t="s">
        <v>889</v>
      </c>
      <c r="AQ104" s="1" t="s">
        <v>132</v>
      </c>
      <c r="AR104" s="1" t="s">
        <v>531</v>
      </c>
      <c r="AS104" s="1"/>
      <c r="AT104" s="2" t="s">
        <v>70</v>
      </c>
    </row>
    <row r="105">
      <c r="A105" s="1"/>
      <c r="B105" s="1" t="s">
        <v>46</v>
      </c>
      <c r="C105" s="1" t="s">
        <v>47</v>
      </c>
      <c r="D105" s="1"/>
      <c r="E105" s="1" t="s">
        <v>890</v>
      </c>
      <c r="F105" s="1"/>
      <c r="G105" s="1" t="s">
        <v>49</v>
      </c>
      <c r="H105" s="1" t="s">
        <v>72</v>
      </c>
      <c r="I105" s="1">
        <v>15757.8</v>
      </c>
      <c r="J105" s="1"/>
      <c r="K105" s="1"/>
      <c r="L105" s="1"/>
      <c r="M105" s="1" t="s">
        <v>891</v>
      </c>
      <c r="N105" s="1" t="s">
        <v>109</v>
      </c>
      <c r="O105" s="1" t="s">
        <v>110</v>
      </c>
      <c r="P105" s="2" t="s">
        <v>892</v>
      </c>
      <c r="Q105" s="1" t="s">
        <v>56</v>
      </c>
      <c r="R105" s="1"/>
      <c r="S105" s="1" t="s">
        <v>220</v>
      </c>
      <c r="T105" s="1">
        <v>3548500.0</v>
      </c>
      <c r="U105" s="1" t="s">
        <v>360</v>
      </c>
      <c r="V105" s="1" t="s">
        <v>139</v>
      </c>
      <c r="W105" s="1" t="s">
        <v>78</v>
      </c>
      <c r="X105" s="1"/>
      <c r="Y105" s="1"/>
      <c r="Z105" s="1" t="s">
        <v>112</v>
      </c>
      <c r="AA105" s="1" t="s">
        <v>893</v>
      </c>
      <c r="AB105" s="1" t="str">
        <f>"20334805000189"</f>
        <v>20334805000189</v>
      </c>
      <c r="AC105" s="1"/>
      <c r="AD105" s="1" t="s">
        <v>81</v>
      </c>
      <c r="AE105" s="1"/>
      <c r="AF105" s="1">
        <v>-46.305</v>
      </c>
      <c r="AG105" s="1">
        <v>-23.980278</v>
      </c>
      <c r="AH105" s="1" t="s">
        <v>894</v>
      </c>
      <c r="AI105" s="1"/>
      <c r="AJ105" s="1" t="s">
        <v>142</v>
      </c>
      <c r="AK105" s="1"/>
      <c r="AL105" s="1"/>
      <c r="AM105" s="1" t="s">
        <v>65</v>
      </c>
      <c r="AN105" s="1" t="s">
        <v>274</v>
      </c>
      <c r="AO105" s="1"/>
      <c r="AP105" s="2" t="s">
        <v>895</v>
      </c>
      <c r="AQ105" s="1"/>
      <c r="AR105" s="1" t="s">
        <v>115</v>
      </c>
      <c r="AS105" s="1" t="s">
        <v>896</v>
      </c>
      <c r="AT105" s="2" t="s">
        <v>70</v>
      </c>
    </row>
    <row r="106">
      <c r="A106" s="1"/>
      <c r="B106" s="1" t="s">
        <v>46</v>
      </c>
      <c r="C106" s="1" t="s">
        <v>47</v>
      </c>
      <c r="D106" s="1"/>
      <c r="E106" s="1" t="s">
        <v>897</v>
      </c>
      <c r="F106" s="1"/>
      <c r="G106" s="1" t="s">
        <v>49</v>
      </c>
      <c r="H106" s="1" t="s">
        <v>50</v>
      </c>
      <c r="I106" s="1">
        <v>1510.0</v>
      </c>
      <c r="J106" s="1"/>
      <c r="K106" s="1" t="s">
        <v>51</v>
      </c>
      <c r="L106" s="1"/>
      <c r="M106" s="1" t="s">
        <v>898</v>
      </c>
      <c r="N106" s="1" t="s">
        <v>381</v>
      </c>
      <c r="O106" s="1" t="s">
        <v>382</v>
      </c>
      <c r="P106" s="2" t="s">
        <v>899</v>
      </c>
      <c r="Q106" s="1" t="s">
        <v>77</v>
      </c>
      <c r="R106" s="1"/>
      <c r="S106" s="1" t="s">
        <v>412</v>
      </c>
      <c r="T106" s="1">
        <v>2708600.0</v>
      </c>
      <c r="U106" s="1" t="s">
        <v>864</v>
      </c>
      <c r="V106" s="1" t="s">
        <v>414</v>
      </c>
      <c r="W106" s="1" t="s">
        <v>78</v>
      </c>
      <c r="X106" s="1"/>
      <c r="Y106" s="1"/>
      <c r="Z106" s="1" t="s">
        <v>384</v>
      </c>
      <c r="AA106" s="1" t="s">
        <v>900</v>
      </c>
      <c r="AB106" s="1" t="str">
        <f>"***455084**"</f>
        <v>***455084**</v>
      </c>
      <c r="AC106" s="1"/>
      <c r="AD106" s="1" t="s">
        <v>81</v>
      </c>
      <c r="AE106" s="1"/>
      <c r="AF106" s="1">
        <v>-36.114444</v>
      </c>
      <c r="AG106" s="1">
        <v>-9.8075</v>
      </c>
      <c r="AH106" s="1" t="s">
        <v>866</v>
      </c>
      <c r="AI106" s="1"/>
      <c r="AJ106" s="1" t="s">
        <v>417</v>
      </c>
      <c r="AK106" s="1"/>
      <c r="AL106" s="1"/>
      <c r="AM106" s="1" t="s">
        <v>65</v>
      </c>
      <c r="AN106" s="1" t="s">
        <v>274</v>
      </c>
      <c r="AO106" s="1"/>
      <c r="AP106" s="2" t="s">
        <v>901</v>
      </c>
      <c r="AQ106" s="1"/>
      <c r="AR106" s="1" t="s">
        <v>902</v>
      </c>
      <c r="AS106" s="1"/>
      <c r="AT106" s="2" t="s">
        <v>70</v>
      </c>
    </row>
    <row r="107">
      <c r="A107" s="1"/>
      <c r="B107" s="1" t="s">
        <v>46</v>
      </c>
      <c r="C107" s="1" t="s">
        <v>47</v>
      </c>
      <c r="D107" s="1"/>
      <c r="E107" s="1" t="s">
        <v>903</v>
      </c>
      <c r="F107" s="1"/>
      <c r="G107" s="1" t="s">
        <v>49</v>
      </c>
      <c r="H107" s="1" t="s">
        <v>72</v>
      </c>
      <c r="I107" s="1">
        <v>16008.9</v>
      </c>
      <c r="J107" s="1"/>
      <c r="K107" s="1"/>
      <c r="L107" s="1"/>
      <c r="M107" s="1" t="s">
        <v>904</v>
      </c>
      <c r="N107" s="1" t="s">
        <v>109</v>
      </c>
      <c r="O107" s="1" t="s">
        <v>110</v>
      </c>
      <c r="P107" s="2" t="s">
        <v>905</v>
      </c>
      <c r="Q107" s="1" t="s">
        <v>56</v>
      </c>
      <c r="R107" s="1"/>
      <c r="S107" s="1" t="s">
        <v>220</v>
      </c>
      <c r="T107" s="1">
        <v>3548500.0</v>
      </c>
      <c r="U107" s="1" t="s">
        <v>360</v>
      </c>
      <c r="V107" s="1" t="s">
        <v>139</v>
      </c>
      <c r="W107" s="1" t="s">
        <v>78</v>
      </c>
      <c r="X107" s="1"/>
      <c r="Y107" s="1"/>
      <c r="Z107" s="1" t="s">
        <v>112</v>
      </c>
      <c r="AA107" s="1" t="s">
        <v>893</v>
      </c>
      <c r="AB107" s="1" t="str">
        <f>"20334805000189"</f>
        <v>20334805000189</v>
      </c>
      <c r="AC107" s="1"/>
      <c r="AD107" s="1" t="s">
        <v>81</v>
      </c>
      <c r="AE107" s="1"/>
      <c r="AF107" s="1">
        <v>-46.305</v>
      </c>
      <c r="AG107" s="1">
        <v>-23.980278</v>
      </c>
      <c r="AH107" s="1" t="s">
        <v>894</v>
      </c>
      <c r="AI107" s="1"/>
      <c r="AJ107" s="1" t="s">
        <v>142</v>
      </c>
      <c r="AK107" s="1"/>
      <c r="AL107" s="1"/>
      <c r="AM107" s="1" t="s">
        <v>65</v>
      </c>
      <c r="AN107" s="1" t="s">
        <v>274</v>
      </c>
      <c r="AO107" s="1"/>
      <c r="AP107" s="2" t="s">
        <v>906</v>
      </c>
      <c r="AQ107" s="1"/>
      <c r="AR107" s="1" t="s">
        <v>115</v>
      </c>
      <c r="AS107" s="1" t="s">
        <v>907</v>
      </c>
      <c r="AT107" s="2" t="s">
        <v>70</v>
      </c>
    </row>
    <row r="108">
      <c r="A108" s="1">
        <v>2043724.0</v>
      </c>
      <c r="B108" s="1" t="s">
        <v>116</v>
      </c>
      <c r="C108" s="1" t="s">
        <v>117</v>
      </c>
      <c r="D108" s="1" t="s">
        <v>46</v>
      </c>
      <c r="E108" s="1" t="s">
        <v>908</v>
      </c>
      <c r="F108" s="1"/>
      <c r="G108" s="1" t="s">
        <v>119</v>
      </c>
      <c r="H108" s="1" t="s">
        <v>50</v>
      </c>
      <c r="I108" s="1">
        <v>1000.0</v>
      </c>
      <c r="J108" s="1"/>
      <c r="K108" s="1"/>
      <c r="L108" s="1" t="s">
        <v>485</v>
      </c>
      <c r="M108" s="1" t="s">
        <v>909</v>
      </c>
      <c r="N108" s="1" t="s">
        <v>285</v>
      </c>
      <c r="O108" s="1" t="s">
        <v>286</v>
      </c>
      <c r="P108" s="2" t="s">
        <v>910</v>
      </c>
      <c r="Q108" s="1" t="s">
        <v>56</v>
      </c>
      <c r="R108" s="1"/>
      <c r="S108" s="1" t="s">
        <v>488</v>
      </c>
      <c r="T108" s="1">
        <v>1702109.0</v>
      </c>
      <c r="U108" s="1" t="s">
        <v>851</v>
      </c>
      <c r="V108" s="1" t="s">
        <v>490</v>
      </c>
      <c r="W108" s="1" t="s">
        <v>100</v>
      </c>
      <c r="X108" s="1"/>
      <c r="Y108" s="1" t="str">
        <f>"02029000184202158"</f>
        <v>02029000184202158</v>
      </c>
      <c r="Z108" s="1" t="s">
        <v>292</v>
      </c>
      <c r="AA108" s="1" t="s">
        <v>852</v>
      </c>
      <c r="AB108" s="1" t="str">
        <f>"29155970000148"</f>
        <v>29155970000148</v>
      </c>
      <c r="AC108" s="1"/>
      <c r="AD108" s="1"/>
      <c r="AE108" s="1"/>
      <c r="AF108" s="1">
        <v>-48.217222</v>
      </c>
      <c r="AG108" s="1">
        <v>-7.1725</v>
      </c>
      <c r="AH108" s="1" t="s">
        <v>911</v>
      </c>
      <c r="AI108" s="1"/>
      <c r="AJ108" s="1" t="s">
        <v>485</v>
      </c>
      <c r="AK108" s="1"/>
      <c r="AL108" s="1" t="s">
        <v>128</v>
      </c>
      <c r="AM108" s="1" t="s">
        <v>65</v>
      </c>
      <c r="AN108" s="1" t="s">
        <v>296</v>
      </c>
      <c r="AO108" s="2" t="s">
        <v>778</v>
      </c>
      <c r="AP108" s="2" t="s">
        <v>912</v>
      </c>
      <c r="AQ108" s="1" t="s">
        <v>132</v>
      </c>
      <c r="AR108" s="1" t="s">
        <v>693</v>
      </c>
      <c r="AS108" s="1"/>
      <c r="AT108" s="2" t="s">
        <v>70</v>
      </c>
    </row>
    <row r="109">
      <c r="A109" s="1">
        <v>2043820.0</v>
      </c>
      <c r="B109" s="1" t="s">
        <v>116</v>
      </c>
      <c r="C109" s="1" t="s">
        <v>117</v>
      </c>
      <c r="D109" s="1" t="s">
        <v>46</v>
      </c>
      <c r="E109" s="1" t="s">
        <v>913</v>
      </c>
      <c r="F109" s="1"/>
      <c r="G109" s="1" t="s">
        <v>119</v>
      </c>
      <c r="H109" s="1" t="s">
        <v>50</v>
      </c>
      <c r="I109" s="1">
        <v>60000.0</v>
      </c>
      <c r="J109" s="1"/>
      <c r="K109" s="1"/>
      <c r="L109" s="1" t="s">
        <v>120</v>
      </c>
      <c r="M109" s="1" t="s">
        <v>914</v>
      </c>
      <c r="N109" s="1" t="s">
        <v>109</v>
      </c>
      <c r="O109" s="1" t="s">
        <v>110</v>
      </c>
      <c r="P109" s="2" t="s">
        <v>910</v>
      </c>
      <c r="Q109" s="1" t="s">
        <v>56</v>
      </c>
      <c r="R109" s="1"/>
      <c r="S109" s="1" t="s">
        <v>915</v>
      </c>
      <c r="T109" s="1">
        <v>1505304.0</v>
      </c>
      <c r="U109" s="1" t="s">
        <v>916</v>
      </c>
      <c r="V109" s="1" t="s">
        <v>917</v>
      </c>
      <c r="W109" s="1" t="s">
        <v>100</v>
      </c>
      <c r="X109" s="1"/>
      <c r="Y109" s="1" t="str">
        <f>"02001004067202171"</f>
        <v>02001004067202171</v>
      </c>
      <c r="Z109" s="1" t="s">
        <v>112</v>
      </c>
      <c r="AA109" s="1" t="s">
        <v>918</v>
      </c>
      <c r="AB109" s="1" t="str">
        <f>"04932216000146"</f>
        <v>04932216000146</v>
      </c>
      <c r="AC109" s="1"/>
      <c r="AD109" s="1"/>
      <c r="AE109" s="1"/>
      <c r="AF109" s="1">
        <v>-56.385556</v>
      </c>
      <c r="AG109" s="1">
        <v>-1.477222</v>
      </c>
      <c r="AH109" s="1" t="s">
        <v>919</v>
      </c>
      <c r="AI109" s="1"/>
      <c r="AJ109" s="1" t="s">
        <v>120</v>
      </c>
      <c r="AK109" s="1"/>
      <c r="AL109" s="1" t="s">
        <v>128</v>
      </c>
      <c r="AM109" s="1" t="s">
        <v>65</v>
      </c>
      <c r="AN109" s="1" t="s">
        <v>66</v>
      </c>
      <c r="AO109" s="2" t="s">
        <v>468</v>
      </c>
      <c r="AP109" s="2" t="s">
        <v>920</v>
      </c>
      <c r="AQ109" s="1" t="s">
        <v>132</v>
      </c>
      <c r="AR109" s="1" t="s">
        <v>921</v>
      </c>
      <c r="AS109" s="1"/>
      <c r="AT109" s="2" t="s">
        <v>70</v>
      </c>
    </row>
    <row r="110">
      <c r="A110" s="1"/>
      <c r="B110" s="1" t="s">
        <v>46</v>
      </c>
      <c r="C110" s="1" t="s">
        <v>47</v>
      </c>
      <c r="D110" s="1"/>
      <c r="E110" s="1" t="s">
        <v>922</v>
      </c>
      <c r="F110" s="1"/>
      <c r="G110" s="1" t="s">
        <v>49</v>
      </c>
      <c r="H110" s="1" t="s">
        <v>72</v>
      </c>
      <c r="I110" s="1">
        <v>15709.2</v>
      </c>
      <c r="J110" s="1"/>
      <c r="K110" s="1"/>
      <c r="L110" s="1"/>
      <c r="M110" s="1" t="s">
        <v>923</v>
      </c>
      <c r="N110" s="1" t="s">
        <v>109</v>
      </c>
      <c r="O110" s="1" t="s">
        <v>110</v>
      </c>
      <c r="P110" s="2" t="s">
        <v>924</v>
      </c>
      <c r="Q110" s="1" t="s">
        <v>56</v>
      </c>
      <c r="R110" s="1"/>
      <c r="S110" s="1" t="s">
        <v>220</v>
      </c>
      <c r="T110" s="1">
        <v>3548500.0</v>
      </c>
      <c r="U110" s="1" t="s">
        <v>360</v>
      </c>
      <c r="V110" s="1" t="s">
        <v>139</v>
      </c>
      <c r="W110" s="1" t="s">
        <v>78</v>
      </c>
      <c r="X110" s="1"/>
      <c r="Y110" s="1"/>
      <c r="Z110" s="1" t="s">
        <v>112</v>
      </c>
      <c r="AA110" s="1" t="s">
        <v>893</v>
      </c>
      <c r="AB110" s="1" t="str">
        <f t="shared" ref="AB110:AB111" si="11">"20334805000189"</f>
        <v>20334805000189</v>
      </c>
      <c r="AC110" s="1"/>
      <c r="AD110" s="1" t="s">
        <v>81</v>
      </c>
      <c r="AE110" s="1"/>
      <c r="AF110" s="1">
        <v>-46.305</v>
      </c>
      <c r="AG110" s="1">
        <v>-23.980278</v>
      </c>
      <c r="AH110" s="1" t="s">
        <v>925</v>
      </c>
      <c r="AI110" s="1"/>
      <c r="AJ110" s="1" t="s">
        <v>142</v>
      </c>
      <c r="AK110" s="1"/>
      <c r="AL110" s="1"/>
      <c r="AM110" s="1" t="s">
        <v>65</v>
      </c>
      <c r="AN110" s="1" t="s">
        <v>274</v>
      </c>
      <c r="AO110" s="1"/>
      <c r="AP110" s="2" t="s">
        <v>926</v>
      </c>
      <c r="AQ110" s="1"/>
      <c r="AR110" s="1" t="s">
        <v>115</v>
      </c>
      <c r="AS110" s="1" t="s">
        <v>927</v>
      </c>
      <c r="AT110" s="2" t="s">
        <v>70</v>
      </c>
    </row>
    <row r="111">
      <c r="A111" s="1"/>
      <c r="B111" s="1" t="s">
        <v>46</v>
      </c>
      <c r="C111" s="1" t="s">
        <v>47</v>
      </c>
      <c r="D111" s="1"/>
      <c r="E111" s="1" t="s">
        <v>928</v>
      </c>
      <c r="F111" s="1"/>
      <c r="G111" s="1" t="s">
        <v>49</v>
      </c>
      <c r="H111" s="1" t="s">
        <v>72</v>
      </c>
      <c r="I111" s="1">
        <v>16263.0</v>
      </c>
      <c r="J111" s="1"/>
      <c r="K111" s="1"/>
      <c r="L111" s="1"/>
      <c r="M111" s="1" t="s">
        <v>929</v>
      </c>
      <c r="N111" s="1" t="s">
        <v>109</v>
      </c>
      <c r="O111" s="1" t="s">
        <v>110</v>
      </c>
      <c r="P111" s="2" t="s">
        <v>930</v>
      </c>
      <c r="Q111" s="1" t="s">
        <v>56</v>
      </c>
      <c r="R111" s="1"/>
      <c r="S111" s="1" t="s">
        <v>220</v>
      </c>
      <c r="T111" s="1">
        <v>3548500.0</v>
      </c>
      <c r="U111" s="1" t="s">
        <v>360</v>
      </c>
      <c r="V111" s="1" t="s">
        <v>139</v>
      </c>
      <c r="W111" s="1" t="s">
        <v>78</v>
      </c>
      <c r="X111" s="1"/>
      <c r="Y111" s="1"/>
      <c r="Z111" s="1" t="s">
        <v>112</v>
      </c>
      <c r="AA111" s="1" t="s">
        <v>893</v>
      </c>
      <c r="AB111" s="1" t="str">
        <f t="shared" si="11"/>
        <v>20334805000189</v>
      </c>
      <c r="AC111" s="1"/>
      <c r="AD111" s="1" t="s">
        <v>81</v>
      </c>
      <c r="AE111" s="1"/>
      <c r="AF111" s="1">
        <v>-46.305</v>
      </c>
      <c r="AG111" s="1">
        <v>-23.980278</v>
      </c>
      <c r="AH111" s="1" t="s">
        <v>931</v>
      </c>
      <c r="AI111" s="1"/>
      <c r="AJ111" s="1" t="s">
        <v>142</v>
      </c>
      <c r="AK111" s="1"/>
      <c r="AL111" s="1"/>
      <c r="AM111" s="1" t="s">
        <v>65</v>
      </c>
      <c r="AN111" s="1" t="s">
        <v>274</v>
      </c>
      <c r="AO111" s="1"/>
      <c r="AP111" s="2" t="s">
        <v>932</v>
      </c>
      <c r="AQ111" s="1"/>
      <c r="AR111" s="1" t="s">
        <v>115</v>
      </c>
      <c r="AS111" s="1" t="s">
        <v>933</v>
      </c>
      <c r="AT111" s="2" t="s">
        <v>70</v>
      </c>
    </row>
    <row r="112">
      <c r="A112" s="1"/>
      <c r="B112" s="1" t="s">
        <v>46</v>
      </c>
      <c r="C112" s="1" t="s">
        <v>47</v>
      </c>
      <c r="D112" s="1"/>
      <c r="E112" s="1" t="s">
        <v>934</v>
      </c>
      <c r="F112" s="1"/>
      <c r="G112" s="1" t="s">
        <v>49</v>
      </c>
      <c r="H112" s="1" t="s">
        <v>50</v>
      </c>
      <c r="I112" s="1">
        <v>1510.0</v>
      </c>
      <c r="J112" s="1"/>
      <c r="K112" s="1" t="s">
        <v>51</v>
      </c>
      <c r="L112" s="1"/>
      <c r="M112" s="1" t="s">
        <v>935</v>
      </c>
      <c r="N112" s="1" t="s">
        <v>381</v>
      </c>
      <c r="O112" s="1" t="s">
        <v>382</v>
      </c>
      <c r="P112" s="2" t="s">
        <v>936</v>
      </c>
      <c r="Q112" s="1" t="s">
        <v>77</v>
      </c>
      <c r="R112" s="1"/>
      <c r="S112" s="1" t="s">
        <v>412</v>
      </c>
      <c r="T112" s="1">
        <v>2708600.0</v>
      </c>
      <c r="U112" s="1" t="s">
        <v>864</v>
      </c>
      <c r="V112" s="1" t="s">
        <v>414</v>
      </c>
      <c r="W112" s="1" t="s">
        <v>78</v>
      </c>
      <c r="X112" s="1"/>
      <c r="Y112" s="1"/>
      <c r="Z112" s="1" t="s">
        <v>384</v>
      </c>
      <c r="AA112" s="1" t="s">
        <v>937</v>
      </c>
      <c r="AB112" s="1" t="str">
        <f>"***206904**"</f>
        <v>***206904**</v>
      </c>
      <c r="AC112" s="1"/>
      <c r="AD112" s="1" t="s">
        <v>81</v>
      </c>
      <c r="AE112" s="1"/>
      <c r="AF112" s="1">
        <v>-36.115556</v>
      </c>
      <c r="AG112" s="1">
        <v>-9.807222</v>
      </c>
      <c r="AH112" s="1" t="s">
        <v>938</v>
      </c>
      <c r="AI112" s="1"/>
      <c r="AJ112" s="1" t="s">
        <v>417</v>
      </c>
      <c r="AK112" s="1"/>
      <c r="AL112" s="1"/>
      <c r="AM112" s="1" t="s">
        <v>65</v>
      </c>
      <c r="AN112" s="1" t="s">
        <v>274</v>
      </c>
      <c r="AO112" s="1"/>
      <c r="AP112" s="2" t="s">
        <v>939</v>
      </c>
      <c r="AQ112" s="1"/>
      <c r="AR112" s="1" t="s">
        <v>902</v>
      </c>
      <c r="AS112" s="1"/>
      <c r="AT112" s="2" t="s">
        <v>70</v>
      </c>
    </row>
    <row r="113">
      <c r="A113" s="1">
        <v>2043722.0</v>
      </c>
      <c r="B113" s="1" t="s">
        <v>116</v>
      </c>
      <c r="C113" s="1" t="s">
        <v>117</v>
      </c>
      <c r="D113" s="1" t="s">
        <v>46</v>
      </c>
      <c r="E113" s="1" t="s">
        <v>940</v>
      </c>
      <c r="F113" s="1"/>
      <c r="G113" s="1" t="s">
        <v>119</v>
      </c>
      <c r="H113" s="1" t="s">
        <v>50</v>
      </c>
      <c r="I113" s="1">
        <v>2000.0</v>
      </c>
      <c r="J113" s="1"/>
      <c r="K113" s="1"/>
      <c r="L113" s="1" t="s">
        <v>295</v>
      </c>
      <c r="M113" s="1" t="s">
        <v>525</v>
      </c>
      <c r="N113" s="1" t="s">
        <v>186</v>
      </c>
      <c r="O113" s="1" t="s">
        <v>95</v>
      </c>
      <c r="P113" s="2" t="s">
        <v>941</v>
      </c>
      <c r="Q113" s="1" t="s">
        <v>56</v>
      </c>
      <c r="R113" s="2" t="s">
        <v>521</v>
      </c>
      <c r="S113" s="1" t="s">
        <v>288</v>
      </c>
      <c r="T113" s="1">
        <v>2200202.0</v>
      </c>
      <c r="U113" s="1" t="s">
        <v>942</v>
      </c>
      <c r="V113" s="1" t="s">
        <v>290</v>
      </c>
      <c r="W113" s="1" t="s">
        <v>172</v>
      </c>
      <c r="X113" s="1"/>
      <c r="Y113" s="1" t="str">
        <f>"02020000324202178"</f>
        <v>02020000324202178</v>
      </c>
      <c r="Z113" s="1" t="s">
        <v>101</v>
      </c>
      <c r="AA113" s="1" t="s">
        <v>943</v>
      </c>
      <c r="AB113" s="1" t="str">
        <f>"12259341000165"</f>
        <v>12259341000165</v>
      </c>
      <c r="AC113" s="1"/>
      <c r="AD113" s="1"/>
      <c r="AE113" s="1"/>
      <c r="AF113" s="1">
        <v>-42.784167</v>
      </c>
      <c r="AG113" s="1">
        <v>-5.065</v>
      </c>
      <c r="AH113" s="1" t="s">
        <v>944</v>
      </c>
      <c r="AI113" s="1"/>
      <c r="AJ113" s="1" t="s">
        <v>295</v>
      </c>
      <c r="AK113" s="1"/>
      <c r="AL113" s="1" t="s">
        <v>128</v>
      </c>
      <c r="AM113" s="1" t="s">
        <v>65</v>
      </c>
      <c r="AN113" s="1" t="s">
        <v>296</v>
      </c>
      <c r="AO113" s="2" t="s">
        <v>778</v>
      </c>
      <c r="AP113" s="2" t="s">
        <v>945</v>
      </c>
      <c r="AQ113" s="1" t="s">
        <v>132</v>
      </c>
      <c r="AR113" s="1" t="s">
        <v>531</v>
      </c>
      <c r="AS113" s="1"/>
      <c r="AT113" s="2" t="s">
        <v>70</v>
      </c>
    </row>
    <row r="114">
      <c r="A114" s="1">
        <v>2043738.0</v>
      </c>
      <c r="B114" s="1" t="s">
        <v>116</v>
      </c>
      <c r="C114" s="1" t="s">
        <v>117</v>
      </c>
      <c r="D114" s="1" t="s">
        <v>46</v>
      </c>
      <c r="E114" s="1" t="s">
        <v>946</v>
      </c>
      <c r="F114" s="1"/>
      <c r="G114" s="1" t="s">
        <v>119</v>
      </c>
      <c r="H114" s="1" t="s">
        <v>72</v>
      </c>
      <c r="I114" s="1">
        <v>50.0</v>
      </c>
      <c r="J114" s="1"/>
      <c r="K114" s="1"/>
      <c r="L114" s="1" t="s">
        <v>175</v>
      </c>
      <c r="M114" s="1" t="s">
        <v>947</v>
      </c>
      <c r="N114" s="1" t="s">
        <v>186</v>
      </c>
      <c r="O114" s="1" t="s">
        <v>95</v>
      </c>
      <c r="P114" s="2" t="s">
        <v>941</v>
      </c>
      <c r="Q114" s="1" t="s">
        <v>56</v>
      </c>
      <c r="R114" s="1"/>
      <c r="S114" s="1" t="s">
        <v>169</v>
      </c>
      <c r="T114" s="1">
        <v>5203807.0</v>
      </c>
      <c r="U114" s="1" t="s">
        <v>948</v>
      </c>
      <c r="V114" s="1" t="s">
        <v>171</v>
      </c>
      <c r="W114" s="1" t="s">
        <v>172</v>
      </c>
      <c r="X114" s="1"/>
      <c r="Y114" s="1" t="str">
        <f>"02010000293202174"</f>
        <v>02010000293202174</v>
      </c>
      <c r="Z114" s="1" t="s">
        <v>101</v>
      </c>
      <c r="AA114" s="1" t="s">
        <v>949</v>
      </c>
      <c r="AB114" s="1" t="str">
        <f>"***930151**"</f>
        <v>***930151**</v>
      </c>
      <c r="AC114" s="1"/>
      <c r="AD114" s="1"/>
      <c r="AE114" s="1"/>
      <c r="AF114" s="1">
        <v>-51.172222</v>
      </c>
      <c r="AG114" s="1">
        <v>-15.256389</v>
      </c>
      <c r="AH114" s="1" t="s">
        <v>950</v>
      </c>
      <c r="AI114" s="1"/>
      <c r="AJ114" s="1" t="s">
        <v>175</v>
      </c>
      <c r="AK114" s="1"/>
      <c r="AL114" s="1" t="s">
        <v>128</v>
      </c>
      <c r="AM114" s="1" t="s">
        <v>65</v>
      </c>
      <c r="AN114" s="1" t="s">
        <v>83</v>
      </c>
      <c r="AO114" s="2" t="s">
        <v>778</v>
      </c>
      <c r="AP114" s="2" t="s">
        <v>951</v>
      </c>
      <c r="AQ114" s="1" t="s">
        <v>132</v>
      </c>
      <c r="AR114" s="1" t="s">
        <v>952</v>
      </c>
      <c r="AS114" s="1"/>
      <c r="AT114" s="2" t="s">
        <v>70</v>
      </c>
    </row>
    <row r="115">
      <c r="A115" s="1"/>
      <c r="B115" s="1" t="s">
        <v>46</v>
      </c>
      <c r="C115" s="1" t="s">
        <v>47</v>
      </c>
      <c r="D115" s="1"/>
      <c r="E115" s="1" t="s">
        <v>953</v>
      </c>
      <c r="F115" s="1"/>
      <c r="G115" s="1" t="s">
        <v>49</v>
      </c>
      <c r="H115" s="1" t="s">
        <v>72</v>
      </c>
      <c r="I115" s="1">
        <v>16365.9</v>
      </c>
      <c r="J115" s="1"/>
      <c r="K115" s="1"/>
      <c r="L115" s="1"/>
      <c r="M115" s="1" t="s">
        <v>954</v>
      </c>
      <c r="N115" s="1" t="s">
        <v>109</v>
      </c>
      <c r="O115" s="1" t="s">
        <v>110</v>
      </c>
      <c r="P115" s="2" t="s">
        <v>955</v>
      </c>
      <c r="Q115" s="1" t="s">
        <v>56</v>
      </c>
      <c r="R115" s="1"/>
      <c r="S115" s="1" t="s">
        <v>220</v>
      </c>
      <c r="T115" s="1">
        <v>3548500.0</v>
      </c>
      <c r="U115" s="1" t="s">
        <v>360</v>
      </c>
      <c r="V115" s="1" t="s">
        <v>139</v>
      </c>
      <c r="W115" s="1" t="s">
        <v>78</v>
      </c>
      <c r="X115" s="1"/>
      <c r="Y115" s="1"/>
      <c r="Z115" s="1" t="s">
        <v>112</v>
      </c>
      <c r="AA115" s="1" t="s">
        <v>893</v>
      </c>
      <c r="AB115" s="1" t="str">
        <f>"20334805000189"</f>
        <v>20334805000189</v>
      </c>
      <c r="AC115" s="1"/>
      <c r="AD115" s="1" t="s">
        <v>81</v>
      </c>
      <c r="AE115" s="1"/>
      <c r="AF115" s="1">
        <v>-46.305</v>
      </c>
      <c r="AG115" s="1">
        <v>-23.980278</v>
      </c>
      <c r="AH115" s="1" t="s">
        <v>956</v>
      </c>
      <c r="AI115" s="1"/>
      <c r="AJ115" s="1" t="s">
        <v>142</v>
      </c>
      <c r="AK115" s="1"/>
      <c r="AL115" s="1"/>
      <c r="AM115" s="1" t="s">
        <v>65</v>
      </c>
      <c r="AN115" s="1" t="s">
        <v>274</v>
      </c>
      <c r="AO115" s="1"/>
      <c r="AP115" s="2" t="s">
        <v>957</v>
      </c>
      <c r="AQ115" s="1"/>
      <c r="AR115" s="1" t="s">
        <v>115</v>
      </c>
      <c r="AS115" s="1" t="s">
        <v>958</v>
      </c>
      <c r="AT115" s="2" t="s">
        <v>70</v>
      </c>
    </row>
    <row r="116">
      <c r="A116" s="1"/>
      <c r="B116" s="1" t="s">
        <v>46</v>
      </c>
      <c r="C116" s="1" t="s">
        <v>47</v>
      </c>
      <c r="D116" s="1"/>
      <c r="E116" s="1" t="s">
        <v>959</v>
      </c>
      <c r="F116" s="1"/>
      <c r="G116" s="1" t="s">
        <v>217</v>
      </c>
      <c r="H116" s="1" t="s">
        <v>50</v>
      </c>
      <c r="I116" s="1"/>
      <c r="J116" s="1"/>
      <c r="K116" s="1"/>
      <c r="L116" s="1"/>
      <c r="M116" s="1" t="s">
        <v>960</v>
      </c>
      <c r="N116" s="1" t="s">
        <v>186</v>
      </c>
      <c r="O116" s="1" t="s">
        <v>187</v>
      </c>
      <c r="P116" s="2" t="s">
        <v>961</v>
      </c>
      <c r="Q116" s="1"/>
      <c r="R116" s="1"/>
      <c r="S116" s="1" t="s">
        <v>220</v>
      </c>
      <c r="T116" s="1">
        <v>3136702.0</v>
      </c>
      <c r="U116" s="1" t="s">
        <v>476</v>
      </c>
      <c r="V116" s="1" t="s">
        <v>477</v>
      </c>
      <c r="W116" s="1" t="s">
        <v>78</v>
      </c>
      <c r="X116" s="1"/>
      <c r="Y116" s="1" t="str">
        <f>"02555000027202194"</f>
        <v>02555000027202194</v>
      </c>
      <c r="Z116" s="1"/>
      <c r="AA116" s="1" t="s">
        <v>962</v>
      </c>
      <c r="AB116" s="1" t="str">
        <f>"***179056**"</f>
        <v>***179056**</v>
      </c>
      <c r="AC116" s="1"/>
      <c r="AD116" s="1" t="s">
        <v>81</v>
      </c>
      <c r="AE116" s="1"/>
      <c r="AF116" s="1">
        <v>-43.381667</v>
      </c>
      <c r="AG116" s="1">
        <v>-21.794722</v>
      </c>
      <c r="AH116" s="1" t="s">
        <v>963</v>
      </c>
      <c r="AI116" s="1"/>
      <c r="AJ116" s="1" t="s">
        <v>480</v>
      </c>
      <c r="AK116" s="1"/>
      <c r="AL116" s="1"/>
      <c r="AM116" s="1" t="s">
        <v>65</v>
      </c>
      <c r="AN116" s="1" t="s">
        <v>83</v>
      </c>
      <c r="AO116" s="1"/>
      <c r="AP116" s="2" t="s">
        <v>964</v>
      </c>
      <c r="AQ116" s="1"/>
      <c r="AR116" s="1" t="s">
        <v>965</v>
      </c>
      <c r="AS116" s="1"/>
      <c r="AT116" s="2" t="s">
        <v>70</v>
      </c>
    </row>
    <row r="117">
      <c r="A117" s="1"/>
      <c r="B117" s="1" t="s">
        <v>46</v>
      </c>
      <c r="C117" s="1" t="s">
        <v>47</v>
      </c>
      <c r="D117" s="1"/>
      <c r="E117" s="1" t="s">
        <v>966</v>
      </c>
      <c r="F117" s="1"/>
      <c r="G117" s="1" t="s">
        <v>49</v>
      </c>
      <c r="H117" s="1" t="s">
        <v>50</v>
      </c>
      <c r="I117" s="1">
        <v>2200.0</v>
      </c>
      <c r="J117" s="1"/>
      <c r="K117" s="1" t="s">
        <v>51</v>
      </c>
      <c r="L117" s="1"/>
      <c r="M117" s="1" t="s">
        <v>967</v>
      </c>
      <c r="N117" s="1" t="s">
        <v>381</v>
      </c>
      <c r="O117" s="1" t="s">
        <v>382</v>
      </c>
      <c r="P117" s="2" t="s">
        <v>968</v>
      </c>
      <c r="Q117" s="1" t="s">
        <v>77</v>
      </c>
      <c r="R117" s="1"/>
      <c r="S117" s="1" t="s">
        <v>412</v>
      </c>
      <c r="T117" s="1">
        <v>2708600.0</v>
      </c>
      <c r="U117" s="1" t="s">
        <v>864</v>
      </c>
      <c r="V117" s="1" t="s">
        <v>414</v>
      </c>
      <c r="W117" s="1" t="s">
        <v>78</v>
      </c>
      <c r="X117" s="1"/>
      <c r="Y117" s="1"/>
      <c r="Z117" s="1" t="s">
        <v>384</v>
      </c>
      <c r="AA117" s="1" t="s">
        <v>969</v>
      </c>
      <c r="AB117" s="1" t="str">
        <f>"00766315000225"</f>
        <v>00766315000225</v>
      </c>
      <c r="AC117" s="1"/>
      <c r="AD117" s="1" t="s">
        <v>81</v>
      </c>
      <c r="AE117" s="1"/>
      <c r="AF117" s="1">
        <v>-36.113889</v>
      </c>
      <c r="AG117" s="1">
        <v>-9.804444</v>
      </c>
      <c r="AH117" s="1" t="s">
        <v>970</v>
      </c>
      <c r="AI117" s="1"/>
      <c r="AJ117" s="1" t="s">
        <v>417</v>
      </c>
      <c r="AK117" s="1"/>
      <c r="AL117" s="1"/>
      <c r="AM117" s="1" t="s">
        <v>65</v>
      </c>
      <c r="AN117" s="1" t="s">
        <v>274</v>
      </c>
      <c r="AO117" s="1"/>
      <c r="AP117" s="2" t="s">
        <v>971</v>
      </c>
      <c r="AQ117" s="1"/>
      <c r="AR117" s="1" t="s">
        <v>902</v>
      </c>
      <c r="AS117" s="1"/>
      <c r="AT117" s="2" t="s">
        <v>70</v>
      </c>
    </row>
    <row r="118">
      <c r="A118" s="1">
        <v>2043736.0</v>
      </c>
      <c r="B118" s="1" t="s">
        <v>116</v>
      </c>
      <c r="C118" s="1" t="s">
        <v>117</v>
      </c>
      <c r="D118" s="1" t="s">
        <v>46</v>
      </c>
      <c r="E118" s="1" t="s">
        <v>972</v>
      </c>
      <c r="F118" s="1"/>
      <c r="G118" s="1" t="s">
        <v>119</v>
      </c>
      <c r="H118" s="1" t="s">
        <v>72</v>
      </c>
      <c r="I118" s="1">
        <v>50.0</v>
      </c>
      <c r="J118" s="1"/>
      <c r="K118" s="1"/>
      <c r="L118" s="1" t="s">
        <v>175</v>
      </c>
      <c r="M118" s="1" t="s">
        <v>947</v>
      </c>
      <c r="N118" s="1" t="s">
        <v>186</v>
      </c>
      <c r="O118" s="1" t="s">
        <v>95</v>
      </c>
      <c r="P118" s="2" t="s">
        <v>973</v>
      </c>
      <c r="Q118" s="1" t="s">
        <v>56</v>
      </c>
      <c r="R118" s="1"/>
      <c r="S118" s="1" t="s">
        <v>169</v>
      </c>
      <c r="T118" s="1">
        <v>5203807.0</v>
      </c>
      <c r="U118" s="1" t="s">
        <v>948</v>
      </c>
      <c r="V118" s="1" t="s">
        <v>171</v>
      </c>
      <c r="W118" s="1" t="s">
        <v>172</v>
      </c>
      <c r="X118" s="1"/>
      <c r="Y118" s="1" t="str">
        <f>"02010000291202185"</f>
        <v>02010000291202185</v>
      </c>
      <c r="Z118" s="1" t="s">
        <v>101</v>
      </c>
      <c r="AA118" s="1" t="s">
        <v>974</v>
      </c>
      <c r="AB118" s="1" t="str">
        <f>"***990178**"</f>
        <v>***990178**</v>
      </c>
      <c r="AC118" s="1"/>
      <c r="AD118" s="1"/>
      <c r="AE118" s="1"/>
      <c r="AF118" s="1">
        <v>-51.172222</v>
      </c>
      <c r="AG118" s="1">
        <v>-15.256389</v>
      </c>
      <c r="AH118" s="1" t="s">
        <v>975</v>
      </c>
      <c r="AI118" s="1"/>
      <c r="AJ118" s="1" t="s">
        <v>175</v>
      </c>
      <c r="AK118" s="1"/>
      <c r="AL118" s="1" t="s">
        <v>128</v>
      </c>
      <c r="AM118" s="1" t="s">
        <v>65</v>
      </c>
      <c r="AN118" s="1" t="s">
        <v>83</v>
      </c>
      <c r="AO118" s="2" t="s">
        <v>778</v>
      </c>
      <c r="AP118" s="2" t="s">
        <v>976</v>
      </c>
      <c r="AQ118" s="1" t="s">
        <v>132</v>
      </c>
      <c r="AR118" s="1" t="s">
        <v>952</v>
      </c>
      <c r="AS118" s="1"/>
      <c r="AT118" s="2" t="s">
        <v>70</v>
      </c>
    </row>
    <row r="119">
      <c r="A119" s="1">
        <v>2043791.0</v>
      </c>
      <c r="B119" s="1" t="s">
        <v>116</v>
      </c>
      <c r="C119" s="1" t="s">
        <v>117</v>
      </c>
      <c r="D119" s="1" t="s">
        <v>46</v>
      </c>
      <c r="E119" s="1" t="s">
        <v>977</v>
      </c>
      <c r="F119" s="1"/>
      <c r="G119" s="1" t="s">
        <v>119</v>
      </c>
      <c r="H119" s="1" t="s">
        <v>50</v>
      </c>
      <c r="I119" s="1">
        <v>1000.0</v>
      </c>
      <c r="J119" s="1"/>
      <c r="K119" s="1"/>
      <c r="L119" s="1" t="s">
        <v>295</v>
      </c>
      <c r="M119" s="1" t="s">
        <v>978</v>
      </c>
      <c r="N119" s="1" t="s">
        <v>285</v>
      </c>
      <c r="O119" s="1" t="s">
        <v>286</v>
      </c>
      <c r="P119" s="2" t="s">
        <v>979</v>
      </c>
      <c r="Q119" s="1" t="s">
        <v>56</v>
      </c>
      <c r="R119" s="2" t="s">
        <v>521</v>
      </c>
      <c r="S119" s="1" t="s">
        <v>288</v>
      </c>
      <c r="T119" s="1">
        <v>2206001.0</v>
      </c>
      <c r="U119" s="1" t="s">
        <v>980</v>
      </c>
      <c r="V119" s="1" t="s">
        <v>290</v>
      </c>
      <c r="W119" s="1" t="s">
        <v>172</v>
      </c>
      <c r="X119" s="1"/>
      <c r="Y119" s="1" t="str">
        <f>"02020000335202158"</f>
        <v>02020000335202158</v>
      </c>
      <c r="Z119" s="1" t="s">
        <v>292</v>
      </c>
      <c r="AA119" s="1" t="s">
        <v>981</v>
      </c>
      <c r="AB119" s="1" t="str">
        <f>"16403681000179"</f>
        <v>16403681000179</v>
      </c>
      <c r="AC119" s="1"/>
      <c r="AD119" s="1"/>
      <c r="AE119" s="1"/>
      <c r="AF119" s="1">
        <v>-42.824639</v>
      </c>
      <c r="AG119" s="1">
        <v>-5.069861</v>
      </c>
      <c r="AH119" s="1" t="s">
        <v>982</v>
      </c>
      <c r="AI119" s="1"/>
      <c r="AJ119" s="1" t="s">
        <v>295</v>
      </c>
      <c r="AK119" s="1"/>
      <c r="AL119" s="1" t="s">
        <v>128</v>
      </c>
      <c r="AM119" s="1" t="s">
        <v>65</v>
      </c>
      <c r="AN119" s="1" t="s">
        <v>296</v>
      </c>
      <c r="AO119" s="2" t="s">
        <v>529</v>
      </c>
      <c r="AP119" s="2" t="s">
        <v>983</v>
      </c>
      <c r="AQ119" s="1" t="s">
        <v>132</v>
      </c>
      <c r="AR119" s="1" t="s">
        <v>531</v>
      </c>
      <c r="AS119" s="1"/>
      <c r="AT119" s="2" t="s">
        <v>70</v>
      </c>
    </row>
    <row r="120">
      <c r="A120" s="1"/>
      <c r="B120" s="1" t="s">
        <v>46</v>
      </c>
      <c r="C120" s="1" t="s">
        <v>47</v>
      </c>
      <c r="D120" s="1"/>
      <c r="E120" s="1" t="s">
        <v>984</v>
      </c>
      <c r="F120" s="1"/>
      <c r="G120" s="1" t="s">
        <v>49</v>
      </c>
      <c r="H120" s="1" t="s">
        <v>72</v>
      </c>
      <c r="I120" s="1">
        <v>488701.0</v>
      </c>
      <c r="J120" s="1"/>
      <c r="K120" s="1"/>
      <c r="L120" s="1"/>
      <c r="M120" s="1" t="s">
        <v>985</v>
      </c>
      <c r="N120" s="1" t="s">
        <v>109</v>
      </c>
      <c r="O120" s="1" t="s">
        <v>110</v>
      </c>
      <c r="P120" s="2" t="s">
        <v>986</v>
      </c>
      <c r="Q120" s="1" t="s">
        <v>56</v>
      </c>
      <c r="R120" s="2" t="s">
        <v>521</v>
      </c>
      <c r="S120" s="1" t="s">
        <v>97</v>
      </c>
      <c r="T120" s="1">
        <v>1303304.0</v>
      </c>
      <c r="U120" s="1" t="s">
        <v>987</v>
      </c>
      <c r="V120" s="1" t="s">
        <v>99</v>
      </c>
      <c r="W120" s="1" t="s">
        <v>100</v>
      </c>
      <c r="X120" s="1"/>
      <c r="Y120" s="1"/>
      <c r="Z120" s="1" t="s">
        <v>112</v>
      </c>
      <c r="AA120" s="1" t="s">
        <v>988</v>
      </c>
      <c r="AB120" s="1" t="str">
        <f>"***943501**"</f>
        <v>***943501**</v>
      </c>
      <c r="AC120" s="1"/>
      <c r="AD120" s="1" t="s">
        <v>325</v>
      </c>
      <c r="AE120" s="1"/>
      <c r="AF120" s="1">
        <v>-61.301667</v>
      </c>
      <c r="AG120" s="1">
        <v>-7.773056</v>
      </c>
      <c r="AH120" s="1" t="s">
        <v>989</v>
      </c>
      <c r="AI120" s="1"/>
      <c r="AJ120" s="1" t="s">
        <v>104</v>
      </c>
      <c r="AK120" s="1"/>
      <c r="AL120" s="1"/>
      <c r="AM120" s="1" t="s">
        <v>65</v>
      </c>
      <c r="AN120" s="1"/>
      <c r="AO120" s="1"/>
      <c r="AP120" s="2" t="s">
        <v>990</v>
      </c>
      <c r="AQ120" s="1"/>
      <c r="AR120" s="1" t="s">
        <v>991</v>
      </c>
      <c r="AS120" s="1" t="s">
        <v>992</v>
      </c>
      <c r="AT120" s="2" t="s">
        <v>70</v>
      </c>
    </row>
    <row r="121">
      <c r="A121" s="1">
        <v>2043865.0</v>
      </c>
      <c r="B121" s="1" t="s">
        <v>116</v>
      </c>
      <c r="C121" s="1" t="s">
        <v>117</v>
      </c>
      <c r="D121" s="1" t="s">
        <v>46</v>
      </c>
      <c r="E121" s="1" t="s">
        <v>993</v>
      </c>
      <c r="F121" s="1"/>
      <c r="G121" s="1" t="s">
        <v>119</v>
      </c>
      <c r="H121" s="1" t="s">
        <v>50</v>
      </c>
      <c r="I121" s="1">
        <v>6000.0</v>
      </c>
      <c r="J121" s="1"/>
      <c r="K121" s="1"/>
      <c r="L121" s="1" t="s">
        <v>442</v>
      </c>
      <c r="M121" s="1" t="s">
        <v>994</v>
      </c>
      <c r="N121" s="1" t="s">
        <v>74</v>
      </c>
      <c r="O121" s="1" t="s">
        <v>75</v>
      </c>
      <c r="P121" s="2" t="s">
        <v>995</v>
      </c>
      <c r="Q121" s="1" t="s">
        <v>56</v>
      </c>
      <c r="R121" s="1"/>
      <c r="S121" s="1" t="s">
        <v>220</v>
      </c>
      <c r="T121" s="1">
        <v>2205706.0</v>
      </c>
      <c r="U121" s="1" t="s">
        <v>996</v>
      </c>
      <c r="V121" s="1" t="s">
        <v>290</v>
      </c>
      <c r="W121" s="1" t="s">
        <v>60</v>
      </c>
      <c r="X121" s="1"/>
      <c r="Y121" s="1" t="str">
        <f>"02007000616202189"</f>
        <v>02007000616202189</v>
      </c>
      <c r="Z121" s="1" t="s">
        <v>79</v>
      </c>
      <c r="AA121" s="1" t="s">
        <v>997</v>
      </c>
      <c r="AB121" s="1" t="str">
        <f>"***189803**"</f>
        <v>***189803**</v>
      </c>
      <c r="AC121" s="1"/>
      <c r="AD121" s="1"/>
      <c r="AE121" s="1"/>
      <c r="AF121" s="1">
        <v>-41.664722</v>
      </c>
      <c r="AG121" s="1">
        <v>-2.876944</v>
      </c>
      <c r="AH121" s="1" t="s">
        <v>998</v>
      </c>
      <c r="AI121" s="1"/>
      <c r="AJ121" s="1" t="s">
        <v>442</v>
      </c>
      <c r="AK121" s="1"/>
      <c r="AL121" s="1" t="s">
        <v>128</v>
      </c>
      <c r="AM121" s="1" t="s">
        <v>65</v>
      </c>
      <c r="AN121" s="1" t="s">
        <v>159</v>
      </c>
      <c r="AO121" s="2" t="s">
        <v>999</v>
      </c>
      <c r="AP121" s="2" t="s">
        <v>1000</v>
      </c>
      <c r="AQ121" s="1" t="s">
        <v>132</v>
      </c>
      <c r="AR121" s="1" t="s">
        <v>1001</v>
      </c>
      <c r="AS121" s="1" t="s">
        <v>1002</v>
      </c>
      <c r="AT121" s="2" t="s">
        <v>70</v>
      </c>
    </row>
    <row r="122">
      <c r="A122" s="1"/>
      <c r="B122" s="1" t="s">
        <v>46</v>
      </c>
      <c r="C122" s="1" t="s">
        <v>47</v>
      </c>
      <c r="D122" s="1"/>
      <c r="E122" s="1" t="s">
        <v>1003</v>
      </c>
      <c r="F122" s="1"/>
      <c r="G122" s="1" t="s">
        <v>49</v>
      </c>
      <c r="H122" s="1" t="s">
        <v>72</v>
      </c>
      <c r="I122" s="1">
        <v>16419.0</v>
      </c>
      <c r="J122" s="1"/>
      <c r="K122" s="1"/>
      <c r="L122" s="1"/>
      <c r="M122" s="1" t="s">
        <v>1004</v>
      </c>
      <c r="N122" s="1" t="s">
        <v>109</v>
      </c>
      <c r="O122" s="1" t="s">
        <v>110</v>
      </c>
      <c r="P122" s="2" t="s">
        <v>1005</v>
      </c>
      <c r="Q122" s="1" t="s">
        <v>56</v>
      </c>
      <c r="R122" s="1"/>
      <c r="S122" s="1" t="s">
        <v>220</v>
      </c>
      <c r="T122" s="1">
        <v>3548500.0</v>
      </c>
      <c r="U122" s="1" t="s">
        <v>360</v>
      </c>
      <c r="V122" s="1" t="s">
        <v>139</v>
      </c>
      <c r="W122" s="1" t="s">
        <v>78</v>
      </c>
      <c r="X122" s="1"/>
      <c r="Y122" s="1"/>
      <c r="Z122" s="1" t="s">
        <v>112</v>
      </c>
      <c r="AA122" s="1" t="s">
        <v>893</v>
      </c>
      <c r="AB122" s="1" t="str">
        <f>"20334805000189"</f>
        <v>20334805000189</v>
      </c>
      <c r="AC122" s="1"/>
      <c r="AD122" s="1" t="s">
        <v>81</v>
      </c>
      <c r="AE122" s="1"/>
      <c r="AF122" s="1">
        <v>-46.305</v>
      </c>
      <c r="AG122" s="1">
        <v>-23.980278</v>
      </c>
      <c r="AH122" s="1" t="s">
        <v>1006</v>
      </c>
      <c r="AI122" s="1"/>
      <c r="AJ122" s="1" t="s">
        <v>142</v>
      </c>
      <c r="AK122" s="1"/>
      <c r="AL122" s="1"/>
      <c r="AM122" s="1" t="s">
        <v>65</v>
      </c>
      <c r="AN122" s="1" t="s">
        <v>274</v>
      </c>
      <c r="AO122" s="1"/>
      <c r="AP122" s="2" t="s">
        <v>1007</v>
      </c>
      <c r="AQ122" s="1"/>
      <c r="AR122" s="1" t="s">
        <v>115</v>
      </c>
      <c r="AS122" s="1" t="s">
        <v>1008</v>
      </c>
      <c r="AT122" s="2" t="s">
        <v>70</v>
      </c>
    </row>
    <row r="123">
      <c r="A123" s="1"/>
      <c r="B123" s="1" t="s">
        <v>46</v>
      </c>
      <c r="C123" s="1" t="s">
        <v>47</v>
      </c>
      <c r="D123" s="1"/>
      <c r="E123" s="1" t="s">
        <v>1009</v>
      </c>
      <c r="F123" s="1"/>
      <c r="G123" s="1" t="s">
        <v>217</v>
      </c>
      <c r="H123" s="1" t="s">
        <v>50</v>
      </c>
      <c r="I123" s="1"/>
      <c r="J123" s="1"/>
      <c r="K123" s="1"/>
      <c r="L123" s="1"/>
      <c r="M123" s="1" t="s">
        <v>1010</v>
      </c>
      <c r="N123" s="1" t="s">
        <v>74</v>
      </c>
      <c r="O123" s="1" t="s">
        <v>75</v>
      </c>
      <c r="P123" s="2" t="s">
        <v>1011</v>
      </c>
      <c r="Q123" s="1"/>
      <c r="R123" s="1"/>
      <c r="S123" s="1" t="s">
        <v>220</v>
      </c>
      <c r="T123" s="1">
        <v>3520103.0</v>
      </c>
      <c r="U123" s="1" t="s">
        <v>1012</v>
      </c>
      <c r="V123" s="1" t="s">
        <v>139</v>
      </c>
      <c r="W123" s="1" t="s">
        <v>172</v>
      </c>
      <c r="X123" s="1"/>
      <c r="Y123" s="1"/>
      <c r="Z123" s="1" t="s">
        <v>1013</v>
      </c>
      <c r="AA123" s="1" t="s">
        <v>1014</v>
      </c>
      <c r="AB123" s="1" t="str">
        <f>"66549510000120"</f>
        <v>66549510000120</v>
      </c>
      <c r="AC123" s="1"/>
      <c r="AD123" s="1" t="s">
        <v>81</v>
      </c>
      <c r="AE123" s="1"/>
      <c r="AF123" s="1">
        <v>-47.753889</v>
      </c>
      <c r="AG123" s="1">
        <v>-20.043611</v>
      </c>
      <c r="AH123" s="1" t="s">
        <v>1015</v>
      </c>
      <c r="AI123" s="1"/>
      <c r="AJ123" s="1" t="s">
        <v>142</v>
      </c>
      <c r="AK123" s="1"/>
      <c r="AL123" s="1"/>
      <c r="AM123" s="1" t="s">
        <v>65</v>
      </c>
      <c r="AN123" s="1" t="s">
        <v>825</v>
      </c>
      <c r="AO123" s="1"/>
      <c r="AP123" s="2" t="s">
        <v>1016</v>
      </c>
      <c r="AQ123" s="1"/>
      <c r="AR123" s="1" t="s">
        <v>1017</v>
      </c>
      <c r="AS123" s="1"/>
      <c r="AT123" s="2" t="s">
        <v>70</v>
      </c>
    </row>
    <row r="124">
      <c r="A124" s="1">
        <v>2043864.0</v>
      </c>
      <c r="B124" s="1" t="s">
        <v>116</v>
      </c>
      <c r="C124" s="1" t="s">
        <v>117</v>
      </c>
      <c r="D124" s="1" t="s">
        <v>46</v>
      </c>
      <c r="E124" s="1" t="s">
        <v>1018</v>
      </c>
      <c r="F124" s="1"/>
      <c r="G124" s="1" t="s">
        <v>119</v>
      </c>
      <c r="H124" s="1" t="s">
        <v>50</v>
      </c>
      <c r="I124" s="1">
        <v>6000.0</v>
      </c>
      <c r="J124" s="1"/>
      <c r="K124" s="1"/>
      <c r="L124" s="1" t="s">
        <v>442</v>
      </c>
      <c r="M124" s="1" t="s">
        <v>1019</v>
      </c>
      <c r="N124" s="1" t="s">
        <v>74</v>
      </c>
      <c r="O124" s="1" t="s">
        <v>75</v>
      </c>
      <c r="P124" s="2" t="s">
        <v>1020</v>
      </c>
      <c r="Q124" s="1" t="s">
        <v>56</v>
      </c>
      <c r="R124" s="1"/>
      <c r="S124" s="1" t="s">
        <v>220</v>
      </c>
      <c r="T124" s="1">
        <v>2300200.0</v>
      </c>
      <c r="U124" s="1" t="s">
        <v>1021</v>
      </c>
      <c r="V124" s="1" t="s">
        <v>439</v>
      </c>
      <c r="W124" s="1" t="s">
        <v>60</v>
      </c>
      <c r="X124" s="1"/>
      <c r="Y124" s="1" t="str">
        <f>"02007000615202134"</f>
        <v>02007000615202134</v>
      </c>
      <c r="Z124" s="1" t="s">
        <v>79</v>
      </c>
      <c r="AA124" s="1" t="s">
        <v>1022</v>
      </c>
      <c r="AB124" s="1" t="str">
        <f>"***300523**"</f>
        <v>***300523**</v>
      </c>
      <c r="AC124" s="1"/>
      <c r="AD124" s="1"/>
      <c r="AE124" s="1"/>
      <c r="AF124" s="1">
        <v>-40.117222</v>
      </c>
      <c r="AG124" s="1">
        <v>-2.879167</v>
      </c>
      <c r="AH124" s="1" t="s">
        <v>1023</v>
      </c>
      <c r="AI124" s="1"/>
      <c r="AJ124" s="1" t="s">
        <v>442</v>
      </c>
      <c r="AK124" s="1"/>
      <c r="AL124" s="1" t="s">
        <v>128</v>
      </c>
      <c r="AM124" s="1" t="s">
        <v>65</v>
      </c>
      <c r="AN124" s="1" t="s">
        <v>159</v>
      </c>
      <c r="AO124" s="2" t="s">
        <v>999</v>
      </c>
      <c r="AP124" s="2" t="s">
        <v>1024</v>
      </c>
      <c r="AQ124" s="1" t="s">
        <v>132</v>
      </c>
      <c r="AR124" s="1" t="s">
        <v>1001</v>
      </c>
      <c r="AS124" s="1" t="s">
        <v>1002</v>
      </c>
      <c r="AT124" s="2" t="s">
        <v>70</v>
      </c>
    </row>
    <row r="125">
      <c r="A125" s="1"/>
      <c r="B125" s="1" t="s">
        <v>46</v>
      </c>
      <c r="C125" s="1" t="s">
        <v>47</v>
      </c>
      <c r="D125" s="1"/>
      <c r="E125" s="1" t="s">
        <v>1025</v>
      </c>
      <c r="F125" s="1"/>
      <c r="G125" s="1" t="s">
        <v>49</v>
      </c>
      <c r="H125" s="1" t="s">
        <v>50</v>
      </c>
      <c r="I125" s="1">
        <v>1400.0</v>
      </c>
      <c r="J125" s="1"/>
      <c r="K125" s="1" t="s">
        <v>51</v>
      </c>
      <c r="L125" s="1"/>
      <c r="M125" s="1" t="s">
        <v>1026</v>
      </c>
      <c r="N125" s="1" t="s">
        <v>74</v>
      </c>
      <c r="O125" s="1" t="s">
        <v>75</v>
      </c>
      <c r="P125" s="2" t="s">
        <v>1027</v>
      </c>
      <c r="Q125" s="1" t="s">
        <v>77</v>
      </c>
      <c r="R125" s="1"/>
      <c r="S125" s="1" t="s">
        <v>280</v>
      </c>
      <c r="T125" s="1">
        <v>3520103.0</v>
      </c>
      <c r="U125" s="1" t="s">
        <v>1012</v>
      </c>
      <c r="V125" s="1" t="s">
        <v>139</v>
      </c>
      <c r="W125" s="1" t="s">
        <v>78</v>
      </c>
      <c r="X125" s="1"/>
      <c r="Y125" s="1"/>
      <c r="Z125" s="1" t="s">
        <v>79</v>
      </c>
      <c r="AA125" s="1" t="s">
        <v>1028</v>
      </c>
      <c r="AB125" s="1" t="str">
        <f>"26817518000106"</f>
        <v>26817518000106</v>
      </c>
      <c r="AC125" s="1"/>
      <c r="AD125" s="1" t="s">
        <v>81</v>
      </c>
      <c r="AE125" s="1"/>
      <c r="AF125" s="1">
        <v>-47.741389</v>
      </c>
      <c r="AG125" s="1">
        <v>-20.046667</v>
      </c>
      <c r="AH125" s="1" t="s">
        <v>1029</v>
      </c>
      <c r="AI125" s="1"/>
      <c r="AJ125" s="1" t="s">
        <v>142</v>
      </c>
      <c r="AK125" s="1"/>
      <c r="AL125" s="1"/>
      <c r="AM125" s="1" t="s">
        <v>65</v>
      </c>
      <c r="AN125" s="1" t="s">
        <v>825</v>
      </c>
      <c r="AO125" s="1"/>
      <c r="AP125" s="2" t="s">
        <v>1030</v>
      </c>
      <c r="AQ125" s="1"/>
      <c r="AR125" s="1" t="s">
        <v>502</v>
      </c>
      <c r="AS125" s="1"/>
      <c r="AT125" s="2" t="s">
        <v>70</v>
      </c>
    </row>
    <row r="126">
      <c r="A126" s="1"/>
      <c r="B126" s="1" t="s">
        <v>46</v>
      </c>
      <c r="C126" s="1" t="s">
        <v>47</v>
      </c>
      <c r="D126" s="1"/>
      <c r="E126" s="1" t="s">
        <v>1031</v>
      </c>
      <c r="F126" s="1"/>
      <c r="G126" s="1" t="s">
        <v>49</v>
      </c>
      <c r="H126" s="1" t="s">
        <v>72</v>
      </c>
      <c r="I126" s="1">
        <v>3480.0</v>
      </c>
      <c r="J126" s="1"/>
      <c r="K126" s="1"/>
      <c r="L126" s="1"/>
      <c r="M126" s="1" t="s">
        <v>1032</v>
      </c>
      <c r="N126" s="1" t="s">
        <v>74</v>
      </c>
      <c r="O126" s="1" t="s">
        <v>75</v>
      </c>
      <c r="P126" s="2" t="s">
        <v>1033</v>
      </c>
      <c r="Q126" s="1" t="s">
        <v>56</v>
      </c>
      <c r="R126" s="1"/>
      <c r="S126" s="1" t="s">
        <v>359</v>
      </c>
      <c r="T126" s="1">
        <v>3549904.0</v>
      </c>
      <c r="U126" s="1" t="s">
        <v>1034</v>
      </c>
      <c r="V126" s="1" t="s">
        <v>139</v>
      </c>
      <c r="W126" s="1" t="s">
        <v>60</v>
      </c>
      <c r="X126" s="1"/>
      <c r="Y126" s="1"/>
      <c r="Z126" s="1" t="s">
        <v>79</v>
      </c>
      <c r="AA126" s="1" t="s">
        <v>1035</v>
      </c>
      <c r="AB126" s="1" t="str">
        <f>"23220438000180"</f>
        <v>23220438000180</v>
      </c>
      <c r="AC126" s="1"/>
      <c r="AD126" s="1" t="s">
        <v>81</v>
      </c>
      <c r="AE126" s="1"/>
      <c r="AF126" s="1">
        <v>-45.920833</v>
      </c>
      <c r="AG126" s="1">
        <v>-23.228333</v>
      </c>
      <c r="AH126" s="1" t="s">
        <v>1036</v>
      </c>
      <c r="AI126" s="1"/>
      <c r="AJ126" s="1" t="s">
        <v>1037</v>
      </c>
      <c r="AK126" s="1"/>
      <c r="AL126" s="1"/>
      <c r="AM126" s="1" t="s">
        <v>65</v>
      </c>
      <c r="AN126" s="1"/>
      <c r="AO126" s="1"/>
      <c r="AP126" s="2" t="s">
        <v>1038</v>
      </c>
      <c r="AQ126" s="1"/>
      <c r="AR126" s="1" t="s">
        <v>407</v>
      </c>
      <c r="AS126" s="1"/>
      <c r="AT126" s="2" t="s">
        <v>70</v>
      </c>
    </row>
    <row r="127">
      <c r="A127" s="1">
        <v>2043840.0</v>
      </c>
      <c r="B127" s="1" t="s">
        <v>116</v>
      </c>
      <c r="C127" s="1" t="s">
        <v>117</v>
      </c>
      <c r="D127" s="1" t="s">
        <v>46</v>
      </c>
      <c r="E127" s="1" t="s">
        <v>1039</v>
      </c>
      <c r="F127" s="1"/>
      <c r="G127" s="1" t="s">
        <v>119</v>
      </c>
      <c r="H127" s="1" t="s">
        <v>50</v>
      </c>
      <c r="I127" s="1">
        <v>88620.0</v>
      </c>
      <c r="J127" s="1"/>
      <c r="K127" s="1"/>
      <c r="L127" s="1" t="s">
        <v>405</v>
      </c>
      <c r="M127" s="1" t="s">
        <v>1040</v>
      </c>
      <c r="N127" s="1" t="s">
        <v>74</v>
      </c>
      <c r="O127" s="1" t="s">
        <v>75</v>
      </c>
      <c r="P127" s="2" t="s">
        <v>1041</v>
      </c>
      <c r="Q127" s="1" t="s">
        <v>56</v>
      </c>
      <c r="R127" s="1"/>
      <c r="S127" s="1" t="s">
        <v>400</v>
      </c>
      <c r="T127" s="1">
        <v>4315602.0</v>
      </c>
      <c r="U127" s="1" t="s">
        <v>1042</v>
      </c>
      <c r="V127" s="1" t="s">
        <v>402</v>
      </c>
      <c r="W127" s="1" t="s">
        <v>60</v>
      </c>
      <c r="X127" s="1"/>
      <c r="Y127" s="1"/>
      <c r="Z127" s="1" t="s">
        <v>79</v>
      </c>
      <c r="AA127" s="1" t="s">
        <v>1043</v>
      </c>
      <c r="AB127" s="1" t="str">
        <f>"02336318000173"</f>
        <v>02336318000173</v>
      </c>
      <c r="AC127" s="1"/>
      <c r="AD127" s="1"/>
      <c r="AE127" s="1"/>
      <c r="AF127" s="1">
        <v>-52.106667</v>
      </c>
      <c r="AG127" s="1">
        <v>-32.031944</v>
      </c>
      <c r="AH127" s="1" t="s">
        <v>404</v>
      </c>
      <c r="AI127" s="1"/>
      <c r="AJ127" s="1" t="s">
        <v>405</v>
      </c>
      <c r="AK127" s="1"/>
      <c r="AL127" s="1" t="s">
        <v>128</v>
      </c>
      <c r="AM127" s="1" t="s">
        <v>65</v>
      </c>
      <c r="AN127" s="1" t="s">
        <v>1044</v>
      </c>
      <c r="AO127" s="2" t="s">
        <v>245</v>
      </c>
      <c r="AP127" s="2" t="s">
        <v>1045</v>
      </c>
      <c r="AQ127" s="1" t="s">
        <v>132</v>
      </c>
      <c r="AR127" s="1" t="s">
        <v>1046</v>
      </c>
      <c r="AS127" s="1" t="s">
        <v>408</v>
      </c>
      <c r="AT127" s="2" t="s">
        <v>70</v>
      </c>
    </row>
    <row r="128">
      <c r="A128" s="1"/>
      <c r="B128" s="1" t="s">
        <v>46</v>
      </c>
      <c r="C128" s="1" t="s">
        <v>47</v>
      </c>
      <c r="D128" s="1"/>
      <c r="E128" s="1" t="s">
        <v>1047</v>
      </c>
      <c r="F128" s="1"/>
      <c r="G128" s="1" t="s">
        <v>49</v>
      </c>
      <c r="H128" s="1" t="s">
        <v>72</v>
      </c>
      <c r="I128" s="1">
        <v>500.0</v>
      </c>
      <c r="J128" s="1"/>
      <c r="K128" s="1"/>
      <c r="L128" s="1"/>
      <c r="M128" s="1"/>
      <c r="N128" s="1" t="s">
        <v>257</v>
      </c>
      <c r="O128" s="1" t="s">
        <v>258</v>
      </c>
      <c r="P128" s="2" t="s">
        <v>1048</v>
      </c>
      <c r="Q128" s="1" t="s">
        <v>77</v>
      </c>
      <c r="R128" s="1"/>
      <c r="S128" s="1" t="s">
        <v>57</v>
      </c>
      <c r="T128" s="1">
        <v>3201209.0</v>
      </c>
      <c r="U128" s="1" t="s">
        <v>1049</v>
      </c>
      <c r="V128" s="1" t="s">
        <v>59</v>
      </c>
      <c r="W128" s="1" t="s">
        <v>78</v>
      </c>
      <c r="X128" s="1"/>
      <c r="Y128" s="1"/>
      <c r="Z128" s="1" t="s">
        <v>260</v>
      </c>
      <c r="AA128" s="1" t="s">
        <v>1050</v>
      </c>
      <c r="AB128" s="1" t="str">
        <f>"***538717**"</f>
        <v>***538717**</v>
      </c>
      <c r="AC128" s="1"/>
      <c r="AD128" s="1" t="s">
        <v>81</v>
      </c>
      <c r="AE128" s="1"/>
      <c r="AF128" s="1">
        <v>-41.206111</v>
      </c>
      <c r="AG128" s="1">
        <v>-20.859167</v>
      </c>
      <c r="AH128" s="1" t="s">
        <v>1051</v>
      </c>
      <c r="AI128" s="1"/>
      <c r="AJ128" s="1" t="s">
        <v>64</v>
      </c>
      <c r="AK128" s="1"/>
      <c r="AL128" s="1"/>
      <c r="AM128" s="1" t="s">
        <v>65</v>
      </c>
      <c r="AN128" s="1" t="s">
        <v>83</v>
      </c>
      <c r="AO128" s="1"/>
      <c r="AP128" s="2" t="s">
        <v>1052</v>
      </c>
      <c r="AQ128" s="1"/>
      <c r="AR128" s="1" t="s">
        <v>1053</v>
      </c>
      <c r="AS128" s="1"/>
      <c r="AT128" s="2" t="s">
        <v>70</v>
      </c>
    </row>
    <row r="129">
      <c r="A129" s="1"/>
      <c r="B129" s="1" t="s">
        <v>46</v>
      </c>
      <c r="C129" s="1" t="s">
        <v>47</v>
      </c>
      <c r="D129" s="1"/>
      <c r="E129" s="1" t="s">
        <v>1054</v>
      </c>
      <c r="F129" s="1"/>
      <c r="G129" s="1" t="s">
        <v>49</v>
      </c>
      <c r="H129" s="1" t="s">
        <v>50</v>
      </c>
      <c r="I129" s="1">
        <v>51000.0</v>
      </c>
      <c r="J129" s="1"/>
      <c r="K129" s="1" t="s">
        <v>92</v>
      </c>
      <c r="L129" s="1"/>
      <c r="M129" s="1" t="s">
        <v>1055</v>
      </c>
      <c r="N129" s="1" t="s">
        <v>94</v>
      </c>
      <c r="O129" s="1" t="s">
        <v>95</v>
      </c>
      <c r="P129" s="2" t="s">
        <v>1056</v>
      </c>
      <c r="Q129" s="1" t="s">
        <v>56</v>
      </c>
      <c r="R129" s="1"/>
      <c r="S129" s="1" t="s">
        <v>437</v>
      </c>
      <c r="T129" s="1">
        <v>2306405.0</v>
      </c>
      <c r="U129" s="1" t="s">
        <v>1057</v>
      </c>
      <c r="V129" s="1" t="s">
        <v>439</v>
      </c>
      <c r="W129" s="1" t="s">
        <v>60</v>
      </c>
      <c r="X129" s="1"/>
      <c r="Y129" s="1"/>
      <c r="Z129" s="1" t="s">
        <v>101</v>
      </c>
      <c r="AA129" s="1" t="s">
        <v>1058</v>
      </c>
      <c r="AB129" s="1" t="str">
        <f>"***655413**"</f>
        <v>***655413**</v>
      </c>
      <c r="AC129" s="1"/>
      <c r="AD129" s="1" t="s">
        <v>81</v>
      </c>
      <c r="AE129" s="1"/>
      <c r="AF129" s="1">
        <v>-39.470833</v>
      </c>
      <c r="AG129" s="1">
        <v>-3.199167</v>
      </c>
      <c r="AH129" s="1" t="s">
        <v>1059</v>
      </c>
      <c r="AI129" s="1"/>
      <c r="AJ129" s="1" t="s">
        <v>442</v>
      </c>
      <c r="AK129" s="1"/>
      <c r="AL129" s="1"/>
      <c r="AM129" s="1" t="s">
        <v>65</v>
      </c>
      <c r="AN129" s="1" t="s">
        <v>159</v>
      </c>
      <c r="AO129" s="1"/>
      <c r="AP129" s="2" t="s">
        <v>1060</v>
      </c>
      <c r="AQ129" s="1"/>
      <c r="AR129" s="1" t="s">
        <v>318</v>
      </c>
      <c r="AS129" s="1"/>
      <c r="AT129" s="2" t="s">
        <v>70</v>
      </c>
    </row>
    <row r="130">
      <c r="A130" s="1">
        <v>2043692.0</v>
      </c>
      <c r="B130" s="1" t="s">
        <v>116</v>
      </c>
      <c r="C130" s="1" t="s">
        <v>117</v>
      </c>
      <c r="D130" s="1" t="s">
        <v>46</v>
      </c>
      <c r="E130" s="1" t="s">
        <v>1061</v>
      </c>
      <c r="F130" s="1"/>
      <c r="G130" s="1" t="s">
        <v>119</v>
      </c>
      <c r="H130" s="1" t="s">
        <v>50</v>
      </c>
      <c r="I130" s="1">
        <v>1100.0</v>
      </c>
      <c r="J130" s="1"/>
      <c r="K130" s="1"/>
      <c r="L130" s="1" t="s">
        <v>485</v>
      </c>
      <c r="M130" s="1" t="s">
        <v>1062</v>
      </c>
      <c r="N130" s="1" t="s">
        <v>285</v>
      </c>
      <c r="O130" s="1" t="s">
        <v>286</v>
      </c>
      <c r="P130" s="2" t="s">
        <v>1063</v>
      </c>
      <c r="Q130" s="1" t="s">
        <v>56</v>
      </c>
      <c r="R130" s="2" t="s">
        <v>1064</v>
      </c>
      <c r="S130" s="1" t="s">
        <v>488</v>
      </c>
      <c r="T130" s="1">
        <v>1716703.0</v>
      </c>
      <c r="U130" s="1" t="s">
        <v>1065</v>
      </c>
      <c r="V130" s="1" t="s">
        <v>490</v>
      </c>
      <c r="W130" s="1" t="s">
        <v>172</v>
      </c>
      <c r="X130" s="1"/>
      <c r="Y130" s="1" t="str">
        <f>"02029000174202112"</f>
        <v>02029000174202112</v>
      </c>
      <c r="Z130" s="1" t="s">
        <v>292</v>
      </c>
      <c r="AA130" s="1" t="s">
        <v>1066</v>
      </c>
      <c r="AB130" s="1" t="str">
        <f>"31144507000142"</f>
        <v>31144507000142</v>
      </c>
      <c r="AC130" s="1"/>
      <c r="AD130" s="1"/>
      <c r="AE130" s="1"/>
      <c r="AF130" s="1">
        <v>-48.332778</v>
      </c>
      <c r="AG130" s="1">
        <v>-10.208611</v>
      </c>
      <c r="AH130" s="1" t="s">
        <v>1067</v>
      </c>
      <c r="AI130" s="1"/>
      <c r="AJ130" s="1" t="s">
        <v>485</v>
      </c>
      <c r="AK130" s="1"/>
      <c r="AL130" s="1" t="s">
        <v>128</v>
      </c>
      <c r="AM130" s="1" t="s">
        <v>65</v>
      </c>
      <c r="AN130" s="1" t="s">
        <v>296</v>
      </c>
      <c r="AO130" s="2" t="s">
        <v>1068</v>
      </c>
      <c r="AP130" s="2" t="s">
        <v>1069</v>
      </c>
      <c r="AQ130" s="1" t="s">
        <v>132</v>
      </c>
      <c r="AR130" s="1" t="s">
        <v>693</v>
      </c>
      <c r="AS130" s="1"/>
      <c r="AT130" s="2" t="s">
        <v>70</v>
      </c>
    </row>
    <row r="131">
      <c r="A131" s="1">
        <v>2043841.0</v>
      </c>
      <c r="B131" s="1" t="s">
        <v>116</v>
      </c>
      <c r="C131" s="1" t="s">
        <v>117</v>
      </c>
      <c r="D131" s="1" t="s">
        <v>46</v>
      </c>
      <c r="E131" s="1" t="s">
        <v>1070</v>
      </c>
      <c r="F131" s="1"/>
      <c r="G131" s="1" t="s">
        <v>119</v>
      </c>
      <c r="H131" s="1" t="s">
        <v>50</v>
      </c>
      <c r="I131" s="1">
        <v>88620.0</v>
      </c>
      <c r="J131" s="1"/>
      <c r="K131" s="1"/>
      <c r="L131" s="1" t="s">
        <v>405</v>
      </c>
      <c r="M131" s="1" t="s">
        <v>1071</v>
      </c>
      <c r="N131" s="1" t="s">
        <v>74</v>
      </c>
      <c r="O131" s="1" t="s">
        <v>75</v>
      </c>
      <c r="P131" s="2" t="s">
        <v>1063</v>
      </c>
      <c r="Q131" s="1" t="s">
        <v>56</v>
      </c>
      <c r="R131" s="1"/>
      <c r="S131" s="1" t="s">
        <v>400</v>
      </c>
      <c r="T131" s="1">
        <v>4315602.0</v>
      </c>
      <c r="U131" s="1" t="s">
        <v>1042</v>
      </c>
      <c r="V131" s="1" t="s">
        <v>402</v>
      </c>
      <c r="W131" s="1" t="s">
        <v>60</v>
      </c>
      <c r="X131" s="1"/>
      <c r="Y131" s="1"/>
      <c r="Z131" s="1" t="s">
        <v>79</v>
      </c>
      <c r="AA131" s="1" t="s">
        <v>1072</v>
      </c>
      <c r="AB131" s="1" t="str">
        <f>"40564526000119"</f>
        <v>40564526000119</v>
      </c>
      <c r="AC131" s="1"/>
      <c r="AD131" s="1"/>
      <c r="AE131" s="1"/>
      <c r="AF131" s="1">
        <v>-52.104167</v>
      </c>
      <c r="AG131" s="1">
        <v>-32.030833</v>
      </c>
      <c r="AH131" s="1" t="s">
        <v>1073</v>
      </c>
      <c r="AI131" s="1"/>
      <c r="AJ131" s="1" t="s">
        <v>405</v>
      </c>
      <c r="AK131" s="1"/>
      <c r="AL131" s="1" t="s">
        <v>128</v>
      </c>
      <c r="AM131" s="1" t="s">
        <v>65</v>
      </c>
      <c r="AN131" s="1" t="s">
        <v>1044</v>
      </c>
      <c r="AO131" s="2" t="s">
        <v>245</v>
      </c>
      <c r="AP131" s="2" t="s">
        <v>1074</v>
      </c>
      <c r="AQ131" s="1" t="s">
        <v>132</v>
      </c>
      <c r="AR131" s="1" t="s">
        <v>1046</v>
      </c>
      <c r="AS131" s="1" t="s">
        <v>408</v>
      </c>
      <c r="AT131" s="2" t="s">
        <v>70</v>
      </c>
    </row>
    <row r="132">
      <c r="A132" s="1">
        <v>2043716.0</v>
      </c>
      <c r="B132" s="1" t="s">
        <v>116</v>
      </c>
      <c r="C132" s="1" t="s">
        <v>117</v>
      </c>
      <c r="D132" s="1" t="s">
        <v>46</v>
      </c>
      <c r="E132" s="1" t="s">
        <v>1075</v>
      </c>
      <c r="F132" s="1"/>
      <c r="G132" s="1" t="s">
        <v>119</v>
      </c>
      <c r="H132" s="1" t="s">
        <v>50</v>
      </c>
      <c r="I132" s="1">
        <v>2000.0</v>
      </c>
      <c r="J132" s="1"/>
      <c r="K132" s="1"/>
      <c r="L132" s="1" t="s">
        <v>295</v>
      </c>
      <c r="M132" s="1" t="s">
        <v>350</v>
      </c>
      <c r="N132" s="1" t="s">
        <v>186</v>
      </c>
      <c r="O132" s="1" t="s">
        <v>95</v>
      </c>
      <c r="P132" s="2" t="s">
        <v>1076</v>
      </c>
      <c r="Q132" s="1" t="s">
        <v>56</v>
      </c>
      <c r="R132" s="2" t="s">
        <v>1064</v>
      </c>
      <c r="S132" s="1" t="s">
        <v>288</v>
      </c>
      <c r="T132" s="1">
        <v>2210656.0</v>
      </c>
      <c r="U132" s="1" t="s">
        <v>1077</v>
      </c>
      <c r="V132" s="1" t="s">
        <v>290</v>
      </c>
      <c r="W132" s="1" t="s">
        <v>172</v>
      </c>
      <c r="X132" s="1"/>
      <c r="Y132" s="1" t="str">
        <f>"02020000319202165"</f>
        <v>02020000319202165</v>
      </c>
      <c r="Z132" s="1" t="s">
        <v>101</v>
      </c>
      <c r="AA132" s="1" t="s">
        <v>1078</v>
      </c>
      <c r="AB132" s="1" t="str">
        <f>"10693512000134"</f>
        <v>10693512000134</v>
      </c>
      <c r="AC132" s="1"/>
      <c r="AD132" s="1"/>
      <c r="AE132" s="1"/>
      <c r="AF132" s="1">
        <v>-42.783889</v>
      </c>
      <c r="AG132" s="1">
        <v>-5.065</v>
      </c>
      <c r="AH132" s="1" t="s">
        <v>944</v>
      </c>
      <c r="AI132" s="1"/>
      <c r="AJ132" s="1" t="s">
        <v>295</v>
      </c>
      <c r="AK132" s="1"/>
      <c r="AL132" s="1" t="s">
        <v>128</v>
      </c>
      <c r="AM132" s="1" t="s">
        <v>65</v>
      </c>
      <c r="AN132" s="1" t="s">
        <v>296</v>
      </c>
      <c r="AO132" s="2" t="s">
        <v>778</v>
      </c>
      <c r="AP132" s="2" t="s">
        <v>1079</v>
      </c>
      <c r="AQ132" s="1" t="s">
        <v>132</v>
      </c>
      <c r="AR132" s="1" t="s">
        <v>531</v>
      </c>
      <c r="AS132" s="1"/>
      <c r="AT132" s="2" t="s">
        <v>70</v>
      </c>
    </row>
    <row r="133">
      <c r="A133" s="1">
        <v>2043819.0</v>
      </c>
      <c r="B133" s="1" t="s">
        <v>116</v>
      </c>
      <c r="C133" s="1" t="s">
        <v>117</v>
      </c>
      <c r="D133" s="1" t="s">
        <v>46</v>
      </c>
      <c r="E133" s="1" t="s">
        <v>1080</v>
      </c>
      <c r="F133" s="1"/>
      <c r="G133" s="1" t="s">
        <v>119</v>
      </c>
      <c r="H133" s="1" t="s">
        <v>50</v>
      </c>
      <c r="I133" s="1">
        <v>500500.0</v>
      </c>
      <c r="J133" s="1"/>
      <c r="K133" s="1"/>
      <c r="L133" s="1" t="s">
        <v>120</v>
      </c>
      <c r="M133" s="1" t="s">
        <v>1081</v>
      </c>
      <c r="N133" s="1" t="s">
        <v>186</v>
      </c>
      <c r="O133" s="1" t="s">
        <v>302</v>
      </c>
      <c r="P133" s="2" t="s">
        <v>1082</v>
      </c>
      <c r="Q133" s="1" t="s">
        <v>56</v>
      </c>
      <c r="R133" s="1"/>
      <c r="S133" s="1" t="s">
        <v>608</v>
      </c>
      <c r="T133" s="1">
        <v>2408102.0</v>
      </c>
      <c r="U133" s="1" t="s">
        <v>1083</v>
      </c>
      <c r="V133" s="1" t="s">
        <v>1084</v>
      </c>
      <c r="W133" s="1" t="s">
        <v>291</v>
      </c>
      <c r="X133" s="1"/>
      <c r="Y133" s="1" t="str">
        <f>"02001004066202127"</f>
        <v>02001004066202127</v>
      </c>
      <c r="Z133" s="1" t="s">
        <v>306</v>
      </c>
      <c r="AA133" s="1" t="s">
        <v>1085</v>
      </c>
      <c r="AB133" s="1" t="str">
        <f>"33000167104900"</f>
        <v>33000167104900</v>
      </c>
      <c r="AC133" s="1"/>
      <c r="AD133" s="1"/>
      <c r="AE133" s="1"/>
      <c r="AF133" s="1">
        <v>-35.230833</v>
      </c>
      <c r="AG133" s="1">
        <v>-5.826667</v>
      </c>
      <c r="AH133" s="1" t="s">
        <v>1086</v>
      </c>
      <c r="AI133" s="1"/>
      <c r="AJ133" s="1" t="s">
        <v>120</v>
      </c>
      <c r="AK133" s="1"/>
      <c r="AL133" s="1" t="s">
        <v>128</v>
      </c>
      <c r="AM133" s="1" t="s">
        <v>65</v>
      </c>
      <c r="AN133" s="1" t="s">
        <v>66</v>
      </c>
      <c r="AO133" s="2" t="s">
        <v>468</v>
      </c>
      <c r="AP133" s="2" t="s">
        <v>1087</v>
      </c>
      <c r="AQ133" s="1" t="s">
        <v>132</v>
      </c>
      <c r="AR133" s="1" t="s">
        <v>1088</v>
      </c>
      <c r="AS133" s="1"/>
      <c r="AT133" s="2" t="s">
        <v>70</v>
      </c>
    </row>
    <row r="134">
      <c r="A134" s="1"/>
      <c r="B134" s="1" t="s">
        <v>46</v>
      </c>
      <c r="C134" s="1" t="s">
        <v>47</v>
      </c>
      <c r="D134" s="1"/>
      <c r="E134" s="1" t="s">
        <v>1089</v>
      </c>
      <c r="F134" s="1"/>
      <c r="G134" s="1" t="s">
        <v>217</v>
      </c>
      <c r="H134" s="1" t="s">
        <v>50</v>
      </c>
      <c r="I134" s="1"/>
      <c r="J134" s="1"/>
      <c r="K134" s="1"/>
      <c r="L134" s="1"/>
      <c r="M134" s="1" t="s">
        <v>1090</v>
      </c>
      <c r="N134" s="1" t="s">
        <v>186</v>
      </c>
      <c r="O134" s="1" t="s">
        <v>187</v>
      </c>
      <c r="P134" s="2" t="s">
        <v>1091</v>
      </c>
      <c r="Q134" s="1"/>
      <c r="R134" s="1"/>
      <c r="S134" s="1" t="s">
        <v>475</v>
      </c>
      <c r="T134" s="1">
        <v>3136702.0</v>
      </c>
      <c r="U134" s="1" t="s">
        <v>476</v>
      </c>
      <c r="V134" s="1" t="s">
        <v>477</v>
      </c>
      <c r="W134" s="1" t="s">
        <v>78</v>
      </c>
      <c r="X134" s="1"/>
      <c r="Y134" s="1" t="str">
        <f>"02555000026202140"</f>
        <v>02555000026202140</v>
      </c>
      <c r="Z134" s="1"/>
      <c r="AA134" s="1" t="s">
        <v>1092</v>
      </c>
      <c r="AB134" s="1" t="str">
        <f>"***809126**"</f>
        <v>***809126**</v>
      </c>
      <c r="AC134" s="1"/>
      <c r="AD134" s="1" t="s">
        <v>81</v>
      </c>
      <c r="AE134" s="1"/>
      <c r="AF134" s="1">
        <v>-43.381667</v>
      </c>
      <c r="AG134" s="1">
        <v>-21.794444</v>
      </c>
      <c r="AH134" s="1" t="s">
        <v>1093</v>
      </c>
      <c r="AI134" s="1"/>
      <c r="AJ134" s="1" t="s">
        <v>480</v>
      </c>
      <c r="AK134" s="1"/>
      <c r="AL134" s="1"/>
      <c r="AM134" s="1" t="s">
        <v>65</v>
      </c>
      <c r="AN134" s="1" t="s">
        <v>83</v>
      </c>
      <c r="AO134" s="1"/>
      <c r="AP134" s="2" t="s">
        <v>1094</v>
      </c>
      <c r="AQ134" s="1"/>
      <c r="AR134" s="1" t="s">
        <v>965</v>
      </c>
      <c r="AS134" s="1"/>
      <c r="AT134" s="2" t="s">
        <v>70</v>
      </c>
    </row>
    <row r="135">
      <c r="A135" s="1">
        <v>2043685.0</v>
      </c>
      <c r="B135" s="1" t="s">
        <v>116</v>
      </c>
      <c r="C135" s="1" t="s">
        <v>117</v>
      </c>
      <c r="D135" s="1" t="s">
        <v>46</v>
      </c>
      <c r="E135" s="1" t="s">
        <v>1095</v>
      </c>
      <c r="F135" s="1"/>
      <c r="G135" s="1" t="s">
        <v>119</v>
      </c>
      <c r="H135" s="1" t="s">
        <v>72</v>
      </c>
      <c r="I135" s="1">
        <v>29500.0</v>
      </c>
      <c r="J135" s="1"/>
      <c r="K135" s="1"/>
      <c r="L135" s="1" t="s">
        <v>1096</v>
      </c>
      <c r="M135" s="1" t="s">
        <v>1097</v>
      </c>
      <c r="N135" s="1" t="s">
        <v>257</v>
      </c>
      <c r="O135" s="1" t="s">
        <v>258</v>
      </c>
      <c r="P135" s="2" t="s">
        <v>1098</v>
      </c>
      <c r="Q135" s="1" t="s">
        <v>56</v>
      </c>
      <c r="R135" s="2" t="s">
        <v>1064</v>
      </c>
      <c r="S135" s="1" t="s">
        <v>475</v>
      </c>
      <c r="T135" s="1">
        <v>3170206.0</v>
      </c>
      <c r="U135" s="1" t="s">
        <v>1099</v>
      </c>
      <c r="V135" s="1" t="s">
        <v>477</v>
      </c>
      <c r="W135" s="1" t="s">
        <v>172</v>
      </c>
      <c r="X135" s="1"/>
      <c r="Y135" s="1" t="str">
        <f>"02553000061202189"</f>
        <v>02553000061202189</v>
      </c>
      <c r="Z135" s="1" t="s">
        <v>260</v>
      </c>
      <c r="AA135" s="1" t="s">
        <v>1100</v>
      </c>
      <c r="AB135" s="1" t="str">
        <f t="shared" ref="AB135:AB136" si="12">"***252161**"</f>
        <v>***252161**</v>
      </c>
      <c r="AC135" s="1"/>
      <c r="AD135" s="1"/>
      <c r="AE135" s="1"/>
      <c r="AF135" s="1">
        <v>-48.255</v>
      </c>
      <c r="AG135" s="1">
        <v>-18.891667</v>
      </c>
      <c r="AH135" s="1" t="s">
        <v>1101</v>
      </c>
      <c r="AI135" s="1"/>
      <c r="AJ135" s="1" t="s">
        <v>1096</v>
      </c>
      <c r="AK135" s="1"/>
      <c r="AL135" s="1" t="s">
        <v>128</v>
      </c>
      <c r="AM135" s="1" t="s">
        <v>65</v>
      </c>
      <c r="AN135" s="1"/>
      <c r="AO135" s="2" t="s">
        <v>1068</v>
      </c>
      <c r="AP135" s="2" t="s">
        <v>1102</v>
      </c>
      <c r="AQ135" s="1" t="s">
        <v>132</v>
      </c>
      <c r="AR135" s="1" t="s">
        <v>1103</v>
      </c>
      <c r="AS135" s="1"/>
      <c r="AT135" s="2" t="s">
        <v>70</v>
      </c>
    </row>
    <row r="136">
      <c r="A136" s="1">
        <v>2043686.0</v>
      </c>
      <c r="B136" s="1" t="s">
        <v>116</v>
      </c>
      <c r="C136" s="1" t="s">
        <v>117</v>
      </c>
      <c r="D136" s="1" t="s">
        <v>46</v>
      </c>
      <c r="E136" s="1" t="s">
        <v>1104</v>
      </c>
      <c r="F136" s="1"/>
      <c r="G136" s="1" t="s">
        <v>119</v>
      </c>
      <c r="H136" s="1" t="s">
        <v>72</v>
      </c>
      <c r="I136" s="1">
        <v>5000.0</v>
      </c>
      <c r="J136" s="1"/>
      <c r="K136" s="1"/>
      <c r="L136" s="1" t="s">
        <v>1096</v>
      </c>
      <c r="M136" s="1" t="s">
        <v>1105</v>
      </c>
      <c r="N136" s="1" t="s">
        <v>257</v>
      </c>
      <c r="O136" s="1" t="s">
        <v>258</v>
      </c>
      <c r="P136" s="2" t="s">
        <v>1098</v>
      </c>
      <c r="Q136" s="1" t="s">
        <v>56</v>
      </c>
      <c r="R136" s="2" t="s">
        <v>1064</v>
      </c>
      <c r="S136" s="1" t="s">
        <v>475</v>
      </c>
      <c r="T136" s="1">
        <v>3170206.0</v>
      </c>
      <c r="U136" s="1" t="s">
        <v>1099</v>
      </c>
      <c r="V136" s="1" t="s">
        <v>477</v>
      </c>
      <c r="W136" s="1" t="s">
        <v>172</v>
      </c>
      <c r="X136" s="1"/>
      <c r="Y136" s="1" t="str">
        <f>"02553000062202123"</f>
        <v>02553000062202123</v>
      </c>
      <c r="Z136" s="1" t="s">
        <v>260</v>
      </c>
      <c r="AA136" s="1" t="s">
        <v>1100</v>
      </c>
      <c r="AB136" s="1" t="str">
        <f t="shared" si="12"/>
        <v>***252161**</v>
      </c>
      <c r="AC136" s="1"/>
      <c r="AD136" s="1"/>
      <c r="AE136" s="1"/>
      <c r="AF136" s="1">
        <v>-48.255</v>
      </c>
      <c r="AG136" s="1">
        <v>-18.891667</v>
      </c>
      <c r="AH136" s="1" t="s">
        <v>1106</v>
      </c>
      <c r="AI136" s="1"/>
      <c r="AJ136" s="1" t="s">
        <v>1096</v>
      </c>
      <c r="AK136" s="1"/>
      <c r="AL136" s="1" t="s">
        <v>128</v>
      </c>
      <c r="AM136" s="1" t="s">
        <v>65</v>
      </c>
      <c r="AN136" s="1"/>
      <c r="AO136" s="2" t="s">
        <v>1068</v>
      </c>
      <c r="AP136" s="2" t="s">
        <v>1107</v>
      </c>
      <c r="AQ136" s="1" t="s">
        <v>132</v>
      </c>
      <c r="AR136" s="1" t="s">
        <v>1108</v>
      </c>
      <c r="AS136" s="1"/>
      <c r="AT136" s="2" t="s">
        <v>70</v>
      </c>
    </row>
    <row r="137">
      <c r="A137" s="1">
        <v>2043821.0</v>
      </c>
      <c r="B137" s="1" t="s">
        <v>116</v>
      </c>
      <c r="C137" s="1" t="s">
        <v>117</v>
      </c>
      <c r="D137" s="1" t="s">
        <v>46</v>
      </c>
      <c r="E137" s="1" t="s">
        <v>1109</v>
      </c>
      <c r="F137" s="1"/>
      <c r="G137" s="1" t="s">
        <v>119</v>
      </c>
      <c r="H137" s="1" t="s">
        <v>50</v>
      </c>
      <c r="I137" s="1">
        <v>500500.0</v>
      </c>
      <c r="J137" s="1"/>
      <c r="K137" s="1"/>
      <c r="L137" s="1" t="s">
        <v>120</v>
      </c>
      <c r="M137" s="1" t="s">
        <v>1110</v>
      </c>
      <c r="N137" s="1" t="s">
        <v>186</v>
      </c>
      <c r="O137" s="1" t="s">
        <v>302</v>
      </c>
      <c r="P137" s="2" t="s">
        <v>1111</v>
      </c>
      <c r="Q137" s="1" t="s">
        <v>56</v>
      </c>
      <c r="R137" s="1"/>
      <c r="S137" s="1" t="s">
        <v>241</v>
      </c>
      <c r="T137" s="1">
        <v>2408102.0</v>
      </c>
      <c r="U137" s="1" t="s">
        <v>1083</v>
      </c>
      <c r="V137" s="1" t="s">
        <v>1084</v>
      </c>
      <c r="W137" s="1" t="s">
        <v>291</v>
      </c>
      <c r="X137" s="1"/>
      <c r="Y137" s="1" t="str">
        <f>"02001004068202116"</f>
        <v>02001004068202116</v>
      </c>
      <c r="Z137" s="1" t="s">
        <v>306</v>
      </c>
      <c r="AA137" s="1" t="s">
        <v>1085</v>
      </c>
      <c r="AB137" s="1" t="str">
        <f>"33000167104900"</f>
        <v>33000167104900</v>
      </c>
      <c r="AC137" s="1"/>
      <c r="AD137" s="1"/>
      <c r="AE137" s="1"/>
      <c r="AF137" s="1">
        <v>-35.230833</v>
      </c>
      <c r="AG137" s="1">
        <v>-5.826667</v>
      </c>
      <c r="AH137" s="1" t="s">
        <v>1112</v>
      </c>
      <c r="AI137" s="1"/>
      <c r="AJ137" s="1" t="s">
        <v>120</v>
      </c>
      <c r="AK137" s="1"/>
      <c r="AL137" s="1" t="s">
        <v>128</v>
      </c>
      <c r="AM137" s="1" t="s">
        <v>65</v>
      </c>
      <c r="AN137" s="1" t="s">
        <v>66</v>
      </c>
      <c r="AO137" s="2" t="s">
        <v>468</v>
      </c>
      <c r="AP137" s="2" t="s">
        <v>1113</v>
      </c>
      <c r="AQ137" s="1" t="s">
        <v>132</v>
      </c>
      <c r="AR137" s="1" t="s">
        <v>1088</v>
      </c>
      <c r="AS137" s="1"/>
      <c r="AT137" s="2" t="s">
        <v>70</v>
      </c>
    </row>
    <row r="138">
      <c r="A138" s="1">
        <v>2043858.0</v>
      </c>
      <c r="B138" s="1" t="s">
        <v>116</v>
      </c>
      <c r="C138" s="1" t="s">
        <v>117</v>
      </c>
      <c r="D138" s="1" t="s">
        <v>46</v>
      </c>
      <c r="E138" s="1" t="s">
        <v>1114</v>
      </c>
      <c r="F138" s="1"/>
      <c r="G138" s="1" t="s">
        <v>119</v>
      </c>
      <c r="H138" s="1" t="s">
        <v>72</v>
      </c>
      <c r="I138" s="1">
        <v>11046.0</v>
      </c>
      <c r="J138" s="1"/>
      <c r="K138" s="1"/>
      <c r="L138" s="1" t="s">
        <v>295</v>
      </c>
      <c r="M138" s="1" t="s">
        <v>1115</v>
      </c>
      <c r="N138" s="1" t="s">
        <v>109</v>
      </c>
      <c r="O138" s="1" t="s">
        <v>110</v>
      </c>
      <c r="P138" s="2" t="s">
        <v>1116</v>
      </c>
      <c r="Q138" s="1" t="s">
        <v>77</v>
      </c>
      <c r="R138" s="2" t="s">
        <v>1064</v>
      </c>
      <c r="S138" s="1" t="s">
        <v>288</v>
      </c>
      <c r="T138" s="1">
        <v>2211001.0</v>
      </c>
      <c r="U138" s="1" t="s">
        <v>527</v>
      </c>
      <c r="V138" s="1" t="s">
        <v>290</v>
      </c>
      <c r="W138" s="1" t="s">
        <v>291</v>
      </c>
      <c r="X138" s="1"/>
      <c r="Y138" s="1" t="str">
        <f>"02020000350202104"</f>
        <v>02020000350202104</v>
      </c>
      <c r="Z138" s="1" t="s">
        <v>112</v>
      </c>
      <c r="AA138" s="1" t="s">
        <v>1117</v>
      </c>
      <c r="AB138" s="1" t="str">
        <f>"***476052**"</f>
        <v>***476052**</v>
      </c>
      <c r="AC138" s="1"/>
      <c r="AD138" s="1"/>
      <c r="AE138" s="1"/>
      <c r="AF138" s="1">
        <v>-42.784444</v>
      </c>
      <c r="AG138" s="1">
        <v>-5.065278</v>
      </c>
      <c r="AH138" s="1" t="s">
        <v>1118</v>
      </c>
      <c r="AI138" s="1"/>
      <c r="AJ138" s="1" t="s">
        <v>295</v>
      </c>
      <c r="AK138" s="1"/>
      <c r="AL138" s="1" t="s">
        <v>128</v>
      </c>
      <c r="AM138" s="1" t="s">
        <v>65</v>
      </c>
      <c r="AN138" s="1" t="s">
        <v>159</v>
      </c>
      <c r="AO138" s="2" t="s">
        <v>999</v>
      </c>
      <c r="AP138" s="2" t="s">
        <v>1119</v>
      </c>
      <c r="AQ138" s="1" t="s">
        <v>132</v>
      </c>
      <c r="AR138" s="1" t="s">
        <v>133</v>
      </c>
      <c r="AS138" s="1"/>
      <c r="AT138" s="2" t="s">
        <v>70</v>
      </c>
    </row>
    <row r="139">
      <c r="A139" s="1"/>
      <c r="B139" s="1" t="s">
        <v>46</v>
      </c>
      <c r="C139" s="1" t="s">
        <v>47</v>
      </c>
      <c r="D139" s="1"/>
      <c r="E139" s="1" t="s">
        <v>1120</v>
      </c>
      <c r="F139" s="1"/>
      <c r="G139" s="1" t="s">
        <v>49</v>
      </c>
      <c r="H139" s="1" t="s">
        <v>72</v>
      </c>
      <c r="I139" s="1">
        <v>6900.51</v>
      </c>
      <c r="J139" s="1"/>
      <c r="K139" s="1"/>
      <c r="L139" s="1"/>
      <c r="M139" s="1" t="s">
        <v>1121</v>
      </c>
      <c r="N139" s="1" t="s">
        <v>109</v>
      </c>
      <c r="O139" s="1" t="s">
        <v>110</v>
      </c>
      <c r="P139" s="2" t="s">
        <v>1122</v>
      </c>
      <c r="Q139" s="1" t="s">
        <v>56</v>
      </c>
      <c r="R139" s="1"/>
      <c r="S139" s="1" t="s">
        <v>582</v>
      </c>
      <c r="T139" s="1">
        <v>1400100.0</v>
      </c>
      <c r="U139" s="1" t="s">
        <v>1123</v>
      </c>
      <c r="V139" s="1" t="s">
        <v>584</v>
      </c>
      <c r="W139" s="1" t="s">
        <v>100</v>
      </c>
      <c r="X139" s="1"/>
      <c r="Y139" s="1"/>
      <c r="Z139" s="1" t="s">
        <v>112</v>
      </c>
      <c r="AA139" s="1" t="s">
        <v>1124</v>
      </c>
      <c r="AB139" s="1" t="str">
        <f>"26452626000122"</f>
        <v>26452626000122</v>
      </c>
      <c r="AC139" s="1"/>
      <c r="AD139" s="1" t="s">
        <v>62</v>
      </c>
      <c r="AE139" s="1"/>
      <c r="AF139" s="1">
        <v>-60.750111</v>
      </c>
      <c r="AG139" s="1">
        <v>2.8435</v>
      </c>
      <c r="AH139" s="1" t="s">
        <v>1125</v>
      </c>
      <c r="AI139" s="1"/>
      <c r="AJ139" s="1" t="s">
        <v>587</v>
      </c>
      <c r="AK139" s="1"/>
      <c r="AL139" s="1"/>
      <c r="AM139" s="1" t="s">
        <v>65</v>
      </c>
      <c r="AN139" s="1" t="s">
        <v>159</v>
      </c>
      <c r="AO139" s="1"/>
      <c r="AP139" s="2" t="s">
        <v>1126</v>
      </c>
      <c r="AQ139" s="1"/>
      <c r="AR139" s="1" t="s">
        <v>115</v>
      </c>
      <c r="AS139" s="1"/>
      <c r="AT139" s="2" t="s">
        <v>70</v>
      </c>
    </row>
    <row r="140">
      <c r="A140" s="1"/>
      <c r="B140" s="1" t="s">
        <v>46</v>
      </c>
      <c r="C140" s="1" t="s">
        <v>47</v>
      </c>
      <c r="D140" s="1"/>
      <c r="E140" s="1" t="s">
        <v>1127</v>
      </c>
      <c r="F140" s="1"/>
      <c r="G140" s="1" t="s">
        <v>49</v>
      </c>
      <c r="H140" s="1" t="s">
        <v>50</v>
      </c>
      <c r="I140" s="1">
        <v>10105.0</v>
      </c>
      <c r="J140" s="1"/>
      <c r="K140" s="1" t="s">
        <v>92</v>
      </c>
      <c r="L140" s="1"/>
      <c r="M140" s="1" t="s">
        <v>1128</v>
      </c>
      <c r="N140" s="1" t="s">
        <v>301</v>
      </c>
      <c r="O140" s="1" t="s">
        <v>302</v>
      </c>
      <c r="P140" s="2" t="s">
        <v>1129</v>
      </c>
      <c r="Q140" s="1" t="s">
        <v>56</v>
      </c>
      <c r="R140" s="1"/>
      <c r="S140" s="1" t="s">
        <v>437</v>
      </c>
      <c r="T140" s="1">
        <v>2301109.0</v>
      </c>
      <c r="U140" s="1" t="s">
        <v>1130</v>
      </c>
      <c r="V140" s="1" t="s">
        <v>439</v>
      </c>
      <c r="W140" s="1" t="s">
        <v>291</v>
      </c>
      <c r="X140" s="1"/>
      <c r="Y140" s="1"/>
      <c r="Z140" s="1" t="s">
        <v>306</v>
      </c>
      <c r="AA140" s="1" t="s">
        <v>1131</v>
      </c>
      <c r="AB140" s="1" t="str">
        <f>"11141444000244"</f>
        <v>11141444000244</v>
      </c>
      <c r="AC140" s="1"/>
      <c r="AD140" s="1" t="s">
        <v>62</v>
      </c>
      <c r="AE140" s="1"/>
      <c r="AF140" s="1">
        <v>-37.821667</v>
      </c>
      <c r="AG140" s="1">
        <v>-4.619167</v>
      </c>
      <c r="AH140" s="1" t="s">
        <v>1132</v>
      </c>
      <c r="AI140" s="1"/>
      <c r="AJ140" s="1" t="s">
        <v>442</v>
      </c>
      <c r="AK140" s="1"/>
      <c r="AL140" s="1"/>
      <c r="AM140" s="1" t="s">
        <v>65</v>
      </c>
      <c r="AN140" s="1" t="s">
        <v>159</v>
      </c>
      <c r="AO140" s="1"/>
      <c r="AP140" s="2" t="s">
        <v>1133</v>
      </c>
      <c r="AQ140" s="1"/>
      <c r="AR140" s="1" t="s">
        <v>463</v>
      </c>
      <c r="AS140" s="1"/>
      <c r="AT140" s="2" t="s">
        <v>70</v>
      </c>
    </row>
    <row r="141">
      <c r="A141" s="1"/>
      <c r="B141" s="1" t="s">
        <v>46</v>
      </c>
      <c r="C141" s="1" t="s">
        <v>47</v>
      </c>
      <c r="D141" s="1"/>
      <c r="E141" s="1" t="s">
        <v>1134</v>
      </c>
      <c r="F141" s="1"/>
      <c r="G141" s="1" t="s">
        <v>49</v>
      </c>
      <c r="H141" s="1" t="s">
        <v>72</v>
      </c>
      <c r="I141" s="1">
        <v>1800.0</v>
      </c>
      <c r="J141" s="1"/>
      <c r="K141" s="1"/>
      <c r="L141" s="1"/>
      <c r="M141" s="1" t="s">
        <v>1135</v>
      </c>
      <c r="N141" s="1" t="s">
        <v>109</v>
      </c>
      <c r="O141" s="1" t="s">
        <v>110</v>
      </c>
      <c r="P141" s="2" t="s">
        <v>1136</v>
      </c>
      <c r="Q141" s="1" t="s">
        <v>77</v>
      </c>
      <c r="R141" s="1"/>
      <c r="S141" s="1" t="s">
        <v>220</v>
      </c>
      <c r="T141" s="1">
        <v>1600501.0</v>
      </c>
      <c r="U141" s="1" t="s">
        <v>1137</v>
      </c>
      <c r="V141" s="1" t="s">
        <v>1138</v>
      </c>
      <c r="W141" s="1" t="s">
        <v>100</v>
      </c>
      <c r="X141" s="1"/>
      <c r="Y141" s="1"/>
      <c r="Z141" s="1" t="s">
        <v>112</v>
      </c>
      <c r="AA141" s="1" t="s">
        <v>1139</v>
      </c>
      <c r="AB141" s="1" t="str">
        <f>"***441033**"</f>
        <v>***441033**</v>
      </c>
      <c r="AC141" s="1"/>
      <c r="AD141" s="1" t="s">
        <v>81</v>
      </c>
      <c r="AE141" s="1"/>
      <c r="AF141" s="1">
        <v>-51.8341</v>
      </c>
      <c r="AG141" s="1">
        <v>35.842417</v>
      </c>
      <c r="AH141" s="1" t="s">
        <v>1140</v>
      </c>
      <c r="AI141" s="1"/>
      <c r="AJ141" s="1" t="s">
        <v>1141</v>
      </c>
      <c r="AK141" s="1"/>
      <c r="AL141" s="1"/>
      <c r="AM141" s="1" t="s">
        <v>65</v>
      </c>
      <c r="AN141" s="1"/>
      <c r="AO141" s="1"/>
      <c r="AP141" s="2" t="s">
        <v>1142</v>
      </c>
      <c r="AQ141" s="1"/>
      <c r="AR141" s="1" t="s">
        <v>1143</v>
      </c>
      <c r="AS141" s="1"/>
      <c r="AT141" s="2" t="s">
        <v>70</v>
      </c>
    </row>
    <row r="142">
      <c r="A142" s="1"/>
      <c r="B142" s="1" t="s">
        <v>46</v>
      </c>
      <c r="C142" s="1" t="s">
        <v>47</v>
      </c>
      <c r="D142" s="1"/>
      <c r="E142" s="1" t="s">
        <v>1144</v>
      </c>
      <c r="F142" s="1"/>
      <c r="G142" s="1" t="s">
        <v>49</v>
      </c>
      <c r="H142" s="1" t="s">
        <v>50</v>
      </c>
      <c r="I142" s="1">
        <v>75200.0</v>
      </c>
      <c r="J142" s="1"/>
      <c r="K142" s="1" t="s">
        <v>92</v>
      </c>
      <c r="L142" s="1"/>
      <c r="M142" s="1" t="s">
        <v>1145</v>
      </c>
      <c r="N142" s="1" t="s">
        <v>74</v>
      </c>
      <c r="O142" s="1" t="s">
        <v>75</v>
      </c>
      <c r="P142" s="2" t="s">
        <v>1146</v>
      </c>
      <c r="Q142" s="1" t="s">
        <v>56</v>
      </c>
      <c r="R142" s="1"/>
      <c r="S142" s="1" t="s">
        <v>400</v>
      </c>
      <c r="T142" s="1">
        <v>4318507.0</v>
      </c>
      <c r="U142" s="1" t="s">
        <v>1147</v>
      </c>
      <c r="V142" s="1" t="s">
        <v>402</v>
      </c>
      <c r="W142" s="1" t="s">
        <v>60</v>
      </c>
      <c r="X142" s="1"/>
      <c r="Y142" s="1"/>
      <c r="Z142" s="1" t="s">
        <v>79</v>
      </c>
      <c r="AA142" s="1" t="s">
        <v>1148</v>
      </c>
      <c r="AB142" s="1" t="str">
        <f>"19220160000174"</f>
        <v>19220160000174</v>
      </c>
      <c r="AC142" s="1"/>
      <c r="AD142" s="1" t="s">
        <v>81</v>
      </c>
      <c r="AE142" s="1"/>
      <c r="AF142" s="1">
        <v>-52.039444</v>
      </c>
      <c r="AG142" s="1">
        <v>-32.011944</v>
      </c>
      <c r="AH142" s="1" t="s">
        <v>1149</v>
      </c>
      <c r="AI142" s="1"/>
      <c r="AJ142" s="1" t="s">
        <v>405</v>
      </c>
      <c r="AK142" s="1"/>
      <c r="AL142" s="1"/>
      <c r="AM142" s="1" t="s">
        <v>65</v>
      </c>
      <c r="AN142" s="1" t="s">
        <v>1044</v>
      </c>
      <c r="AO142" s="1"/>
      <c r="AP142" s="2" t="s">
        <v>1150</v>
      </c>
      <c r="AQ142" s="1"/>
      <c r="AR142" s="1" t="s">
        <v>407</v>
      </c>
      <c r="AS142" s="1" t="s">
        <v>1151</v>
      </c>
      <c r="AT142" s="2" t="s">
        <v>70</v>
      </c>
    </row>
    <row r="143">
      <c r="A143" s="1"/>
      <c r="B143" s="1" t="s">
        <v>46</v>
      </c>
      <c r="C143" s="1" t="s">
        <v>47</v>
      </c>
      <c r="D143" s="1"/>
      <c r="E143" s="1" t="s">
        <v>1152</v>
      </c>
      <c r="F143" s="1"/>
      <c r="G143" s="1" t="s">
        <v>49</v>
      </c>
      <c r="H143" s="1" t="s">
        <v>50</v>
      </c>
      <c r="I143" s="1">
        <v>75200.0</v>
      </c>
      <c r="J143" s="1"/>
      <c r="K143" s="1" t="s">
        <v>92</v>
      </c>
      <c r="L143" s="1"/>
      <c r="M143" s="1" t="s">
        <v>1153</v>
      </c>
      <c r="N143" s="1" t="s">
        <v>74</v>
      </c>
      <c r="O143" s="1" t="s">
        <v>75</v>
      </c>
      <c r="P143" s="2" t="s">
        <v>1154</v>
      </c>
      <c r="Q143" s="1" t="s">
        <v>56</v>
      </c>
      <c r="R143" s="1"/>
      <c r="S143" s="1" t="s">
        <v>400</v>
      </c>
      <c r="T143" s="1">
        <v>4318507.0</v>
      </c>
      <c r="U143" s="1" t="s">
        <v>1147</v>
      </c>
      <c r="V143" s="1" t="s">
        <v>402</v>
      </c>
      <c r="W143" s="1" t="s">
        <v>60</v>
      </c>
      <c r="X143" s="1"/>
      <c r="Y143" s="1"/>
      <c r="Z143" s="1" t="s">
        <v>79</v>
      </c>
      <c r="AA143" s="1" t="s">
        <v>1155</v>
      </c>
      <c r="AB143" s="1" t="str">
        <f>"26746882000203"</f>
        <v>26746882000203</v>
      </c>
      <c r="AC143" s="1"/>
      <c r="AD143" s="1" t="s">
        <v>81</v>
      </c>
      <c r="AE143" s="1"/>
      <c r="AF143" s="1">
        <v>-52.035278</v>
      </c>
      <c r="AG143" s="1">
        <v>-32.011667</v>
      </c>
      <c r="AH143" s="1" t="s">
        <v>1149</v>
      </c>
      <c r="AI143" s="1"/>
      <c r="AJ143" s="1" t="s">
        <v>405</v>
      </c>
      <c r="AK143" s="1"/>
      <c r="AL143" s="1"/>
      <c r="AM143" s="1" t="s">
        <v>65</v>
      </c>
      <c r="AN143" s="1" t="s">
        <v>1044</v>
      </c>
      <c r="AO143" s="1"/>
      <c r="AP143" s="2" t="s">
        <v>1156</v>
      </c>
      <c r="AQ143" s="1"/>
      <c r="AR143" s="1" t="s">
        <v>407</v>
      </c>
      <c r="AS143" s="1" t="s">
        <v>1157</v>
      </c>
      <c r="AT143" s="2" t="s">
        <v>70</v>
      </c>
    </row>
    <row r="144">
      <c r="A144" s="1">
        <v>2043717.0</v>
      </c>
      <c r="B144" s="1" t="s">
        <v>116</v>
      </c>
      <c r="C144" s="1" t="s">
        <v>117</v>
      </c>
      <c r="D144" s="1" t="s">
        <v>46</v>
      </c>
      <c r="E144" s="1" t="s">
        <v>1158</v>
      </c>
      <c r="F144" s="1"/>
      <c r="G144" s="1" t="s">
        <v>119</v>
      </c>
      <c r="H144" s="1" t="s">
        <v>50</v>
      </c>
      <c r="I144" s="1">
        <v>2000.0</v>
      </c>
      <c r="J144" s="1"/>
      <c r="K144" s="1"/>
      <c r="L144" s="1" t="s">
        <v>295</v>
      </c>
      <c r="M144" s="1" t="s">
        <v>350</v>
      </c>
      <c r="N144" s="1" t="s">
        <v>186</v>
      </c>
      <c r="O144" s="1" t="s">
        <v>95</v>
      </c>
      <c r="P144" s="2" t="s">
        <v>1159</v>
      </c>
      <c r="Q144" s="1" t="s">
        <v>56</v>
      </c>
      <c r="R144" s="2" t="s">
        <v>1160</v>
      </c>
      <c r="S144" s="1" t="s">
        <v>288</v>
      </c>
      <c r="T144" s="1">
        <v>2211001.0</v>
      </c>
      <c r="U144" s="1" t="s">
        <v>527</v>
      </c>
      <c r="V144" s="1" t="s">
        <v>290</v>
      </c>
      <c r="W144" s="1" t="s">
        <v>172</v>
      </c>
      <c r="X144" s="1"/>
      <c r="Y144" s="1" t="str">
        <f>"02020000320202190"</f>
        <v>02020000320202190</v>
      </c>
      <c r="Z144" s="1" t="s">
        <v>101</v>
      </c>
      <c r="AA144" s="1" t="s">
        <v>1161</v>
      </c>
      <c r="AB144" s="1" t="str">
        <f>"06177108000130"</f>
        <v>06177108000130</v>
      </c>
      <c r="AC144" s="1"/>
      <c r="AD144" s="1"/>
      <c r="AE144" s="1"/>
      <c r="AF144" s="1">
        <v>-42.783889</v>
      </c>
      <c r="AG144" s="1">
        <v>-5.065</v>
      </c>
      <c r="AH144" s="1" t="s">
        <v>1162</v>
      </c>
      <c r="AI144" s="1"/>
      <c r="AJ144" s="1" t="s">
        <v>295</v>
      </c>
      <c r="AK144" s="1"/>
      <c r="AL144" s="1" t="s">
        <v>128</v>
      </c>
      <c r="AM144" s="1" t="s">
        <v>65</v>
      </c>
      <c r="AN144" s="1" t="s">
        <v>296</v>
      </c>
      <c r="AO144" s="2" t="s">
        <v>778</v>
      </c>
      <c r="AP144" s="2" t="s">
        <v>1163</v>
      </c>
      <c r="AQ144" s="1" t="s">
        <v>132</v>
      </c>
      <c r="AR144" s="1" t="s">
        <v>531</v>
      </c>
      <c r="AS144" s="1"/>
      <c r="AT144" s="2" t="s">
        <v>70</v>
      </c>
    </row>
    <row r="145">
      <c r="A145" s="1">
        <v>2043759.0</v>
      </c>
      <c r="B145" s="1" t="s">
        <v>116</v>
      </c>
      <c r="C145" s="1" t="s">
        <v>117</v>
      </c>
      <c r="D145" s="1" t="s">
        <v>46</v>
      </c>
      <c r="E145" s="1" t="s">
        <v>1164</v>
      </c>
      <c r="F145" s="1"/>
      <c r="G145" s="1" t="s">
        <v>119</v>
      </c>
      <c r="H145" s="1" t="s">
        <v>72</v>
      </c>
      <c r="I145" s="1">
        <v>5000.0</v>
      </c>
      <c r="J145" s="1"/>
      <c r="K145" s="1"/>
      <c r="L145" s="1" t="s">
        <v>273</v>
      </c>
      <c r="M145" s="1" t="s">
        <v>1165</v>
      </c>
      <c r="N145" s="1" t="s">
        <v>257</v>
      </c>
      <c r="O145" s="1" t="s">
        <v>258</v>
      </c>
      <c r="P145" s="2" t="s">
        <v>1159</v>
      </c>
      <c r="Q145" s="1" t="s">
        <v>56</v>
      </c>
      <c r="R145" s="1"/>
      <c r="S145" s="1" t="s">
        <v>268</v>
      </c>
      <c r="T145" s="1">
        <v>4113700.0</v>
      </c>
      <c r="U145" s="1" t="s">
        <v>830</v>
      </c>
      <c r="V145" s="1" t="s">
        <v>270</v>
      </c>
      <c r="W145" s="1" t="s">
        <v>78</v>
      </c>
      <c r="X145" s="1"/>
      <c r="Y145" s="1" t="str">
        <f>"02017000350202155"</f>
        <v>02017000350202155</v>
      </c>
      <c r="Z145" s="1" t="s">
        <v>260</v>
      </c>
      <c r="AA145" s="1" t="s">
        <v>831</v>
      </c>
      <c r="AB145" s="1" t="str">
        <f>"***635099**"</f>
        <v>***635099**</v>
      </c>
      <c r="AC145" s="1"/>
      <c r="AD145" s="1"/>
      <c r="AE145" s="1"/>
      <c r="AF145" s="1">
        <v>-51.211667</v>
      </c>
      <c r="AG145" s="1">
        <v>-23.318056</v>
      </c>
      <c r="AH145" s="1" t="s">
        <v>1166</v>
      </c>
      <c r="AI145" s="1"/>
      <c r="AJ145" s="1" t="s">
        <v>273</v>
      </c>
      <c r="AK145" s="1"/>
      <c r="AL145" s="1" t="s">
        <v>128</v>
      </c>
      <c r="AM145" s="1" t="s">
        <v>65</v>
      </c>
      <c r="AN145" s="1" t="s">
        <v>274</v>
      </c>
      <c r="AO145" s="2" t="s">
        <v>691</v>
      </c>
      <c r="AP145" s="2" t="s">
        <v>1167</v>
      </c>
      <c r="AQ145" s="1" t="s">
        <v>132</v>
      </c>
      <c r="AR145" s="1" t="s">
        <v>1168</v>
      </c>
      <c r="AS145" s="1"/>
      <c r="AT145" s="2" t="s">
        <v>70</v>
      </c>
    </row>
    <row r="146">
      <c r="A146" s="1"/>
      <c r="B146" s="1" t="s">
        <v>46</v>
      </c>
      <c r="C146" s="1" t="s">
        <v>47</v>
      </c>
      <c r="D146" s="1"/>
      <c r="E146" s="1" t="s">
        <v>1169</v>
      </c>
      <c r="F146" s="1"/>
      <c r="G146" s="1" t="s">
        <v>49</v>
      </c>
      <c r="H146" s="1" t="s">
        <v>50</v>
      </c>
      <c r="I146" s="1">
        <v>10500.0</v>
      </c>
      <c r="J146" s="1"/>
      <c r="K146" s="1" t="s">
        <v>51</v>
      </c>
      <c r="L146" s="1"/>
      <c r="M146" s="1" t="s">
        <v>1170</v>
      </c>
      <c r="N146" s="1" t="s">
        <v>53</v>
      </c>
      <c r="O146" s="1" t="s">
        <v>1171</v>
      </c>
      <c r="P146" s="2" t="s">
        <v>1172</v>
      </c>
      <c r="Q146" s="1" t="s">
        <v>56</v>
      </c>
      <c r="R146" s="1"/>
      <c r="S146" s="1" t="s">
        <v>1173</v>
      </c>
      <c r="T146" s="1">
        <v>2500601.0</v>
      </c>
      <c r="U146" s="1" t="s">
        <v>1174</v>
      </c>
      <c r="V146" s="1" t="s">
        <v>1175</v>
      </c>
      <c r="W146" s="1" t="s">
        <v>78</v>
      </c>
      <c r="X146" s="1"/>
      <c r="Y146" s="1"/>
      <c r="Z146" s="1"/>
      <c r="AA146" s="1" t="s">
        <v>1176</v>
      </c>
      <c r="AB146" s="1" t="str">
        <f>"09964180000104"</f>
        <v>09964180000104</v>
      </c>
      <c r="AC146" s="1"/>
      <c r="AD146" s="1" t="s">
        <v>81</v>
      </c>
      <c r="AE146" s="1"/>
      <c r="AF146" s="1">
        <v>-34.955</v>
      </c>
      <c r="AG146" s="1">
        <v>-7.408361</v>
      </c>
      <c r="AH146" s="1" t="s">
        <v>1177</v>
      </c>
      <c r="AI146" s="1"/>
      <c r="AJ146" s="1" t="s">
        <v>1178</v>
      </c>
      <c r="AK146" s="1"/>
      <c r="AL146" s="1"/>
      <c r="AM146" s="1" t="s">
        <v>65</v>
      </c>
      <c r="AN146" s="1" t="s">
        <v>296</v>
      </c>
      <c r="AO146" s="1"/>
      <c r="AP146" s="2" t="s">
        <v>1179</v>
      </c>
      <c r="AQ146" s="1"/>
      <c r="AR146" s="1" t="s">
        <v>387</v>
      </c>
      <c r="AS146" s="1"/>
      <c r="AT146" s="2" t="s">
        <v>70</v>
      </c>
    </row>
    <row r="147">
      <c r="A147" s="1">
        <v>2043818.0</v>
      </c>
      <c r="B147" s="1" t="s">
        <v>116</v>
      </c>
      <c r="C147" s="1" t="s">
        <v>117</v>
      </c>
      <c r="D147" s="1" t="s">
        <v>46</v>
      </c>
      <c r="E147" s="1" t="s">
        <v>1180</v>
      </c>
      <c r="F147" s="1"/>
      <c r="G147" s="1" t="s">
        <v>119</v>
      </c>
      <c r="H147" s="1" t="s">
        <v>50</v>
      </c>
      <c r="I147" s="1">
        <v>500500.0</v>
      </c>
      <c r="J147" s="1"/>
      <c r="K147" s="1"/>
      <c r="L147" s="1" t="s">
        <v>120</v>
      </c>
      <c r="M147" s="1" t="s">
        <v>1181</v>
      </c>
      <c r="N147" s="1" t="s">
        <v>186</v>
      </c>
      <c r="O147" s="1" t="s">
        <v>302</v>
      </c>
      <c r="P147" s="2" t="s">
        <v>1182</v>
      </c>
      <c r="Q147" s="1" t="s">
        <v>56</v>
      </c>
      <c r="R147" s="1"/>
      <c r="S147" s="1" t="s">
        <v>608</v>
      </c>
      <c r="T147" s="1">
        <v>3548500.0</v>
      </c>
      <c r="U147" s="1" t="s">
        <v>360</v>
      </c>
      <c r="V147" s="1" t="s">
        <v>139</v>
      </c>
      <c r="W147" s="1" t="s">
        <v>78</v>
      </c>
      <c r="X147" s="1"/>
      <c r="Y147" s="1" t="str">
        <f>"02001004065202182"</f>
        <v>02001004065202182</v>
      </c>
      <c r="Z147" s="1" t="s">
        <v>306</v>
      </c>
      <c r="AA147" s="1" t="s">
        <v>1183</v>
      </c>
      <c r="AB147" s="1" t="str">
        <f>"33000167089501"</f>
        <v>33000167089501</v>
      </c>
      <c r="AC147" s="1"/>
      <c r="AD147" s="1"/>
      <c r="AE147" s="1"/>
      <c r="AF147" s="1">
        <v>-46.318889</v>
      </c>
      <c r="AG147" s="1">
        <v>-23.763611</v>
      </c>
      <c r="AH147" s="1" t="s">
        <v>1184</v>
      </c>
      <c r="AI147" s="1"/>
      <c r="AJ147" s="1" t="s">
        <v>120</v>
      </c>
      <c r="AK147" s="1"/>
      <c r="AL147" s="1" t="s">
        <v>128</v>
      </c>
      <c r="AM147" s="1" t="s">
        <v>65</v>
      </c>
      <c r="AN147" s="1" t="s">
        <v>66</v>
      </c>
      <c r="AO147" s="2" t="s">
        <v>468</v>
      </c>
      <c r="AP147" s="2" t="s">
        <v>1185</v>
      </c>
      <c r="AQ147" s="1" t="s">
        <v>132</v>
      </c>
      <c r="AR147" s="1" t="s">
        <v>1088</v>
      </c>
      <c r="AS147" s="1"/>
      <c r="AT147" s="2" t="s">
        <v>70</v>
      </c>
    </row>
    <row r="148">
      <c r="A148" s="1"/>
      <c r="B148" s="1" t="s">
        <v>46</v>
      </c>
      <c r="C148" s="1" t="s">
        <v>47</v>
      </c>
      <c r="D148" s="1"/>
      <c r="E148" s="1" t="s">
        <v>1186</v>
      </c>
      <c r="F148" s="1"/>
      <c r="G148" s="1" t="s">
        <v>49</v>
      </c>
      <c r="H148" s="1" t="s">
        <v>50</v>
      </c>
      <c r="I148" s="1">
        <v>1800.0</v>
      </c>
      <c r="J148" s="1"/>
      <c r="K148" s="1" t="s">
        <v>51</v>
      </c>
      <c r="L148" s="1"/>
      <c r="M148" s="1" t="s">
        <v>1187</v>
      </c>
      <c r="N148" s="1" t="s">
        <v>285</v>
      </c>
      <c r="O148" s="1" t="s">
        <v>286</v>
      </c>
      <c r="P148" s="2" t="s">
        <v>1188</v>
      </c>
      <c r="Q148" s="1" t="s">
        <v>56</v>
      </c>
      <c r="R148" s="1"/>
      <c r="S148" s="1" t="s">
        <v>1173</v>
      </c>
      <c r="T148" s="1">
        <v>2507507.0</v>
      </c>
      <c r="U148" s="1" t="s">
        <v>1189</v>
      </c>
      <c r="V148" s="1" t="s">
        <v>1175</v>
      </c>
      <c r="W148" s="1" t="s">
        <v>78</v>
      </c>
      <c r="X148" s="1"/>
      <c r="Y148" s="1"/>
      <c r="Z148" s="1" t="s">
        <v>292</v>
      </c>
      <c r="AA148" s="1" t="s">
        <v>1190</v>
      </c>
      <c r="AB148" s="1" t="str">
        <f t="shared" ref="AB148:AB149" si="13">"29005967000148"</f>
        <v>29005967000148</v>
      </c>
      <c r="AC148" s="1"/>
      <c r="AD148" s="1" t="s">
        <v>62</v>
      </c>
      <c r="AE148" s="1"/>
      <c r="AF148" s="1">
        <v>-34.89225</v>
      </c>
      <c r="AG148" s="1">
        <v>-7.170278</v>
      </c>
      <c r="AH148" s="1" t="s">
        <v>1191</v>
      </c>
      <c r="AI148" s="1"/>
      <c r="AJ148" s="1" t="s">
        <v>1178</v>
      </c>
      <c r="AK148" s="1"/>
      <c r="AL148" s="1"/>
      <c r="AM148" s="1" t="s">
        <v>65</v>
      </c>
      <c r="AN148" s="1" t="s">
        <v>296</v>
      </c>
      <c r="AO148" s="1"/>
      <c r="AP148" s="2" t="s">
        <v>1192</v>
      </c>
      <c r="AQ148" s="1"/>
      <c r="AR148" s="1" t="s">
        <v>339</v>
      </c>
      <c r="AS148" s="1" t="s">
        <v>1193</v>
      </c>
      <c r="AT148" s="2" t="s">
        <v>70</v>
      </c>
    </row>
    <row r="149">
      <c r="A149" s="1"/>
      <c r="B149" s="1" t="s">
        <v>46</v>
      </c>
      <c r="C149" s="1" t="s">
        <v>47</v>
      </c>
      <c r="D149" s="1"/>
      <c r="E149" s="1" t="s">
        <v>1194</v>
      </c>
      <c r="F149" s="1"/>
      <c r="G149" s="1" t="s">
        <v>49</v>
      </c>
      <c r="H149" s="1" t="s">
        <v>50</v>
      </c>
      <c r="I149" s="1">
        <v>4500.0</v>
      </c>
      <c r="J149" s="1"/>
      <c r="K149" s="1" t="s">
        <v>51</v>
      </c>
      <c r="L149" s="1"/>
      <c r="M149" s="1" t="s">
        <v>1195</v>
      </c>
      <c r="N149" s="1" t="s">
        <v>301</v>
      </c>
      <c r="O149" s="1" t="s">
        <v>302</v>
      </c>
      <c r="P149" s="2" t="s">
        <v>1196</v>
      </c>
      <c r="Q149" s="1" t="s">
        <v>56</v>
      </c>
      <c r="R149" s="1"/>
      <c r="S149" s="1" t="s">
        <v>1173</v>
      </c>
      <c r="T149" s="1">
        <v>2507507.0</v>
      </c>
      <c r="U149" s="1" t="s">
        <v>1189</v>
      </c>
      <c r="V149" s="1" t="s">
        <v>1175</v>
      </c>
      <c r="W149" s="1" t="s">
        <v>78</v>
      </c>
      <c r="X149" s="1"/>
      <c r="Y149" s="1"/>
      <c r="Z149" s="1" t="s">
        <v>306</v>
      </c>
      <c r="AA149" s="1" t="s">
        <v>1190</v>
      </c>
      <c r="AB149" s="1" t="str">
        <f t="shared" si="13"/>
        <v>29005967000148</v>
      </c>
      <c r="AC149" s="1"/>
      <c r="AD149" s="1" t="s">
        <v>62</v>
      </c>
      <c r="AE149" s="1"/>
      <c r="AF149" s="1">
        <v>-34.892417</v>
      </c>
      <c r="AG149" s="1">
        <v>-7.169472</v>
      </c>
      <c r="AH149" s="1" t="s">
        <v>1197</v>
      </c>
      <c r="AI149" s="1"/>
      <c r="AJ149" s="1" t="s">
        <v>1178</v>
      </c>
      <c r="AK149" s="1"/>
      <c r="AL149" s="1"/>
      <c r="AM149" s="1" t="s">
        <v>65</v>
      </c>
      <c r="AN149" s="1" t="s">
        <v>296</v>
      </c>
      <c r="AO149" s="1"/>
      <c r="AP149" s="2" t="s">
        <v>1198</v>
      </c>
      <c r="AQ149" s="1"/>
      <c r="AR149" s="1" t="s">
        <v>387</v>
      </c>
      <c r="AS149" s="1"/>
      <c r="AT149" s="2" t="s">
        <v>70</v>
      </c>
    </row>
    <row r="150">
      <c r="A150" s="1">
        <v>2043658.0</v>
      </c>
      <c r="B150" s="1" t="s">
        <v>116</v>
      </c>
      <c r="C150" s="1" t="s">
        <v>117</v>
      </c>
      <c r="D150" s="1" t="s">
        <v>46</v>
      </c>
      <c r="E150" s="1" t="s">
        <v>1199</v>
      </c>
      <c r="F150" s="1"/>
      <c r="G150" s="1" t="s">
        <v>119</v>
      </c>
      <c r="H150" s="1" t="s">
        <v>72</v>
      </c>
      <c r="I150" s="1">
        <v>81470.0</v>
      </c>
      <c r="J150" s="1"/>
      <c r="K150" s="1"/>
      <c r="L150" s="1" t="s">
        <v>175</v>
      </c>
      <c r="M150" s="1" t="s">
        <v>1200</v>
      </c>
      <c r="N150" s="1" t="s">
        <v>109</v>
      </c>
      <c r="O150" s="1" t="s">
        <v>110</v>
      </c>
      <c r="P150" s="2" t="s">
        <v>1201</v>
      </c>
      <c r="Q150" s="1" t="s">
        <v>56</v>
      </c>
      <c r="R150" s="1"/>
      <c r="S150" s="1" t="s">
        <v>169</v>
      </c>
      <c r="T150" s="1">
        <v>5205802.0</v>
      </c>
      <c r="U150" s="1" t="s">
        <v>1202</v>
      </c>
      <c r="V150" s="1" t="s">
        <v>171</v>
      </c>
      <c r="W150" s="1" t="s">
        <v>172</v>
      </c>
      <c r="X150" s="1"/>
      <c r="Y150" s="1" t="str">
        <f>"02010000285202128"</f>
        <v>02010000285202128</v>
      </c>
      <c r="Z150" s="1" t="s">
        <v>112</v>
      </c>
      <c r="AA150" s="1" t="s">
        <v>1203</v>
      </c>
      <c r="AB150" s="1" t="str">
        <f>"***790043**"</f>
        <v>***790043**</v>
      </c>
      <c r="AC150" s="1"/>
      <c r="AD150" s="1"/>
      <c r="AE150" s="1"/>
      <c r="AF150" s="1">
        <v>-48.641389</v>
      </c>
      <c r="AG150" s="1">
        <v>-16.053611</v>
      </c>
      <c r="AH150" s="1" t="s">
        <v>1204</v>
      </c>
      <c r="AI150" s="1"/>
      <c r="AJ150" s="1" t="s">
        <v>175</v>
      </c>
      <c r="AK150" s="1"/>
      <c r="AL150" s="1" t="s">
        <v>128</v>
      </c>
      <c r="AM150" s="1" t="s">
        <v>65</v>
      </c>
      <c r="AN150" s="1" t="s">
        <v>274</v>
      </c>
      <c r="AO150" s="2" t="s">
        <v>1205</v>
      </c>
      <c r="AP150" s="2" t="s">
        <v>1206</v>
      </c>
      <c r="AQ150" s="1" t="s">
        <v>132</v>
      </c>
      <c r="AR150" s="1" t="s">
        <v>1207</v>
      </c>
      <c r="AS150" s="1"/>
      <c r="AT150" s="2" t="s">
        <v>70</v>
      </c>
    </row>
    <row r="151">
      <c r="A151" s="1">
        <v>2043817.0</v>
      </c>
      <c r="B151" s="1" t="s">
        <v>116</v>
      </c>
      <c r="C151" s="1" t="s">
        <v>117</v>
      </c>
      <c r="D151" s="1" t="s">
        <v>46</v>
      </c>
      <c r="E151" s="1" t="s">
        <v>1208</v>
      </c>
      <c r="F151" s="1"/>
      <c r="G151" s="1" t="s">
        <v>119</v>
      </c>
      <c r="H151" s="1" t="s">
        <v>50</v>
      </c>
      <c r="I151" s="1">
        <v>500500.0</v>
      </c>
      <c r="J151" s="1"/>
      <c r="K151" s="1"/>
      <c r="L151" s="1" t="s">
        <v>120</v>
      </c>
      <c r="M151" s="1" t="s">
        <v>1209</v>
      </c>
      <c r="N151" s="1" t="s">
        <v>186</v>
      </c>
      <c r="O151" s="1" t="s">
        <v>302</v>
      </c>
      <c r="P151" s="2" t="s">
        <v>1210</v>
      </c>
      <c r="Q151" s="1" t="s">
        <v>56</v>
      </c>
      <c r="R151" s="1"/>
      <c r="S151" s="1" t="s">
        <v>241</v>
      </c>
      <c r="T151" s="1">
        <v>5202502.0</v>
      </c>
      <c r="U151" s="1" t="s">
        <v>1211</v>
      </c>
      <c r="V151" s="1" t="s">
        <v>171</v>
      </c>
      <c r="W151" s="1" t="s">
        <v>172</v>
      </c>
      <c r="X151" s="1"/>
      <c r="Y151" s="1" t="str">
        <f>"02001004063202193"</f>
        <v>02001004063202193</v>
      </c>
      <c r="Z151" s="1" t="s">
        <v>306</v>
      </c>
      <c r="AA151" s="1" t="s">
        <v>1212</v>
      </c>
      <c r="AB151" s="1" t="str">
        <f>"00638357000108"</f>
        <v>00638357000108</v>
      </c>
      <c r="AC151" s="1"/>
      <c r="AD151" s="1"/>
      <c r="AE151" s="1"/>
      <c r="AF151" s="1">
        <v>-51.075278</v>
      </c>
      <c r="AG151" s="1">
        <v>-14.916944</v>
      </c>
      <c r="AH151" s="1" t="s">
        <v>1213</v>
      </c>
      <c r="AI151" s="1"/>
      <c r="AJ151" s="1" t="s">
        <v>120</v>
      </c>
      <c r="AK151" s="1"/>
      <c r="AL151" s="1" t="s">
        <v>128</v>
      </c>
      <c r="AM151" s="1" t="s">
        <v>65</v>
      </c>
      <c r="AN151" s="1" t="s">
        <v>66</v>
      </c>
      <c r="AO151" s="2" t="s">
        <v>468</v>
      </c>
      <c r="AP151" s="2" t="s">
        <v>1214</v>
      </c>
      <c r="AQ151" s="1" t="s">
        <v>132</v>
      </c>
      <c r="AR151" s="1" t="s">
        <v>1088</v>
      </c>
      <c r="AS151" s="1"/>
      <c r="AT151" s="2" t="s">
        <v>70</v>
      </c>
    </row>
    <row r="152">
      <c r="A152" s="1"/>
      <c r="B152" s="1" t="s">
        <v>46</v>
      </c>
      <c r="C152" s="1" t="s">
        <v>47</v>
      </c>
      <c r="D152" s="1"/>
      <c r="E152" s="1" t="s">
        <v>1215</v>
      </c>
      <c r="F152" s="1"/>
      <c r="G152" s="1" t="s">
        <v>49</v>
      </c>
      <c r="H152" s="1" t="s">
        <v>50</v>
      </c>
      <c r="I152" s="1">
        <v>1000.0</v>
      </c>
      <c r="J152" s="1"/>
      <c r="K152" s="1" t="s">
        <v>51</v>
      </c>
      <c r="L152" s="1"/>
      <c r="M152" s="1" t="s">
        <v>1216</v>
      </c>
      <c r="N152" s="1" t="s">
        <v>94</v>
      </c>
      <c r="O152" s="1" t="s">
        <v>95</v>
      </c>
      <c r="P152" s="2" t="s">
        <v>1217</v>
      </c>
      <c r="Q152" s="1" t="s">
        <v>56</v>
      </c>
      <c r="R152" s="2" t="s">
        <v>1160</v>
      </c>
      <c r="S152" s="1" t="s">
        <v>280</v>
      </c>
      <c r="T152" s="1">
        <v>3554102.0</v>
      </c>
      <c r="U152" s="1" t="s">
        <v>1218</v>
      </c>
      <c r="V152" s="1" t="s">
        <v>139</v>
      </c>
      <c r="W152" s="1" t="s">
        <v>78</v>
      </c>
      <c r="X152" s="1"/>
      <c r="Y152" s="1" t="str">
        <f>"02548000027202183"</f>
        <v>02548000027202183</v>
      </c>
      <c r="Z152" s="1" t="s">
        <v>101</v>
      </c>
      <c r="AA152" s="1" t="s">
        <v>1219</v>
      </c>
      <c r="AB152" s="1" t="str">
        <f>"***073768**"</f>
        <v>***073768**</v>
      </c>
      <c r="AC152" s="1"/>
      <c r="AD152" s="1" t="s">
        <v>81</v>
      </c>
      <c r="AE152" s="1"/>
      <c r="AF152" s="1">
        <v>-45.710278</v>
      </c>
      <c r="AG152" s="1">
        <v>-23.1125</v>
      </c>
      <c r="AH152" s="1" t="s">
        <v>1220</v>
      </c>
      <c r="AI152" s="1"/>
      <c r="AJ152" s="1" t="s">
        <v>1037</v>
      </c>
      <c r="AK152" s="1"/>
      <c r="AL152" s="1"/>
      <c r="AM152" s="1" t="s">
        <v>65</v>
      </c>
      <c r="AN152" s="1"/>
      <c r="AO152" s="1"/>
      <c r="AP152" s="2" t="s">
        <v>1221</v>
      </c>
      <c r="AQ152" s="1"/>
      <c r="AR152" s="1" t="s">
        <v>318</v>
      </c>
      <c r="AS152" s="1"/>
      <c r="AT152" s="2" t="s">
        <v>70</v>
      </c>
    </row>
    <row r="153">
      <c r="A153" s="1"/>
      <c r="B153" s="1" t="s">
        <v>46</v>
      </c>
      <c r="C153" s="1" t="s">
        <v>47</v>
      </c>
      <c r="D153" s="1"/>
      <c r="E153" s="1" t="s">
        <v>1222</v>
      </c>
      <c r="F153" s="1"/>
      <c r="G153" s="1" t="s">
        <v>49</v>
      </c>
      <c r="H153" s="1" t="s">
        <v>50</v>
      </c>
      <c r="I153" s="1">
        <v>161500.0</v>
      </c>
      <c r="J153" s="1"/>
      <c r="K153" s="1" t="s">
        <v>51</v>
      </c>
      <c r="L153" s="1"/>
      <c r="M153" s="1" t="s">
        <v>1223</v>
      </c>
      <c r="N153" s="1" t="s">
        <v>53</v>
      </c>
      <c r="O153" s="1" t="s">
        <v>333</v>
      </c>
      <c r="P153" s="2" t="s">
        <v>1224</v>
      </c>
      <c r="Q153" s="1" t="s">
        <v>56</v>
      </c>
      <c r="R153" s="1"/>
      <c r="S153" s="1" t="s">
        <v>123</v>
      </c>
      <c r="T153" s="1">
        <v>1100098.0</v>
      </c>
      <c r="U153" s="1" t="s">
        <v>335</v>
      </c>
      <c r="V153" s="1" t="s">
        <v>125</v>
      </c>
      <c r="W153" s="1" t="s">
        <v>100</v>
      </c>
      <c r="X153" s="1"/>
      <c r="Y153" s="1"/>
      <c r="Z153" s="1" t="s">
        <v>223</v>
      </c>
      <c r="AA153" s="1" t="s">
        <v>1225</v>
      </c>
      <c r="AB153" s="1" t="str">
        <f>"27002759000160"</f>
        <v>27002759000160</v>
      </c>
      <c r="AC153" s="1"/>
      <c r="AD153" s="1" t="s">
        <v>81</v>
      </c>
      <c r="AE153" s="1"/>
      <c r="AF153" s="1">
        <v>-61.000833</v>
      </c>
      <c r="AG153" s="1">
        <v>-11.528333</v>
      </c>
      <c r="AH153" s="1" t="s">
        <v>1226</v>
      </c>
      <c r="AI153" s="1"/>
      <c r="AJ153" s="1" t="s">
        <v>1227</v>
      </c>
      <c r="AK153" s="1"/>
      <c r="AL153" s="1"/>
      <c r="AM153" s="1" t="s">
        <v>65</v>
      </c>
      <c r="AN153" s="1" t="s">
        <v>274</v>
      </c>
      <c r="AO153" s="1"/>
      <c r="AP153" s="2" t="s">
        <v>1228</v>
      </c>
      <c r="AQ153" s="1"/>
      <c r="AR153" s="1" t="s">
        <v>106</v>
      </c>
      <c r="AS153" s="1" t="s">
        <v>1229</v>
      </c>
      <c r="AT153" s="2" t="s">
        <v>70</v>
      </c>
    </row>
    <row r="154">
      <c r="A154" s="1">
        <v>2043638.0</v>
      </c>
      <c r="B154" s="1" t="s">
        <v>116</v>
      </c>
      <c r="C154" s="1" t="s">
        <v>117</v>
      </c>
      <c r="D154" s="1" t="s">
        <v>46</v>
      </c>
      <c r="E154" s="1" t="s">
        <v>1230</v>
      </c>
      <c r="F154" s="1"/>
      <c r="G154" s="1" t="s">
        <v>119</v>
      </c>
      <c r="H154" s="1" t="s">
        <v>72</v>
      </c>
      <c r="I154" s="1">
        <v>6925.2</v>
      </c>
      <c r="J154" s="1"/>
      <c r="K154" s="1"/>
      <c r="L154" s="1" t="s">
        <v>587</v>
      </c>
      <c r="M154" s="1" t="s">
        <v>1231</v>
      </c>
      <c r="N154" s="1" t="s">
        <v>109</v>
      </c>
      <c r="O154" s="1" t="s">
        <v>110</v>
      </c>
      <c r="P154" s="2" t="s">
        <v>1232</v>
      </c>
      <c r="Q154" s="1" t="s">
        <v>56</v>
      </c>
      <c r="R154" s="2" t="s">
        <v>1160</v>
      </c>
      <c r="S154" s="1" t="s">
        <v>582</v>
      </c>
      <c r="T154" s="1">
        <v>1400100.0</v>
      </c>
      <c r="U154" s="1" t="s">
        <v>1123</v>
      </c>
      <c r="V154" s="1" t="s">
        <v>584</v>
      </c>
      <c r="W154" s="1" t="s">
        <v>100</v>
      </c>
      <c r="X154" s="1"/>
      <c r="Y154" s="1" t="str">
        <f>"02025000173202116"</f>
        <v>02025000173202116</v>
      </c>
      <c r="Z154" s="1" t="s">
        <v>112</v>
      </c>
      <c r="AA154" s="1" t="s">
        <v>1233</v>
      </c>
      <c r="AB154" s="1" t="str">
        <f>"28235320000140"</f>
        <v>28235320000140</v>
      </c>
      <c r="AC154" s="1"/>
      <c r="AD154" s="1"/>
      <c r="AE154" s="1"/>
      <c r="AF154" s="1">
        <v>-60.696944</v>
      </c>
      <c r="AG154" s="1">
        <v>2.8275</v>
      </c>
      <c r="AH154" s="1" t="s">
        <v>1234</v>
      </c>
      <c r="AI154" s="1"/>
      <c r="AJ154" s="1" t="s">
        <v>587</v>
      </c>
      <c r="AK154" s="1"/>
      <c r="AL154" s="1" t="s">
        <v>128</v>
      </c>
      <c r="AM154" s="1" t="s">
        <v>65</v>
      </c>
      <c r="AN154" s="1" t="s">
        <v>159</v>
      </c>
      <c r="AO154" s="2" t="s">
        <v>1205</v>
      </c>
      <c r="AP154" s="2" t="s">
        <v>1235</v>
      </c>
      <c r="AQ154" s="1" t="s">
        <v>132</v>
      </c>
      <c r="AR154" s="1" t="s">
        <v>1236</v>
      </c>
      <c r="AS154" s="1"/>
      <c r="AT154" s="2" t="s">
        <v>70</v>
      </c>
    </row>
    <row r="155">
      <c r="A155" s="1">
        <v>2043816.0</v>
      </c>
      <c r="B155" s="1" t="s">
        <v>116</v>
      </c>
      <c r="C155" s="1" t="s">
        <v>117</v>
      </c>
      <c r="D155" s="1" t="s">
        <v>46</v>
      </c>
      <c r="E155" s="1" t="s">
        <v>1237</v>
      </c>
      <c r="F155" s="1"/>
      <c r="G155" s="1" t="s">
        <v>119</v>
      </c>
      <c r="H155" s="1" t="s">
        <v>50</v>
      </c>
      <c r="I155" s="1">
        <v>500500.0</v>
      </c>
      <c r="J155" s="1"/>
      <c r="K155" s="1"/>
      <c r="L155" s="1" t="s">
        <v>120</v>
      </c>
      <c r="M155" s="1" t="s">
        <v>1238</v>
      </c>
      <c r="N155" s="1" t="s">
        <v>186</v>
      </c>
      <c r="O155" s="1" t="s">
        <v>302</v>
      </c>
      <c r="P155" s="2" t="s">
        <v>1239</v>
      </c>
      <c r="Q155" s="1" t="s">
        <v>56</v>
      </c>
      <c r="R155" s="1"/>
      <c r="S155" s="1" t="s">
        <v>608</v>
      </c>
      <c r="T155" s="1">
        <v>2408102.0</v>
      </c>
      <c r="U155" s="1" t="s">
        <v>1083</v>
      </c>
      <c r="V155" s="1" t="s">
        <v>1084</v>
      </c>
      <c r="W155" s="1" t="s">
        <v>291</v>
      </c>
      <c r="X155" s="1"/>
      <c r="Y155" s="1" t="str">
        <f>"02001004062202149"</f>
        <v>02001004062202149</v>
      </c>
      <c r="Z155" s="1" t="s">
        <v>306</v>
      </c>
      <c r="AA155" s="1" t="s">
        <v>1085</v>
      </c>
      <c r="AB155" s="1" t="str">
        <f>"33000167104900"</f>
        <v>33000167104900</v>
      </c>
      <c r="AC155" s="1"/>
      <c r="AD155" s="1"/>
      <c r="AE155" s="1"/>
      <c r="AF155" s="1">
        <v>-35.230833</v>
      </c>
      <c r="AG155" s="1">
        <v>-5.831667</v>
      </c>
      <c r="AH155" s="1" t="s">
        <v>1240</v>
      </c>
      <c r="AI155" s="1"/>
      <c r="AJ155" s="1" t="s">
        <v>120</v>
      </c>
      <c r="AK155" s="1"/>
      <c r="AL155" s="1" t="s">
        <v>128</v>
      </c>
      <c r="AM155" s="1" t="s">
        <v>65</v>
      </c>
      <c r="AN155" s="1" t="s">
        <v>66</v>
      </c>
      <c r="AO155" s="2" t="s">
        <v>468</v>
      </c>
      <c r="AP155" s="2" t="s">
        <v>1241</v>
      </c>
      <c r="AQ155" s="1" t="s">
        <v>132</v>
      </c>
      <c r="AR155" s="1" t="s">
        <v>1242</v>
      </c>
      <c r="AS155" s="1"/>
      <c r="AT155" s="2" t="s">
        <v>70</v>
      </c>
    </row>
    <row r="156">
      <c r="A156" s="1"/>
      <c r="B156" s="1" t="s">
        <v>46</v>
      </c>
      <c r="C156" s="1" t="s">
        <v>47</v>
      </c>
      <c r="D156" s="1"/>
      <c r="E156" s="1" t="s">
        <v>1243</v>
      </c>
      <c r="F156" s="1"/>
      <c r="G156" s="1" t="s">
        <v>49</v>
      </c>
      <c r="H156" s="1" t="s">
        <v>72</v>
      </c>
      <c r="I156" s="1">
        <v>16473.9</v>
      </c>
      <c r="J156" s="1"/>
      <c r="K156" s="1"/>
      <c r="L156" s="1"/>
      <c r="M156" s="1" t="s">
        <v>1244</v>
      </c>
      <c r="N156" s="1" t="s">
        <v>109</v>
      </c>
      <c r="O156" s="1" t="s">
        <v>110</v>
      </c>
      <c r="P156" s="2" t="s">
        <v>1245</v>
      </c>
      <c r="Q156" s="1" t="s">
        <v>56</v>
      </c>
      <c r="R156" s="1"/>
      <c r="S156" s="1" t="s">
        <v>359</v>
      </c>
      <c r="T156" s="1">
        <v>3548500.0</v>
      </c>
      <c r="U156" s="1" t="s">
        <v>360</v>
      </c>
      <c r="V156" s="1" t="s">
        <v>139</v>
      </c>
      <c r="W156" s="1" t="s">
        <v>78</v>
      </c>
      <c r="X156" s="1"/>
      <c r="Y156" s="1"/>
      <c r="Z156" s="1" t="s">
        <v>112</v>
      </c>
      <c r="AA156" s="1" t="s">
        <v>893</v>
      </c>
      <c r="AB156" s="1" t="str">
        <f t="shared" ref="AB156:AB160" si="14">"20334805000189"</f>
        <v>20334805000189</v>
      </c>
      <c r="AC156" s="1"/>
      <c r="AD156" s="1" t="s">
        <v>81</v>
      </c>
      <c r="AE156" s="1"/>
      <c r="AF156" s="1">
        <v>-46.303611</v>
      </c>
      <c r="AG156" s="1">
        <v>-23.980278</v>
      </c>
      <c r="AH156" s="1" t="s">
        <v>1246</v>
      </c>
      <c r="AI156" s="1"/>
      <c r="AJ156" s="1" t="s">
        <v>142</v>
      </c>
      <c r="AK156" s="1"/>
      <c r="AL156" s="1"/>
      <c r="AM156" s="1" t="s">
        <v>65</v>
      </c>
      <c r="AN156" s="1" t="s">
        <v>274</v>
      </c>
      <c r="AO156" s="1"/>
      <c r="AP156" s="2" t="s">
        <v>1247</v>
      </c>
      <c r="AQ156" s="1"/>
      <c r="AR156" s="1" t="s">
        <v>115</v>
      </c>
      <c r="AS156" s="1" t="s">
        <v>1248</v>
      </c>
      <c r="AT156" s="2" t="s">
        <v>70</v>
      </c>
    </row>
    <row r="157">
      <c r="A157" s="1"/>
      <c r="B157" s="1" t="s">
        <v>46</v>
      </c>
      <c r="C157" s="1" t="s">
        <v>47</v>
      </c>
      <c r="D157" s="1"/>
      <c r="E157" s="1" t="s">
        <v>1249</v>
      </c>
      <c r="F157" s="1"/>
      <c r="G157" s="1" t="s">
        <v>49</v>
      </c>
      <c r="H157" s="1" t="s">
        <v>72</v>
      </c>
      <c r="I157" s="1">
        <v>16621.5</v>
      </c>
      <c r="J157" s="1"/>
      <c r="K157" s="1"/>
      <c r="L157" s="1"/>
      <c r="M157" s="1" t="s">
        <v>1250</v>
      </c>
      <c r="N157" s="1" t="s">
        <v>109</v>
      </c>
      <c r="O157" s="1" t="s">
        <v>110</v>
      </c>
      <c r="P157" s="2" t="s">
        <v>1251</v>
      </c>
      <c r="Q157" s="1" t="s">
        <v>56</v>
      </c>
      <c r="R157" s="1"/>
      <c r="S157" s="1" t="s">
        <v>280</v>
      </c>
      <c r="T157" s="1">
        <v>3548500.0</v>
      </c>
      <c r="U157" s="1" t="s">
        <v>360</v>
      </c>
      <c r="V157" s="1" t="s">
        <v>139</v>
      </c>
      <c r="W157" s="1" t="s">
        <v>78</v>
      </c>
      <c r="X157" s="1"/>
      <c r="Y157" s="1"/>
      <c r="Z157" s="1" t="s">
        <v>112</v>
      </c>
      <c r="AA157" s="1" t="s">
        <v>893</v>
      </c>
      <c r="AB157" s="1" t="str">
        <f t="shared" si="14"/>
        <v>20334805000189</v>
      </c>
      <c r="AC157" s="1"/>
      <c r="AD157" s="1" t="s">
        <v>81</v>
      </c>
      <c r="AE157" s="1"/>
      <c r="AF157" s="1">
        <v>-46.303611</v>
      </c>
      <c r="AG157" s="1">
        <v>-23.980278</v>
      </c>
      <c r="AH157" s="1" t="s">
        <v>1252</v>
      </c>
      <c r="AI157" s="1"/>
      <c r="AJ157" s="1" t="s">
        <v>142</v>
      </c>
      <c r="AK157" s="1"/>
      <c r="AL157" s="1"/>
      <c r="AM157" s="1" t="s">
        <v>65</v>
      </c>
      <c r="AN157" s="1" t="s">
        <v>274</v>
      </c>
      <c r="AO157" s="1"/>
      <c r="AP157" s="2" t="s">
        <v>1253</v>
      </c>
      <c r="AQ157" s="1"/>
      <c r="AR157" s="1" t="s">
        <v>115</v>
      </c>
      <c r="AS157" s="1" t="s">
        <v>1248</v>
      </c>
      <c r="AT157" s="2" t="s">
        <v>70</v>
      </c>
    </row>
    <row r="158">
      <c r="A158" s="1"/>
      <c r="B158" s="1" t="s">
        <v>46</v>
      </c>
      <c r="C158" s="1" t="s">
        <v>47</v>
      </c>
      <c r="D158" s="1"/>
      <c r="E158" s="1" t="s">
        <v>1254</v>
      </c>
      <c r="F158" s="1"/>
      <c r="G158" s="1" t="s">
        <v>49</v>
      </c>
      <c r="H158" s="1" t="s">
        <v>72</v>
      </c>
      <c r="I158" s="1">
        <v>16519.5</v>
      </c>
      <c r="J158" s="1"/>
      <c r="K158" s="1"/>
      <c r="L158" s="1"/>
      <c r="M158" s="1" t="s">
        <v>1255</v>
      </c>
      <c r="N158" s="1" t="s">
        <v>109</v>
      </c>
      <c r="O158" s="1" t="s">
        <v>110</v>
      </c>
      <c r="P158" s="2" t="s">
        <v>1256</v>
      </c>
      <c r="Q158" s="1" t="s">
        <v>56</v>
      </c>
      <c r="R158" s="1"/>
      <c r="S158" s="1" t="s">
        <v>280</v>
      </c>
      <c r="T158" s="1">
        <v>3548500.0</v>
      </c>
      <c r="U158" s="1" t="s">
        <v>360</v>
      </c>
      <c r="V158" s="1" t="s">
        <v>139</v>
      </c>
      <c r="W158" s="1" t="s">
        <v>78</v>
      </c>
      <c r="X158" s="1"/>
      <c r="Y158" s="1"/>
      <c r="Z158" s="1" t="s">
        <v>112</v>
      </c>
      <c r="AA158" s="1" t="s">
        <v>893</v>
      </c>
      <c r="AB158" s="1" t="str">
        <f t="shared" si="14"/>
        <v>20334805000189</v>
      </c>
      <c r="AC158" s="1"/>
      <c r="AD158" s="1" t="s">
        <v>81</v>
      </c>
      <c r="AE158" s="1"/>
      <c r="AF158" s="1">
        <v>-46.303611</v>
      </c>
      <c r="AG158" s="1">
        <v>-23.980278</v>
      </c>
      <c r="AH158" s="1" t="s">
        <v>1257</v>
      </c>
      <c r="AI158" s="1"/>
      <c r="AJ158" s="1" t="s">
        <v>142</v>
      </c>
      <c r="AK158" s="1"/>
      <c r="AL158" s="1"/>
      <c r="AM158" s="1" t="s">
        <v>65</v>
      </c>
      <c r="AN158" s="1" t="s">
        <v>274</v>
      </c>
      <c r="AO158" s="1"/>
      <c r="AP158" s="2" t="s">
        <v>1258</v>
      </c>
      <c r="AQ158" s="1"/>
      <c r="AR158" s="1" t="s">
        <v>115</v>
      </c>
      <c r="AS158" s="1" t="s">
        <v>1248</v>
      </c>
      <c r="AT158" s="2" t="s">
        <v>70</v>
      </c>
    </row>
    <row r="159">
      <c r="A159" s="1"/>
      <c r="B159" s="1" t="s">
        <v>46</v>
      </c>
      <c r="C159" s="1" t="s">
        <v>47</v>
      </c>
      <c r="D159" s="1"/>
      <c r="E159" s="1" t="s">
        <v>1259</v>
      </c>
      <c r="F159" s="1"/>
      <c r="G159" s="1" t="s">
        <v>49</v>
      </c>
      <c r="H159" s="1" t="s">
        <v>72</v>
      </c>
      <c r="I159" s="1">
        <v>16520.1</v>
      </c>
      <c r="J159" s="1"/>
      <c r="K159" s="1"/>
      <c r="L159" s="1"/>
      <c r="M159" s="1" t="s">
        <v>1260</v>
      </c>
      <c r="N159" s="1" t="s">
        <v>109</v>
      </c>
      <c r="O159" s="1" t="s">
        <v>110</v>
      </c>
      <c r="P159" s="2" t="s">
        <v>1261</v>
      </c>
      <c r="Q159" s="1" t="s">
        <v>56</v>
      </c>
      <c r="R159" s="1"/>
      <c r="S159" s="1" t="s">
        <v>280</v>
      </c>
      <c r="T159" s="1">
        <v>3548500.0</v>
      </c>
      <c r="U159" s="1" t="s">
        <v>360</v>
      </c>
      <c r="V159" s="1" t="s">
        <v>139</v>
      </c>
      <c r="W159" s="1" t="s">
        <v>78</v>
      </c>
      <c r="X159" s="1"/>
      <c r="Y159" s="1"/>
      <c r="Z159" s="1" t="s">
        <v>112</v>
      </c>
      <c r="AA159" s="1" t="s">
        <v>893</v>
      </c>
      <c r="AB159" s="1" t="str">
        <f t="shared" si="14"/>
        <v>20334805000189</v>
      </c>
      <c r="AC159" s="1"/>
      <c r="AD159" s="1" t="s">
        <v>81</v>
      </c>
      <c r="AE159" s="1"/>
      <c r="AF159" s="1">
        <v>-46.303611</v>
      </c>
      <c r="AG159" s="1">
        <v>-23.980278</v>
      </c>
      <c r="AH159" s="1" t="s">
        <v>1262</v>
      </c>
      <c r="AI159" s="1"/>
      <c r="AJ159" s="1" t="s">
        <v>142</v>
      </c>
      <c r="AK159" s="1"/>
      <c r="AL159" s="1"/>
      <c r="AM159" s="1" t="s">
        <v>65</v>
      </c>
      <c r="AN159" s="1" t="s">
        <v>274</v>
      </c>
      <c r="AO159" s="1"/>
      <c r="AP159" s="2" t="s">
        <v>1263</v>
      </c>
      <c r="AQ159" s="1"/>
      <c r="AR159" s="1" t="s">
        <v>115</v>
      </c>
      <c r="AS159" s="1" t="s">
        <v>1248</v>
      </c>
      <c r="AT159" s="2" t="s">
        <v>70</v>
      </c>
    </row>
    <row r="160">
      <c r="A160" s="1"/>
      <c r="B160" s="1" t="s">
        <v>46</v>
      </c>
      <c r="C160" s="1" t="s">
        <v>47</v>
      </c>
      <c r="D160" s="1"/>
      <c r="E160" s="1" t="s">
        <v>1264</v>
      </c>
      <c r="F160" s="1"/>
      <c r="G160" s="1" t="s">
        <v>49</v>
      </c>
      <c r="H160" s="1" t="s">
        <v>72</v>
      </c>
      <c r="I160" s="1">
        <v>16650.6</v>
      </c>
      <c r="J160" s="1"/>
      <c r="K160" s="1"/>
      <c r="L160" s="1"/>
      <c r="M160" s="1" t="s">
        <v>1265</v>
      </c>
      <c r="N160" s="1" t="s">
        <v>109</v>
      </c>
      <c r="O160" s="1" t="s">
        <v>110</v>
      </c>
      <c r="P160" s="2" t="s">
        <v>1266</v>
      </c>
      <c r="Q160" s="1" t="s">
        <v>56</v>
      </c>
      <c r="R160" s="1"/>
      <c r="S160" s="1" t="s">
        <v>359</v>
      </c>
      <c r="T160" s="1">
        <v>3548500.0</v>
      </c>
      <c r="U160" s="1" t="s">
        <v>360</v>
      </c>
      <c r="V160" s="1" t="s">
        <v>139</v>
      </c>
      <c r="W160" s="1" t="s">
        <v>78</v>
      </c>
      <c r="X160" s="1"/>
      <c r="Y160" s="1"/>
      <c r="Z160" s="1" t="s">
        <v>112</v>
      </c>
      <c r="AA160" s="1" t="s">
        <v>893</v>
      </c>
      <c r="AB160" s="1" t="str">
        <f t="shared" si="14"/>
        <v>20334805000189</v>
      </c>
      <c r="AC160" s="1"/>
      <c r="AD160" s="1" t="s">
        <v>81</v>
      </c>
      <c r="AE160" s="1"/>
      <c r="AF160" s="1">
        <v>-46.303611</v>
      </c>
      <c r="AG160" s="1">
        <v>-23.980278</v>
      </c>
      <c r="AH160" s="1" t="s">
        <v>1267</v>
      </c>
      <c r="AI160" s="1"/>
      <c r="AJ160" s="1" t="s">
        <v>142</v>
      </c>
      <c r="AK160" s="1"/>
      <c r="AL160" s="1"/>
      <c r="AM160" s="1" t="s">
        <v>65</v>
      </c>
      <c r="AN160" s="1" t="s">
        <v>274</v>
      </c>
      <c r="AO160" s="1"/>
      <c r="AP160" s="2" t="s">
        <v>1268</v>
      </c>
      <c r="AQ160" s="1"/>
      <c r="AR160" s="1" t="s">
        <v>115</v>
      </c>
      <c r="AS160" s="1" t="s">
        <v>1248</v>
      </c>
      <c r="AT160" s="2" t="s">
        <v>70</v>
      </c>
    </row>
    <row r="161">
      <c r="A161" s="1">
        <v>2043815.0</v>
      </c>
      <c r="B161" s="1" t="s">
        <v>116</v>
      </c>
      <c r="C161" s="1" t="s">
        <v>117</v>
      </c>
      <c r="D161" s="1" t="s">
        <v>46</v>
      </c>
      <c r="E161" s="1" t="s">
        <v>1269</v>
      </c>
      <c r="F161" s="1"/>
      <c r="G161" s="1" t="s">
        <v>119</v>
      </c>
      <c r="H161" s="1" t="s">
        <v>50</v>
      </c>
      <c r="I161" s="1">
        <v>500500.0</v>
      </c>
      <c r="J161" s="1"/>
      <c r="K161" s="1"/>
      <c r="L161" s="1" t="s">
        <v>120</v>
      </c>
      <c r="M161" s="1" t="s">
        <v>1270</v>
      </c>
      <c r="N161" s="1" t="s">
        <v>186</v>
      </c>
      <c r="O161" s="1" t="s">
        <v>95</v>
      </c>
      <c r="P161" s="2" t="s">
        <v>1271</v>
      </c>
      <c r="Q161" s="1" t="s">
        <v>56</v>
      </c>
      <c r="R161" s="1"/>
      <c r="S161" s="1" t="s">
        <v>241</v>
      </c>
      <c r="T161" s="1">
        <v>2408102.0</v>
      </c>
      <c r="U161" s="1" t="s">
        <v>1083</v>
      </c>
      <c r="V161" s="1" t="s">
        <v>1084</v>
      </c>
      <c r="W161" s="1" t="s">
        <v>291</v>
      </c>
      <c r="X161" s="1"/>
      <c r="Y161" s="1" t="str">
        <f>"02001004061202102"</f>
        <v>02001004061202102</v>
      </c>
      <c r="Z161" s="1" t="s">
        <v>101</v>
      </c>
      <c r="AA161" s="1" t="s">
        <v>1085</v>
      </c>
      <c r="AB161" s="1" t="str">
        <f>"33000167104900"</f>
        <v>33000167104900</v>
      </c>
      <c r="AC161" s="1"/>
      <c r="AD161" s="1"/>
      <c r="AE161" s="1"/>
      <c r="AF161" s="1">
        <v>-35.230833</v>
      </c>
      <c r="AG161" s="1">
        <v>-5.826667</v>
      </c>
      <c r="AH161" s="1" t="s">
        <v>1272</v>
      </c>
      <c r="AI161" s="1"/>
      <c r="AJ161" s="1" t="s">
        <v>120</v>
      </c>
      <c r="AK161" s="1"/>
      <c r="AL161" s="1" t="s">
        <v>128</v>
      </c>
      <c r="AM161" s="1" t="s">
        <v>65</v>
      </c>
      <c r="AN161" s="1" t="s">
        <v>66</v>
      </c>
      <c r="AO161" s="2" t="s">
        <v>468</v>
      </c>
      <c r="AP161" s="2" t="s">
        <v>1273</v>
      </c>
      <c r="AQ161" s="1" t="s">
        <v>132</v>
      </c>
      <c r="AR161" s="1" t="s">
        <v>1088</v>
      </c>
      <c r="AS161" s="1"/>
      <c r="AT161" s="2" t="s">
        <v>70</v>
      </c>
    </row>
    <row r="162">
      <c r="A162" s="1"/>
      <c r="B162" s="1" t="s">
        <v>46</v>
      </c>
      <c r="C162" s="1" t="s">
        <v>47</v>
      </c>
      <c r="D162" s="1"/>
      <c r="E162" s="1" t="s">
        <v>1274</v>
      </c>
      <c r="F162" s="1"/>
      <c r="G162" s="1" t="s">
        <v>49</v>
      </c>
      <c r="H162" s="1" t="s">
        <v>72</v>
      </c>
      <c r="I162" s="1">
        <v>16530.9</v>
      </c>
      <c r="J162" s="1"/>
      <c r="K162" s="1"/>
      <c r="L162" s="1"/>
      <c r="M162" s="1" t="s">
        <v>1275</v>
      </c>
      <c r="N162" s="1" t="s">
        <v>109</v>
      </c>
      <c r="O162" s="1" t="s">
        <v>110</v>
      </c>
      <c r="P162" s="2" t="s">
        <v>1276</v>
      </c>
      <c r="Q162" s="1" t="s">
        <v>56</v>
      </c>
      <c r="R162" s="1"/>
      <c r="S162" s="1" t="s">
        <v>359</v>
      </c>
      <c r="T162" s="1">
        <v>3548500.0</v>
      </c>
      <c r="U162" s="1" t="s">
        <v>360</v>
      </c>
      <c r="V162" s="1" t="s">
        <v>139</v>
      </c>
      <c r="W162" s="1" t="s">
        <v>78</v>
      </c>
      <c r="X162" s="1"/>
      <c r="Y162" s="1"/>
      <c r="Z162" s="1" t="s">
        <v>112</v>
      </c>
      <c r="AA162" s="1" t="s">
        <v>893</v>
      </c>
      <c r="AB162" s="1" t="str">
        <f>"20334805000189"</f>
        <v>20334805000189</v>
      </c>
      <c r="AC162" s="1"/>
      <c r="AD162" s="1" t="s">
        <v>81</v>
      </c>
      <c r="AE162" s="1"/>
      <c r="AF162" s="1">
        <v>-46.303611</v>
      </c>
      <c r="AG162" s="1">
        <v>-23.980278</v>
      </c>
      <c r="AH162" s="1" t="s">
        <v>1277</v>
      </c>
      <c r="AI162" s="1"/>
      <c r="AJ162" s="1" t="s">
        <v>142</v>
      </c>
      <c r="AK162" s="1"/>
      <c r="AL162" s="1"/>
      <c r="AM162" s="1" t="s">
        <v>65</v>
      </c>
      <c r="AN162" s="1" t="s">
        <v>274</v>
      </c>
      <c r="AO162" s="1"/>
      <c r="AP162" s="2" t="s">
        <v>1278</v>
      </c>
      <c r="AQ162" s="1"/>
      <c r="AR162" s="1" t="s">
        <v>115</v>
      </c>
      <c r="AS162" s="1" t="s">
        <v>1248</v>
      </c>
      <c r="AT162" s="2" t="s">
        <v>70</v>
      </c>
    </row>
    <row r="163">
      <c r="A163" s="1">
        <v>2043668.0</v>
      </c>
      <c r="B163" s="1" t="s">
        <v>116</v>
      </c>
      <c r="C163" s="1" t="s">
        <v>117</v>
      </c>
      <c r="D163" s="1" t="s">
        <v>46</v>
      </c>
      <c r="E163" s="1" t="s">
        <v>1279</v>
      </c>
      <c r="F163" s="1"/>
      <c r="G163" s="1" t="s">
        <v>119</v>
      </c>
      <c r="H163" s="1" t="s">
        <v>72</v>
      </c>
      <c r="I163" s="1">
        <v>8665.28</v>
      </c>
      <c r="J163" s="1"/>
      <c r="K163" s="1"/>
      <c r="L163" s="1" t="s">
        <v>587</v>
      </c>
      <c r="M163" s="1" t="s">
        <v>1280</v>
      </c>
      <c r="N163" s="1" t="s">
        <v>109</v>
      </c>
      <c r="O163" s="1" t="s">
        <v>110</v>
      </c>
      <c r="P163" s="2" t="s">
        <v>1281</v>
      </c>
      <c r="Q163" s="1" t="s">
        <v>56</v>
      </c>
      <c r="R163" s="2" t="s">
        <v>1160</v>
      </c>
      <c r="S163" s="1" t="s">
        <v>582</v>
      </c>
      <c r="T163" s="1">
        <v>1400175.0</v>
      </c>
      <c r="U163" s="1" t="s">
        <v>1282</v>
      </c>
      <c r="V163" s="1" t="s">
        <v>584</v>
      </c>
      <c r="W163" s="1" t="s">
        <v>100</v>
      </c>
      <c r="X163" s="1"/>
      <c r="Y163" s="1" t="str">
        <f>"02025000182202107"</f>
        <v>02025000182202107</v>
      </c>
      <c r="Z163" s="1" t="s">
        <v>112</v>
      </c>
      <c r="AA163" s="1" t="s">
        <v>1283</v>
      </c>
      <c r="AB163" s="1" t="str">
        <f>"12446881000158"</f>
        <v>12446881000158</v>
      </c>
      <c r="AC163" s="1"/>
      <c r="AD163" s="1"/>
      <c r="AE163" s="1"/>
      <c r="AF163" s="1">
        <v>-60.608889</v>
      </c>
      <c r="AG163" s="1">
        <v>2.766389</v>
      </c>
      <c r="AH163" s="1" t="s">
        <v>1284</v>
      </c>
      <c r="AI163" s="1"/>
      <c r="AJ163" s="1" t="s">
        <v>587</v>
      </c>
      <c r="AK163" s="1"/>
      <c r="AL163" s="1" t="s">
        <v>128</v>
      </c>
      <c r="AM163" s="1" t="s">
        <v>65</v>
      </c>
      <c r="AN163" s="1" t="s">
        <v>83</v>
      </c>
      <c r="AO163" s="2" t="s">
        <v>1285</v>
      </c>
      <c r="AP163" s="2" t="s">
        <v>1286</v>
      </c>
      <c r="AQ163" s="1" t="s">
        <v>132</v>
      </c>
      <c r="AR163" s="1" t="s">
        <v>470</v>
      </c>
      <c r="AS163" s="1" t="s">
        <v>1287</v>
      </c>
      <c r="AT163" s="2" t="s">
        <v>70</v>
      </c>
    </row>
    <row r="164">
      <c r="A164" s="1"/>
      <c r="B164" s="1" t="s">
        <v>46</v>
      </c>
      <c r="C164" s="1" t="s">
        <v>47</v>
      </c>
      <c r="D164" s="1"/>
      <c r="E164" s="1" t="s">
        <v>1288</v>
      </c>
      <c r="F164" s="1"/>
      <c r="G164" s="1" t="s">
        <v>49</v>
      </c>
      <c r="H164" s="1" t="s">
        <v>72</v>
      </c>
      <c r="I164" s="1">
        <v>33450.0</v>
      </c>
      <c r="J164" s="1"/>
      <c r="K164" s="1"/>
      <c r="L164" s="1"/>
      <c r="M164" s="1" t="s">
        <v>1289</v>
      </c>
      <c r="N164" s="1" t="s">
        <v>109</v>
      </c>
      <c r="O164" s="1" t="s">
        <v>110</v>
      </c>
      <c r="P164" s="2" t="s">
        <v>1290</v>
      </c>
      <c r="Q164" s="1" t="s">
        <v>56</v>
      </c>
      <c r="R164" s="1"/>
      <c r="S164" s="1" t="s">
        <v>447</v>
      </c>
      <c r="T164" s="1">
        <v>2100055.0</v>
      </c>
      <c r="U164" s="1" t="s">
        <v>1291</v>
      </c>
      <c r="V164" s="1" t="s">
        <v>449</v>
      </c>
      <c r="W164" s="1" t="s">
        <v>172</v>
      </c>
      <c r="X164" s="1"/>
      <c r="Y164" s="1"/>
      <c r="Z164" s="1" t="s">
        <v>112</v>
      </c>
      <c r="AA164" s="1" t="s">
        <v>1292</v>
      </c>
      <c r="AB164" s="1" t="str">
        <f>"33592510037821"</f>
        <v>33592510037821</v>
      </c>
      <c r="AC164" s="1"/>
      <c r="AD164" s="1" t="s">
        <v>81</v>
      </c>
      <c r="AE164" s="1"/>
      <c r="AF164" s="1">
        <v>-47.396111</v>
      </c>
      <c r="AG164" s="1">
        <v>-4.909917</v>
      </c>
      <c r="AH164" s="1" t="s">
        <v>1293</v>
      </c>
      <c r="AI164" s="1"/>
      <c r="AJ164" s="1" t="s">
        <v>120</v>
      </c>
      <c r="AK164" s="1"/>
      <c r="AL164" s="1"/>
      <c r="AM164" s="1" t="s">
        <v>65</v>
      </c>
      <c r="AN164" s="1" t="s">
        <v>274</v>
      </c>
      <c r="AO164" s="1"/>
      <c r="AP164" s="2" t="s">
        <v>1294</v>
      </c>
      <c r="AQ164" s="1"/>
      <c r="AR164" s="1" t="s">
        <v>1295</v>
      </c>
      <c r="AS164" s="1"/>
      <c r="AT164" s="2" t="s">
        <v>70</v>
      </c>
    </row>
    <row r="165">
      <c r="A165" s="1">
        <v>2043731.0</v>
      </c>
      <c r="B165" s="1" t="s">
        <v>116</v>
      </c>
      <c r="C165" s="1" t="s">
        <v>117</v>
      </c>
      <c r="D165" s="1" t="s">
        <v>46</v>
      </c>
      <c r="E165" s="1" t="s">
        <v>1296</v>
      </c>
      <c r="F165" s="1"/>
      <c r="G165" s="1" t="s">
        <v>119</v>
      </c>
      <c r="H165" s="1" t="s">
        <v>50</v>
      </c>
      <c r="I165" s="1">
        <v>10000.0</v>
      </c>
      <c r="J165" s="1"/>
      <c r="K165" s="1"/>
      <c r="L165" s="1" t="s">
        <v>405</v>
      </c>
      <c r="M165" s="1" t="s">
        <v>1297</v>
      </c>
      <c r="N165" s="1" t="s">
        <v>285</v>
      </c>
      <c r="O165" s="1" t="s">
        <v>286</v>
      </c>
      <c r="P165" s="2" t="s">
        <v>1298</v>
      </c>
      <c r="Q165" s="1" t="s">
        <v>56</v>
      </c>
      <c r="R165" s="1"/>
      <c r="S165" s="1" t="s">
        <v>400</v>
      </c>
      <c r="T165" s="1">
        <v>4314803.0</v>
      </c>
      <c r="U165" s="1" t="s">
        <v>1299</v>
      </c>
      <c r="V165" s="1" t="s">
        <v>402</v>
      </c>
      <c r="W165" s="1" t="s">
        <v>314</v>
      </c>
      <c r="X165" s="1"/>
      <c r="Y165" s="1" t="str">
        <f>"02023000406202192"</f>
        <v>02023000406202192</v>
      </c>
      <c r="Z165" s="1" t="s">
        <v>292</v>
      </c>
      <c r="AA165" s="1" t="s">
        <v>1300</v>
      </c>
      <c r="AB165" s="1" t="str">
        <f>"93366748000274"</f>
        <v>93366748000274</v>
      </c>
      <c r="AC165" s="1"/>
      <c r="AD165" s="1"/>
      <c r="AE165" s="1"/>
      <c r="AF165" s="1">
        <v>-51.225139</v>
      </c>
      <c r="AG165" s="1">
        <v>-29.705056</v>
      </c>
      <c r="AH165" s="1" t="s">
        <v>1301</v>
      </c>
      <c r="AI165" s="1"/>
      <c r="AJ165" s="1" t="s">
        <v>405</v>
      </c>
      <c r="AK165" s="1"/>
      <c r="AL165" s="1" t="s">
        <v>128</v>
      </c>
      <c r="AM165" s="1" t="s">
        <v>65</v>
      </c>
      <c r="AN165" s="1" t="s">
        <v>1302</v>
      </c>
      <c r="AO165" s="2" t="s">
        <v>778</v>
      </c>
      <c r="AP165" s="2" t="s">
        <v>1303</v>
      </c>
      <c r="AQ165" s="1" t="s">
        <v>132</v>
      </c>
      <c r="AR165" s="1" t="s">
        <v>531</v>
      </c>
      <c r="AS165" s="1" t="s">
        <v>1304</v>
      </c>
      <c r="AT165" s="2" t="s">
        <v>70</v>
      </c>
    </row>
    <row r="166">
      <c r="A166" s="1">
        <v>2043743.0</v>
      </c>
      <c r="B166" s="1" t="s">
        <v>116</v>
      </c>
      <c r="C166" s="1" t="s">
        <v>117</v>
      </c>
      <c r="D166" s="1" t="s">
        <v>46</v>
      </c>
      <c r="E166" s="1" t="s">
        <v>1305</v>
      </c>
      <c r="F166" s="1"/>
      <c r="G166" s="1" t="s">
        <v>119</v>
      </c>
      <c r="H166" s="1" t="s">
        <v>50</v>
      </c>
      <c r="I166" s="1">
        <v>10000.0</v>
      </c>
      <c r="J166" s="1"/>
      <c r="K166" s="1"/>
      <c r="L166" s="1" t="s">
        <v>442</v>
      </c>
      <c r="M166" s="1" t="s">
        <v>1306</v>
      </c>
      <c r="N166" s="1" t="s">
        <v>186</v>
      </c>
      <c r="O166" s="1" t="s">
        <v>95</v>
      </c>
      <c r="P166" s="2" t="s">
        <v>1307</v>
      </c>
      <c r="Q166" s="1" t="s">
        <v>77</v>
      </c>
      <c r="R166" s="2" t="s">
        <v>1308</v>
      </c>
      <c r="S166" s="1" t="s">
        <v>437</v>
      </c>
      <c r="T166" s="1">
        <v>2301109.0</v>
      </c>
      <c r="U166" s="1" t="s">
        <v>1130</v>
      </c>
      <c r="V166" s="1" t="s">
        <v>439</v>
      </c>
      <c r="W166" s="1" t="s">
        <v>60</v>
      </c>
      <c r="X166" s="1"/>
      <c r="Y166" s="1" t="str">
        <f>"02007000579202117"</f>
        <v>02007000579202117</v>
      </c>
      <c r="Z166" s="1" t="s">
        <v>101</v>
      </c>
      <c r="AA166" s="1" t="s">
        <v>1309</v>
      </c>
      <c r="AB166" s="1" t="str">
        <f>"***393253**"</f>
        <v>***393253**</v>
      </c>
      <c r="AC166" s="1"/>
      <c r="AD166" s="1"/>
      <c r="AE166" s="1"/>
      <c r="AF166" s="1">
        <v>-37.776667</v>
      </c>
      <c r="AG166" s="1">
        <v>-4.504167</v>
      </c>
      <c r="AH166" s="1" t="s">
        <v>1310</v>
      </c>
      <c r="AI166" s="1"/>
      <c r="AJ166" s="1" t="s">
        <v>442</v>
      </c>
      <c r="AK166" s="1"/>
      <c r="AL166" s="1" t="s">
        <v>128</v>
      </c>
      <c r="AM166" s="1" t="s">
        <v>65</v>
      </c>
      <c r="AN166" s="1" t="s">
        <v>159</v>
      </c>
      <c r="AO166" s="2" t="s">
        <v>691</v>
      </c>
      <c r="AP166" s="2" t="s">
        <v>1311</v>
      </c>
      <c r="AQ166" s="1" t="s">
        <v>132</v>
      </c>
      <c r="AR166" s="1" t="s">
        <v>494</v>
      </c>
      <c r="AS166" s="1"/>
      <c r="AT166" s="2" t="s">
        <v>70</v>
      </c>
    </row>
    <row r="167">
      <c r="A167" s="1">
        <v>2043758.0</v>
      </c>
      <c r="B167" s="1" t="s">
        <v>116</v>
      </c>
      <c r="C167" s="1" t="s">
        <v>117</v>
      </c>
      <c r="D167" s="1" t="s">
        <v>46</v>
      </c>
      <c r="E167" s="1" t="s">
        <v>1312</v>
      </c>
      <c r="F167" s="1"/>
      <c r="G167" s="1" t="s">
        <v>119</v>
      </c>
      <c r="H167" s="1" t="s">
        <v>72</v>
      </c>
      <c r="I167" s="1">
        <v>20000.0</v>
      </c>
      <c r="J167" s="1"/>
      <c r="K167" s="1"/>
      <c r="L167" s="1" t="s">
        <v>226</v>
      </c>
      <c r="M167" s="1" t="s">
        <v>1313</v>
      </c>
      <c r="N167" s="1" t="s">
        <v>257</v>
      </c>
      <c r="O167" s="1" t="s">
        <v>258</v>
      </c>
      <c r="P167" s="2" t="s">
        <v>1307</v>
      </c>
      <c r="Q167" s="1" t="s">
        <v>137</v>
      </c>
      <c r="R167" s="1"/>
      <c r="S167" s="1" t="s">
        <v>220</v>
      </c>
      <c r="T167" s="1">
        <v>4205803.0</v>
      </c>
      <c r="U167" s="1" t="s">
        <v>1314</v>
      </c>
      <c r="V167" s="1" t="s">
        <v>222</v>
      </c>
      <c r="W167" s="1" t="s">
        <v>78</v>
      </c>
      <c r="X167" s="1"/>
      <c r="Y167" s="1" t="str">
        <f>"02026000533202161"</f>
        <v>02026000533202161</v>
      </c>
      <c r="Z167" s="1" t="s">
        <v>260</v>
      </c>
      <c r="AA167" s="1" t="s">
        <v>1315</v>
      </c>
      <c r="AB167" s="1" t="str">
        <f>"***607589**"</f>
        <v>***607589**</v>
      </c>
      <c r="AC167" s="1"/>
      <c r="AD167" s="1"/>
      <c r="AE167" s="1"/>
      <c r="AF167" s="1">
        <v>-48.891111</v>
      </c>
      <c r="AG167" s="1">
        <v>-26.108611</v>
      </c>
      <c r="AH167" s="1" t="s">
        <v>1316</v>
      </c>
      <c r="AI167" s="1"/>
      <c r="AJ167" s="1" t="s">
        <v>226</v>
      </c>
      <c r="AK167" s="1"/>
      <c r="AL167" s="1" t="s">
        <v>128</v>
      </c>
      <c r="AM167" s="1" t="s">
        <v>65</v>
      </c>
      <c r="AN167" s="1" t="s">
        <v>227</v>
      </c>
      <c r="AO167" s="2" t="s">
        <v>691</v>
      </c>
      <c r="AP167" s="2" t="s">
        <v>1317</v>
      </c>
      <c r="AQ167" s="1" t="s">
        <v>132</v>
      </c>
      <c r="AR167" s="1" t="s">
        <v>1318</v>
      </c>
      <c r="AS167" s="1" t="s">
        <v>1319</v>
      </c>
      <c r="AT167" s="2" t="s">
        <v>70</v>
      </c>
    </row>
    <row r="168">
      <c r="A168" s="1">
        <v>2043646.0</v>
      </c>
      <c r="B168" s="1" t="s">
        <v>116</v>
      </c>
      <c r="C168" s="1" t="s">
        <v>117</v>
      </c>
      <c r="D168" s="1" t="s">
        <v>46</v>
      </c>
      <c r="E168" s="1" t="s">
        <v>1320</v>
      </c>
      <c r="F168" s="1"/>
      <c r="G168" s="1" t="s">
        <v>119</v>
      </c>
      <c r="H168" s="1" t="s">
        <v>50</v>
      </c>
      <c r="I168" s="1">
        <v>6000.0</v>
      </c>
      <c r="J168" s="1"/>
      <c r="K168" s="1"/>
      <c r="L168" s="1" t="s">
        <v>485</v>
      </c>
      <c r="M168" s="1" t="s">
        <v>1321</v>
      </c>
      <c r="N168" s="1" t="s">
        <v>285</v>
      </c>
      <c r="O168" s="1" t="s">
        <v>286</v>
      </c>
      <c r="P168" s="2" t="s">
        <v>1322</v>
      </c>
      <c r="Q168" s="1" t="s">
        <v>56</v>
      </c>
      <c r="R168" s="1"/>
      <c r="S168" s="1" t="s">
        <v>220</v>
      </c>
      <c r="T168" s="1">
        <v>1709500.0</v>
      </c>
      <c r="U168" s="1" t="s">
        <v>1323</v>
      </c>
      <c r="V168" s="1" t="s">
        <v>490</v>
      </c>
      <c r="W168" s="1" t="s">
        <v>172</v>
      </c>
      <c r="X168" s="1"/>
      <c r="Y168" s="1" t="str">
        <f>"02029000165202121"</f>
        <v>02029000165202121</v>
      </c>
      <c r="Z168" s="1" t="s">
        <v>292</v>
      </c>
      <c r="AA168" s="1" t="s">
        <v>1324</v>
      </c>
      <c r="AB168" s="1" t="str">
        <f>"37578093000146"</f>
        <v>37578093000146</v>
      </c>
      <c r="AC168" s="1"/>
      <c r="AD168" s="1"/>
      <c r="AE168" s="1"/>
      <c r="AF168" s="1">
        <v>-49.079444</v>
      </c>
      <c r="AG168" s="1">
        <v>-11.734444</v>
      </c>
      <c r="AH168" s="1" t="s">
        <v>1325</v>
      </c>
      <c r="AI168" s="1"/>
      <c r="AJ168" s="1" t="s">
        <v>485</v>
      </c>
      <c r="AK168" s="1"/>
      <c r="AL168" s="1" t="s">
        <v>128</v>
      </c>
      <c r="AM168" s="1" t="s">
        <v>65</v>
      </c>
      <c r="AN168" s="1" t="s">
        <v>296</v>
      </c>
      <c r="AO168" s="2" t="s">
        <v>1205</v>
      </c>
      <c r="AP168" s="2" t="s">
        <v>1326</v>
      </c>
      <c r="AQ168" s="1" t="s">
        <v>132</v>
      </c>
      <c r="AR168" s="1" t="s">
        <v>531</v>
      </c>
      <c r="AS168" s="1"/>
      <c r="AT168" s="2" t="s">
        <v>70</v>
      </c>
    </row>
    <row r="169">
      <c r="A169" s="1"/>
      <c r="B169" s="1" t="s">
        <v>46</v>
      </c>
      <c r="C169" s="1" t="s">
        <v>47</v>
      </c>
      <c r="D169" s="1"/>
      <c r="E169" s="1" t="s">
        <v>1327</v>
      </c>
      <c r="F169" s="1"/>
      <c r="G169" s="1" t="s">
        <v>49</v>
      </c>
      <c r="H169" s="1" t="s">
        <v>72</v>
      </c>
      <c r="I169" s="1">
        <v>70000.0</v>
      </c>
      <c r="J169" s="1"/>
      <c r="K169" s="1"/>
      <c r="L169" s="1"/>
      <c r="M169" s="1" t="s">
        <v>1328</v>
      </c>
      <c r="N169" s="1" t="s">
        <v>257</v>
      </c>
      <c r="O169" s="1" t="s">
        <v>258</v>
      </c>
      <c r="P169" s="2" t="s">
        <v>1329</v>
      </c>
      <c r="Q169" s="1" t="s">
        <v>56</v>
      </c>
      <c r="R169" s="1"/>
      <c r="S169" s="1" t="s">
        <v>400</v>
      </c>
      <c r="T169" s="1">
        <v>4315602.0</v>
      </c>
      <c r="U169" s="1" t="s">
        <v>1042</v>
      </c>
      <c r="V169" s="1" t="s">
        <v>402</v>
      </c>
      <c r="W169" s="1" t="s">
        <v>60</v>
      </c>
      <c r="X169" s="1"/>
      <c r="Y169" s="1"/>
      <c r="Z169" s="1" t="s">
        <v>260</v>
      </c>
      <c r="AA169" s="1" t="s">
        <v>1330</v>
      </c>
      <c r="AB169" s="1" t="str">
        <f>"***774470**"</f>
        <v>***774470**</v>
      </c>
      <c r="AC169" s="1"/>
      <c r="AD169" s="1" t="s">
        <v>81</v>
      </c>
      <c r="AE169" s="1"/>
      <c r="AF169" s="1">
        <v>-52.113056</v>
      </c>
      <c r="AG169" s="1">
        <v>-32.033611</v>
      </c>
      <c r="AH169" s="1" t="s">
        <v>1331</v>
      </c>
      <c r="AI169" s="1"/>
      <c r="AJ169" s="1" t="s">
        <v>405</v>
      </c>
      <c r="AK169" s="1"/>
      <c r="AL169" s="1"/>
      <c r="AM169" s="1" t="s">
        <v>65</v>
      </c>
      <c r="AN169" s="1" t="s">
        <v>1044</v>
      </c>
      <c r="AO169" s="1"/>
      <c r="AP169" s="2" t="s">
        <v>1332</v>
      </c>
      <c r="AQ169" s="1"/>
      <c r="AR169" s="1" t="s">
        <v>1333</v>
      </c>
      <c r="AS169" s="1" t="s">
        <v>1334</v>
      </c>
      <c r="AT169" s="2" t="s">
        <v>70</v>
      </c>
    </row>
    <row r="170">
      <c r="A170" s="1">
        <v>2043670.0</v>
      </c>
      <c r="B170" s="1" t="s">
        <v>116</v>
      </c>
      <c r="C170" s="1" t="s">
        <v>117</v>
      </c>
      <c r="D170" s="1" t="s">
        <v>46</v>
      </c>
      <c r="E170" s="1" t="s">
        <v>1335</v>
      </c>
      <c r="F170" s="1"/>
      <c r="G170" s="1" t="s">
        <v>119</v>
      </c>
      <c r="H170" s="1" t="s">
        <v>72</v>
      </c>
      <c r="I170" s="1">
        <v>7500.0</v>
      </c>
      <c r="J170" s="1"/>
      <c r="K170" s="1"/>
      <c r="L170" s="1" t="s">
        <v>1336</v>
      </c>
      <c r="M170" s="1" t="s">
        <v>1337</v>
      </c>
      <c r="N170" s="1" t="s">
        <v>257</v>
      </c>
      <c r="O170" s="1" t="s">
        <v>258</v>
      </c>
      <c r="P170" s="2" t="s">
        <v>1338</v>
      </c>
      <c r="Q170" s="1" t="s">
        <v>56</v>
      </c>
      <c r="R170" s="1"/>
      <c r="S170" s="1" t="s">
        <v>359</v>
      </c>
      <c r="T170" s="1">
        <v>3509502.0</v>
      </c>
      <c r="U170" s="1" t="s">
        <v>1339</v>
      </c>
      <c r="V170" s="1" t="s">
        <v>139</v>
      </c>
      <c r="W170" s="1" t="s">
        <v>78</v>
      </c>
      <c r="X170" s="1"/>
      <c r="Y170" s="1" t="str">
        <f>"02285000040202171"</f>
        <v>02285000040202171</v>
      </c>
      <c r="Z170" s="1" t="s">
        <v>260</v>
      </c>
      <c r="AA170" s="1" t="s">
        <v>1340</v>
      </c>
      <c r="AB170" s="1" t="str">
        <f>"***858227**"</f>
        <v>***858227**</v>
      </c>
      <c r="AC170" s="1"/>
      <c r="AD170" s="1" t="s">
        <v>325</v>
      </c>
      <c r="AE170" s="1"/>
      <c r="AF170" s="1">
        <v>-47.143889</v>
      </c>
      <c r="AG170" s="1">
        <v>-23.009444</v>
      </c>
      <c r="AH170" s="1" t="s">
        <v>1341</v>
      </c>
      <c r="AI170" s="1"/>
      <c r="AJ170" s="1" t="s">
        <v>1336</v>
      </c>
      <c r="AK170" s="1" t="s">
        <v>1342</v>
      </c>
      <c r="AL170" s="1" t="s">
        <v>128</v>
      </c>
      <c r="AM170" s="1" t="s">
        <v>65</v>
      </c>
      <c r="AN170" s="1" t="s">
        <v>1342</v>
      </c>
      <c r="AO170" s="2" t="s">
        <v>1068</v>
      </c>
      <c r="AP170" s="2" t="s">
        <v>1343</v>
      </c>
      <c r="AQ170" s="1" t="s">
        <v>132</v>
      </c>
      <c r="AR170" s="1" t="s">
        <v>1344</v>
      </c>
      <c r="AS170" s="1"/>
      <c r="AT170" s="2" t="s">
        <v>70</v>
      </c>
    </row>
    <row r="171">
      <c r="A171" s="1">
        <v>2043671.0</v>
      </c>
      <c r="B171" s="1" t="s">
        <v>116</v>
      </c>
      <c r="C171" s="1" t="s">
        <v>117</v>
      </c>
      <c r="D171" s="1" t="s">
        <v>46</v>
      </c>
      <c r="E171" s="1" t="s">
        <v>1345</v>
      </c>
      <c r="F171" s="1"/>
      <c r="G171" s="1" t="s">
        <v>119</v>
      </c>
      <c r="H171" s="1" t="s">
        <v>72</v>
      </c>
      <c r="I171" s="1">
        <v>1000.0</v>
      </c>
      <c r="J171" s="1"/>
      <c r="K171" s="1"/>
      <c r="L171" s="1" t="s">
        <v>1346</v>
      </c>
      <c r="M171" s="1" t="s">
        <v>1347</v>
      </c>
      <c r="N171" s="1" t="s">
        <v>109</v>
      </c>
      <c r="O171" s="1" t="s">
        <v>110</v>
      </c>
      <c r="P171" s="2" t="s">
        <v>1348</v>
      </c>
      <c r="Q171" s="1" t="s">
        <v>56</v>
      </c>
      <c r="R171" s="1"/>
      <c r="S171" s="1" t="s">
        <v>1349</v>
      </c>
      <c r="T171" s="1">
        <v>1504703.0</v>
      </c>
      <c r="U171" s="1" t="s">
        <v>1350</v>
      </c>
      <c r="V171" s="1" t="s">
        <v>917</v>
      </c>
      <c r="W171" s="1" t="s">
        <v>100</v>
      </c>
      <c r="X171" s="1"/>
      <c r="Y171" s="1" t="str">
        <f>"02018000524202170"</f>
        <v>02018000524202170</v>
      </c>
      <c r="Z171" s="1" t="s">
        <v>112</v>
      </c>
      <c r="AA171" s="1" t="s">
        <v>1351</v>
      </c>
      <c r="AB171" s="1" t="str">
        <f>"***517292**"</f>
        <v>***517292**</v>
      </c>
      <c r="AC171" s="1"/>
      <c r="AD171" s="1"/>
      <c r="AE171" s="1"/>
      <c r="AF171" s="1">
        <v>-48.8</v>
      </c>
      <c r="AG171" s="1">
        <v>-2.184444</v>
      </c>
      <c r="AH171" s="1" t="s">
        <v>1352</v>
      </c>
      <c r="AI171" s="1"/>
      <c r="AJ171" s="1" t="s">
        <v>1346</v>
      </c>
      <c r="AK171" s="1"/>
      <c r="AL171" s="1" t="s">
        <v>128</v>
      </c>
      <c r="AM171" s="1" t="s">
        <v>65</v>
      </c>
      <c r="AN171" s="1"/>
      <c r="AO171" s="2" t="s">
        <v>1068</v>
      </c>
      <c r="AP171" s="2" t="s">
        <v>1353</v>
      </c>
      <c r="AQ171" s="1" t="s">
        <v>132</v>
      </c>
      <c r="AR171" s="1" t="s">
        <v>1354</v>
      </c>
      <c r="AS171" s="1"/>
      <c r="AT171" s="2" t="s">
        <v>70</v>
      </c>
    </row>
    <row r="172">
      <c r="A172" s="1"/>
      <c r="B172" s="1" t="s">
        <v>46</v>
      </c>
      <c r="C172" s="1" t="s">
        <v>47</v>
      </c>
      <c r="D172" s="1"/>
      <c r="E172" s="1" t="s">
        <v>1355</v>
      </c>
      <c r="F172" s="1"/>
      <c r="G172" s="1" t="s">
        <v>49</v>
      </c>
      <c r="H172" s="1" t="s">
        <v>72</v>
      </c>
      <c r="I172" s="1">
        <v>1500.0</v>
      </c>
      <c r="J172" s="1"/>
      <c r="K172" s="1"/>
      <c r="L172" s="1"/>
      <c r="M172" s="1" t="s">
        <v>1356</v>
      </c>
      <c r="N172" s="1" t="s">
        <v>109</v>
      </c>
      <c r="O172" s="1" t="s">
        <v>110</v>
      </c>
      <c r="P172" s="2" t="s">
        <v>1357</v>
      </c>
      <c r="Q172" s="1" t="s">
        <v>56</v>
      </c>
      <c r="R172" s="1"/>
      <c r="S172" s="1" t="s">
        <v>1349</v>
      </c>
      <c r="T172" s="1">
        <v>1500206.0</v>
      </c>
      <c r="U172" s="1" t="s">
        <v>1358</v>
      </c>
      <c r="V172" s="1" t="s">
        <v>917</v>
      </c>
      <c r="W172" s="1" t="s">
        <v>100</v>
      </c>
      <c r="X172" s="1"/>
      <c r="Y172" s="1"/>
      <c r="Z172" s="1" t="s">
        <v>112</v>
      </c>
      <c r="AA172" s="1" t="s">
        <v>1359</v>
      </c>
      <c r="AB172" s="1" t="str">
        <f>"***148183**"</f>
        <v>***148183**</v>
      </c>
      <c r="AC172" s="1"/>
      <c r="AD172" s="1" t="s">
        <v>325</v>
      </c>
      <c r="AE172" s="1"/>
      <c r="AF172" s="1">
        <v>-48.416944</v>
      </c>
      <c r="AG172" s="1">
        <v>-1.635</v>
      </c>
      <c r="AH172" s="1" t="s">
        <v>1360</v>
      </c>
      <c r="AI172" s="1"/>
      <c r="AJ172" s="1" t="s">
        <v>1346</v>
      </c>
      <c r="AK172" s="1"/>
      <c r="AL172" s="1"/>
      <c r="AM172" s="1" t="s">
        <v>65</v>
      </c>
      <c r="AN172" s="1"/>
      <c r="AO172" s="1"/>
      <c r="AP172" s="2" t="s">
        <v>1361</v>
      </c>
      <c r="AQ172" s="1"/>
      <c r="AR172" s="1" t="s">
        <v>1362</v>
      </c>
      <c r="AS172" s="1" t="s">
        <v>1363</v>
      </c>
      <c r="AT172" s="2" t="s">
        <v>70</v>
      </c>
    </row>
    <row r="173">
      <c r="A173" s="1">
        <v>2043600.0</v>
      </c>
      <c r="B173" s="1" t="s">
        <v>116</v>
      </c>
      <c r="C173" s="1" t="s">
        <v>117</v>
      </c>
      <c r="D173" s="1" t="s">
        <v>46</v>
      </c>
      <c r="E173" s="1" t="s">
        <v>1364</v>
      </c>
      <c r="F173" s="1"/>
      <c r="G173" s="1" t="s">
        <v>119</v>
      </c>
      <c r="H173" s="1" t="s">
        <v>72</v>
      </c>
      <c r="I173" s="1">
        <v>7502.55</v>
      </c>
      <c r="J173" s="1"/>
      <c r="K173" s="1"/>
      <c r="L173" s="1" t="s">
        <v>1365</v>
      </c>
      <c r="M173" s="1" t="s">
        <v>1366</v>
      </c>
      <c r="N173" s="1" t="s">
        <v>109</v>
      </c>
      <c r="O173" s="1" t="s">
        <v>110</v>
      </c>
      <c r="P173" s="2" t="s">
        <v>1367</v>
      </c>
      <c r="Q173" s="1" t="s">
        <v>56</v>
      </c>
      <c r="R173" s="1"/>
      <c r="S173" s="1" t="s">
        <v>475</v>
      </c>
      <c r="T173" s="1">
        <v>3120904.0</v>
      </c>
      <c r="U173" s="1" t="s">
        <v>1368</v>
      </c>
      <c r="V173" s="1" t="s">
        <v>477</v>
      </c>
      <c r="W173" s="1" t="s">
        <v>172</v>
      </c>
      <c r="X173" s="1"/>
      <c r="Y173" s="1" t="str">
        <f>"02015000495202176"</f>
        <v>02015000495202176</v>
      </c>
      <c r="Z173" s="1" t="s">
        <v>112</v>
      </c>
      <c r="AA173" s="1" t="s">
        <v>1369</v>
      </c>
      <c r="AB173" s="1" t="str">
        <f>"11428167000174"</f>
        <v>11428167000174</v>
      </c>
      <c r="AC173" s="1"/>
      <c r="AD173" s="1"/>
      <c r="AE173" s="1"/>
      <c r="AF173" s="1">
        <v>-44.430694</v>
      </c>
      <c r="AG173" s="1">
        <v>-18.765111</v>
      </c>
      <c r="AH173" s="1" t="s">
        <v>1370</v>
      </c>
      <c r="AI173" s="1"/>
      <c r="AJ173" s="1" t="s">
        <v>1365</v>
      </c>
      <c r="AK173" s="1"/>
      <c r="AL173" s="1" t="s">
        <v>128</v>
      </c>
      <c r="AM173" s="1" t="s">
        <v>65</v>
      </c>
      <c r="AN173" s="1" t="s">
        <v>83</v>
      </c>
      <c r="AO173" s="2" t="s">
        <v>1371</v>
      </c>
      <c r="AP173" s="2" t="s">
        <v>1372</v>
      </c>
      <c r="AQ173" s="1" t="s">
        <v>132</v>
      </c>
      <c r="AR173" s="1" t="s">
        <v>1373</v>
      </c>
      <c r="AS173" s="1"/>
      <c r="AT173" s="2" t="s">
        <v>70</v>
      </c>
    </row>
    <row r="174">
      <c r="A174" s="1">
        <v>2043602.0</v>
      </c>
      <c r="B174" s="1" t="s">
        <v>116</v>
      </c>
      <c r="C174" s="1" t="s">
        <v>117</v>
      </c>
      <c r="D174" s="1" t="s">
        <v>46</v>
      </c>
      <c r="E174" s="1" t="s">
        <v>1374</v>
      </c>
      <c r="F174" s="1"/>
      <c r="G174" s="1" t="s">
        <v>119</v>
      </c>
      <c r="H174" s="1" t="s">
        <v>72</v>
      </c>
      <c r="I174" s="1">
        <v>7201.2</v>
      </c>
      <c r="J174" s="1"/>
      <c r="K174" s="1"/>
      <c r="L174" s="1" t="s">
        <v>1365</v>
      </c>
      <c r="M174" s="1" t="s">
        <v>1375</v>
      </c>
      <c r="N174" s="1" t="s">
        <v>109</v>
      </c>
      <c r="O174" s="1" t="s">
        <v>110</v>
      </c>
      <c r="P174" s="2" t="s">
        <v>1367</v>
      </c>
      <c r="Q174" s="1" t="s">
        <v>56</v>
      </c>
      <c r="R174" s="1"/>
      <c r="S174" s="1" t="s">
        <v>475</v>
      </c>
      <c r="T174" s="1">
        <v>3157807.0</v>
      </c>
      <c r="U174" s="1" t="s">
        <v>1376</v>
      </c>
      <c r="V174" s="1" t="s">
        <v>477</v>
      </c>
      <c r="W174" s="1" t="s">
        <v>172</v>
      </c>
      <c r="X174" s="1"/>
      <c r="Y174" s="1" t="str">
        <f>"02015000496202111"</f>
        <v>02015000496202111</v>
      </c>
      <c r="Z174" s="1" t="s">
        <v>112</v>
      </c>
      <c r="AA174" s="1" t="s">
        <v>1377</v>
      </c>
      <c r="AB174" s="1" t="str">
        <f>"17127644000148"</f>
        <v>17127644000148</v>
      </c>
      <c r="AC174" s="1"/>
      <c r="AD174" s="1"/>
      <c r="AE174" s="1"/>
      <c r="AF174" s="1">
        <v>-43.915861</v>
      </c>
      <c r="AG174" s="1">
        <v>-19.785528</v>
      </c>
      <c r="AH174" s="1" t="s">
        <v>1378</v>
      </c>
      <c r="AI174" s="1"/>
      <c r="AJ174" s="1" t="s">
        <v>1365</v>
      </c>
      <c r="AK174" s="1"/>
      <c r="AL174" s="1" t="s">
        <v>128</v>
      </c>
      <c r="AM174" s="1" t="s">
        <v>65</v>
      </c>
      <c r="AN174" s="1" t="s">
        <v>83</v>
      </c>
      <c r="AO174" s="2" t="s">
        <v>1371</v>
      </c>
      <c r="AP174" s="2" t="s">
        <v>1379</v>
      </c>
      <c r="AQ174" s="1" t="s">
        <v>132</v>
      </c>
      <c r="AR174" s="1" t="s">
        <v>1373</v>
      </c>
      <c r="AS174" s="1"/>
      <c r="AT174" s="2" t="s">
        <v>70</v>
      </c>
    </row>
    <row r="175">
      <c r="A175" s="1">
        <v>2043604.0</v>
      </c>
      <c r="B175" s="1" t="s">
        <v>116</v>
      </c>
      <c r="C175" s="1" t="s">
        <v>117</v>
      </c>
      <c r="D175" s="1" t="s">
        <v>46</v>
      </c>
      <c r="E175" s="1" t="s">
        <v>1380</v>
      </c>
      <c r="F175" s="1"/>
      <c r="G175" s="1" t="s">
        <v>119</v>
      </c>
      <c r="H175" s="1" t="s">
        <v>72</v>
      </c>
      <c r="I175" s="1">
        <v>8101.5</v>
      </c>
      <c r="J175" s="1"/>
      <c r="K175" s="1"/>
      <c r="L175" s="1" t="s">
        <v>1365</v>
      </c>
      <c r="M175" s="1" t="s">
        <v>1381</v>
      </c>
      <c r="N175" s="1" t="s">
        <v>109</v>
      </c>
      <c r="O175" s="1" t="s">
        <v>110</v>
      </c>
      <c r="P175" s="2" t="s">
        <v>1367</v>
      </c>
      <c r="Q175" s="1" t="s">
        <v>56</v>
      </c>
      <c r="R175" s="1"/>
      <c r="S175" s="1" t="s">
        <v>475</v>
      </c>
      <c r="T175" s="1">
        <v>3120904.0</v>
      </c>
      <c r="U175" s="1" t="s">
        <v>1368</v>
      </c>
      <c r="V175" s="1" t="s">
        <v>477</v>
      </c>
      <c r="W175" s="1" t="s">
        <v>172</v>
      </c>
      <c r="X175" s="1"/>
      <c r="Y175" s="1" t="str">
        <f>"02015000497202165"</f>
        <v>02015000497202165</v>
      </c>
      <c r="Z175" s="1" t="s">
        <v>112</v>
      </c>
      <c r="AA175" s="1" t="s">
        <v>1382</v>
      </c>
      <c r="AB175" s="1" t="str">
        <f>"05884377000174"</f>
        <v>05884377000174</v>
      </c>
      <c r="AC175" s="1"/>
      <c r="AD175" s="1"/>
      <c r="AE175" s="1"/>
      <c r="AF175" s="1">
        <v>-44.433528</v>
      </c>
      <c r="AG175" s="1">
        <v>-18.769056</v>
      </c>
      <c r="AH175" s="1" t="s">
        <v>1383</v>
      </c>
      <c r="AI175" s="1"/>
      <c r="AJ175" s="1" t="s">
        <v>1365</v>
      </c>
      <c r="AK175" s="1"/>
      <c r="AL175" s="1" t="s">
        <v>128</v>
      </c>
      <c r="AM175" s="1" t="s">
        <v>65</v>
      </c>
      <c r="AN175" s="1" t="s">
        <v>83</v>
      </c>
      <c r="AO175" s="2" t="s">
        <v>1371</v>
      </c>
      <c r="AP175" s="2" t="s">
        <v>1384</v>
      </c>
      <c r="AQ175" s="1" t="s">
        <v>132</v>
      </c>
      <c r="AR175" s="1" t="s">
        <v>1373</v>
      </c>
      <c r="AS175" s="1"/>
      <c r="AT175" s="2" t="s">
        <v>70</v>
      </c>
    </row>
    <row r="176">
      <c r="A176" s="1">
        <v>2043606.0</v>
      </c>
      <c r="B176" s="1" t="s">
        <v>116</v>
      </c>
      <c r="C176" s="1" t="s">
        <v>117</v>
      </c>
      <c r="D176" s="1" t="s">
        <v>46</v>
      </c>
      <c r="E176" s="1" t="s">
        <v>1385</v>
      </c>
      <c r="F176" s="1"/>
      <c r="G176" s="1" t="s">
        <v>119</v>
      </c>
      <c r="H176" s="1" t="s">
        <v>72</v>
      </c>
      <c r="I176" s="1">
        <v>7202.1</v>
      </c>
      <c r="J176" s="1"/>
      <c r="K176" s="1"/>
      <c r="L176" s="1" t="s">
        <v>1365</v>
      </c>
      <c r="M176" s="1" t="s">
        <v>1386</v>
      </c>
      <c r="N176" s="1" t="s">
        <v>109</v>
      </c>
      <c r="O176" s="1" t="s">
        <v>110</v>
      </c>
      <c r="P176" s="2" t="s">
        <v>1367</v>
      </c>
      <c r="Q176" s="1" t="s">
        <v>56</v>
      </c>
      <c r="R176" s="1"/>
      <c r="S176" s="1" t="s">
        <v>475</v>
      </c>
      <c r="T176" s="1">
        <v>3158003.0</v>
      </c>
      <c r="U176" s="1" t="s">
        <v>1387</v>
      </c>
      <c r="V176" s="1" t="s">
        <v>477</v>
      </c>
      <c r="W176" s="1" t="s">
        <v>78</v>
      </c>
      <c r="X176" s="1"/>
      <c r="Y176" s="1" t="str">
        <f>"02015000498202118"</f>
        <v>02015000498202118</v>
      </c>
      <c r="Z176" s="1" t="s">
        <v>112</v>
      </c>
      <c r="AA176" s="1" t="s">
        <v>1388</v>
      </c>
      <c r="AB176" s="1" t="str">
        <f>"16909038000111"</f>
        <v>16909038000111</v>
      </c>
      <c r="AC176" s="1"/>
      <c r="AD176" s="1"/>
      <c r="AE176" s="1"/>
      <c r="AF176" s="1">
        <v>-43.114417</v>
      </c>
      <c r="AG176" s="1">
        <v>-19.452417</v>
      </c>
      <c r="AH176" s="1" t="s">
        <v>1389</v>
      </c>
      <c r="AI176" s="1"/>
      <c r="AJ176" s="1" t="s">
        <v>1365</v>
      </c>
      <c r="AK176" s="1"/>
      <c r="AL176" s="1" t="s">
        <v>128</v>
      </c>
      <c r="AM176" s="1" t="s">
        <v>65</v>
      </c>
      <c r="AN176" s="1" t="s">
        <v>83</v>
      </c>
      <c r="AO176" s="2" t="s">
        <v>1371</v>
      </c>
      <c r="AP176" s="2" t="s">
        <v>1390</v>
      </c>
      <c r="AQ176" s="1" t="s">
        <v>132</v>
      </c>
      <c r="AR176" s="1" t="s">
        <v>1373</v>
      </c>
      <c r="AS176" s="1"/>
      <c r="AT176" s="2" t="s">
        <v>70</v>
      </c>
    </row>
    <row r="177">
      <c r="A177" s="1">
        <v>2043607.0</v>
      </c>
      <c r="B177" s="1" t="s">
        <v>116</v>
      </c>
      <c r="C177" s="1" t="s">
        <v>117</v>
      </c>
      <c r="D177" s="1" t="s">
        <v>46</v>
      </c>
      <c r="E177" s="1" t="s">
        <v>1391</v>
      </c>
      <c r="F177" s="1"/>
      <c r="G177" s="1" t="s">
        <v>119</v>
      </c>
      <c r="H177" s="1" t="s">
        <v>72</v>
      </c>
      <c r="I177" s="1">
        <v>8401.23</v>
      </c>
      <c r="J177" s="1"/>
      <c r="K177" s="1"/>
      <c r="L177" s="1" t="s">
        <v>1365</v>
      </c>
      <c r="M177" s="1" t="s">
        <v>1392</v>
      </c>
      <c r="N177" s="1" t="s">
        <v>109</v>
      </c>
      <c r="O177" s="1" t="s">
        <v>110</v>
      </c>
      <c r="P177" s="2" t="s">
        <v>1367</v>
      </c>
      <c r="Q177" s="1" t="s">
        <v>56</v>
      </c>
      <c r="R177" s="1"/>
      <c r="S177" s="1" t="s">
        <v>475</v>
      </c>
      <c r="T177" s="1">
        <v>3146404.0</v>
      </c>
      <c r="U177" s="1" t="s">
        <v>1393</v>
      </c>
      <c r="V177" s="1" t="s">
        <v>477</v>
      </c>
      <c r="W177" s="1" t="s">
        <v>172</v>
      </c>
      <c r="X177" s="1"/>
      <c r="Y177" s="1" t="str">
        <f>"02015000499202154"</f>
        <v>02015000499202154</v>
      </c>
      <c r="Z177" s="1" t="s">
        <v>112</v>
      </c>
      <c r="AA177" s="1" t="s">
        <v>1394</v>
      </c>
      <c r="AB177" s="1" t="str">
        <f>"10238718000174"</f>
        <v>10238718000174</v>
      </c>
      <c r="AC177" s="1"/>
      <c r="AD177" s="1"/>
      <c r="AE177" s="1"/>
      <c r="AF177" s="1">
        <v>-45.53225</v>
      </c>
      <c r="AG177" s="1">
        <v>-18.906472</v>
      </c>
      <c r="AH177" s="1" t="s">
        <v>1395</v>
      </c>
      <c r="AI177" s="1"/>
      <c r="AJ177" s="1" t="s">
        <v>1365</v>
      </c>
      <c r="AK177" s="1"/>
      <c r="AL177" s="1" t="s">
        <v>128</v>
      </c>
      <c r="AM177" s="1" t="s">
        <v>65</v>
      </c>
      <c r="AN177" s="1" t="s">
        <v>83</v>
      </c>
      <c r="AO177" s="2" t="s">
        <v>1371</v>
      </c>
      <c r="AP177" s="2" t="s">
        <v>1396</v>
      </c>
      <c r="AQ177" s="1" t="s">
        <v>132</v>
      </c>
      <c r="AR177" s="1" t="s">
        <v>1373</v>
      </c>
      <c r="AS177" s="1"/>
      <c r="AT177" s="2" t="s">
        <v>70</v>
      </c>
    </row>
    <row r="178">
      <c r="A178" s="1">
        <v>2043634.0</v>
      </c>
      <c r="B178" s="1" t="s">
        <v>116</v>
      </c>
      <c r="C178" s="1" t="s">
        <v>117</v>
      </c>
      <c r="D178" s="1" t="s">
        <v>46</v>
      </c>
      <c r="E178" s="1" t="s">
        <v>1397</v>
      </c>
      <c r="F178" s="1"/>
      <c r="G178" s="1" t="s">
        <v>119</v>
      </c>
      <c r="H178" s="1" t="s">
        <v>50</v>
      </c>
      <c r="I178" s="1">
        <v>500.0</v>
      </c>
      <c r="J178" s="1"/>
      <c r="K178" s="1"/>
      <c r="L178" s="1" t="s">
        <v>371</v>
      </c>
      <c r="M178" s="1" t="s">
        <v>1398</v>
      </c>
      <c r="N178" s="1" t="s">
        <v>257</v>
      </c>
      <c r="O178" s="1" t="s">
        <v>258</v>
      </c>
      <c r="P178" s="2" t="s">
        <v>1367</v>
      </c>
      <c r="Q178" s="1" t="s">
        <v>56</v>
      </c>
      <c r="R178" s="1"/>
      <c r="S178" s="1" t="s">
        <v>220</v>
      </c>
      <c r="T178" s="1">
        <v>3529005.0</v>
      </c>
      <c r="U178" s="1" t="s">
        <v>1399</v>
      </c>
      <c r="V178" s="1" t="s">
        <v>139</v>
      </c>
      <c r="W178" s="1" t="s">
        <v>172</v>
      </c>
      <c r="X178" s="1"/>
      <c r="Y178" s="1"/>
      <c r="Z178" s="1" t="s">
        <v>260</v>
      </c>
      <c r="AA178" s="1" t="s">
        <v>1400</v>
      </c>
      <c r="AB178" s="1" t="str">
        <f>"***837298**"</f>
        <v>***837298**</v>
      </c>
      <c r="AC178" s="1"/>
      <c r="AD178" s="1"/>
      <c r="AE178" s="1"/>
      <c r="AF178" s="1">
        <v>-49.355556</v>
      </c>
      <c r="AG178" s="1">
        <v>-20.791944</v>
      </c>
      <c r="AH178" s="1" t="s">
        <v>1401</v>
      </c>
      <c r="AI178" s="1"/>
      <c r="AJ178" s="1" t="s">
        <v>371</v>
      </c>
      <c r="AK178" s="1"/>
      <c r="AL178" s="1" t="s">
        <v>128</v>
      </c>
      <c r="AM178" s="1" t="s">
        <v>65</v>
      </c>
      <c r="AN178" s="1"/>
      <c r="AO178" s="2" t="s">
        <v>1205</v>
      </c>
      <c r="AP178" s="2" t="s">
        <v>1402</v>
      </c>
      <c r="AQ178" s="1" t="s">
        <v>132</v>
      </c>
      <c r="AR178" s="1" t="s">
        <v>1403</v>
      </c>
      <c r="AS178" s="1"/>
      <c r="AT178" s="2" t="s">
        <v>70</v>
      </c>
    </row>
    <row r="179">
      <c r="A179" s="1">
        <v>2043648.0</v>
      </c>
      <c r="B179" s="1" t="s">
        <v>116</v>
      </c>
      <c r="C179" s="1" t="s">
        <v>117</v>
      </c>
      <c r="D179" s="1" t="s">
        <v>46</v>
      </c>
      <c r="E179" s="1" t="s">
        <v>1404</v>
      </c>
      <c r="F179" s="1"/>
      <c r="G179" s="1" t="s">
        <v>119</v>
      </c>
      <c r="H179" s="1" t="s">
        <v>50</v>
      </c>
      <c r="I179" s="1">
        <v>1100.0</v>
      </c>
      <c r="J179" s="1"/>
      <c r="K179" s="1"/>
      <c r="L179" s="1" t="s">
        <v>485</v>
      </c>
      <c r="M179" s="1" t="s">
        <v>1405</v>
      </c>
      <c r="N179" s="1" t="s">
        <v>285</v>
      </c>
      <c r="O179" s="1" t="s">
        <v>286</v>
      </c>
      <c r="P179" s="2" t="s">
        <v>1367</v>
      </c>
      <c r="Q179" s="1" t="s">
        <v>56</v>
      </c>
      <c r="R179" s="2" t="s">
        <v>1308</v>
      </c>
      <c r="S179" s="1" t="s">
        <v>488</v>
      </c>
      <c r="T179" s="1">
        <v>1707553.0</v>
      </c>
      <c r="U179" s="1" t="s">
        <v>1406</v>
      </c>
      <c r="V179" s="1" t="s">
        <v>490</v>
      </c>
      <c r="W179" s="1" t="s">
        <v>172</v>
      </c>
      <c r="X179" s="1"/>
      <c r="Y179" s="1" t="str">
        <f>"02029000167202111"</f>
        <v>02029000167202111</v>
      </c>
      <c r="Z179" s="1" t="s">
        <v>292</v>
      </c>
      <c r="AA179" s="1" t="s">
        <v>1407</v>
      </c>
      <c r="AB179" s="1" t="str">
        <f>"08635059000168"</f>
        <v>08635059000168</v>
      </c>
      <c r="AC179" s="1"/>
      <c r="AD179" s="1"/>
      <c r="AE179" s="1"/>
      <c r="AF179" s="1">
        <v>-48.332778</v>
      </c>
      <c r="AG179" s="1">
        <v>-10.208611</v>
      </c>
      <c r="AH179" s="1" t="s">
        <v>1408</v>
      </c>
      <c r="AI179" s="1"/>
      <c r="AJ179" s="1" t="s">
        <v>485</v>
      </c>
      <c r="AK179" s="1"/>
      <c r="AL179" s="1" t="s">
        <v>128</v>
      </c>
      <c r="AM179" s="1" t="s">
        <v>65</v>
      </c>
      <c r="AN179" s="1" t="s">
        <v>296</v>
      </c>
      <c r="AO179" s="2" t="s">
        <v>1205</v>
      </c>
      <c r="AP179" s="2" t="s">
        <v>1409</v>
      </c>
      <c r="AQ179" s="1" t="s">
        <v>132</v>
      </c>
      <c r="AR179" s="1" t="s">
        <v>531</v>
      </c>
      <c r="AS179" s="1"/>
      <c r="AT179" s="2" t="s">
        <v>70</v>
      </c>
    </row>
    <row r="180">
      <c r="A180" s="1">
        <v>2043718.0</v>
      </c>
      <c r="B180" s="1" t="s">
        <v>116</v>
      </c>
      <c r="C180" s="1" t="s">
        <v>117</v>
      </c>
      <c r="D180" s="1" t="s">
        <v>46</v>
      </c>
      <c r="E180" s="1" t="s">
        <v>1410</v>
      </c>
      <c r="F180" s="1"/>
      <c r="G180" s="1" t="s">
        <v>119</v>
      </c>
      <c r="H180" s="1" t="s">
        <v>50</v>
      </c>
      <c r="I180" s="1">
        <v>12000.0</v>
      </c>
      <c r="J180" s="1"/>
      <c r="K180" s="1"/>
      <c r="L180" s="1" t="s">
        <v>295</v>
      </c>
      <c r="M180" s="1" t="s">
        <v>350</v>
      </c>
      <c r="N180" s="1" t="s">
        <v>186</v>
      </c>
      <c r="O180" s="1" t="s">
        <v>95</v>
      </c>
      <c r="P180" s="2" t="s">
        <v>1367</v>
      </c>
      <c r="Q180" s="1" t="s">
        <v>56</v>
      </c>
      <c r="R180" s="2" t="s">
        <v>1308</v>
      </c>
      <c r="S180" s="1" t="s">
        <v>288</v>
      </c>
      <c r="T180" s="1">
        <v>2211100.0</v>
      </c>
      <c r="U180" s="1" t="s">
        <v>1411</v>
      </c>
      <c r="V180" s="1" t="s">
        <v>290</v>
      </c>
      <c r="W180" s="1" t="s">
        <v>172</v>
      </c>
      <c r="X180" s="1"/>
      <c r="Y180" s="1" t="str">
        <f>"02020000321202134"</f>
        <v>02020000321202134</v>
      </c>
      <c r="Z180" s="1" t="s">
        <v>101</v>
      </c>
      <c r="AA180" s="1" t="s">
        <v>1412</v>
      </c>
      <c r="AB180" s="1" t="str">
        <f>"06920516000130"</f>
        <v>06920516000130</v>
      </c>
      <c r="AC180" s="1"/>
      <c r="AD180" s="1"/>
      <c r="AE180" s="1"/>
      <c r="AF180" s="1">
        <v>-42.783889</v>
      </c>
      <c r="AG180" s="1">
        <v>-5.065</v>
      </c>
      <c r="AH180" s="1" t="s">
        <v>1162</v>
      </c>
      <c r="AI180" s="1"/>
      <c r="AJ180" s="1" t="s">
        <v>295</v>
      </c>
      <c r="AK180" s="1"/>
      <c r="AL180" s="1" t="s">
        <v>128</v>
      </c>
      <c r="AM180" s="1" t="s">
        <v>65</v>
      </c>
      <c r="AN180" s="1" t="s">
        <v>296</v>
      </c>
      <c r="AO180" s="2" t="s">
        <v>778</v>
      </c>
      <c r="AP180" s="2" t="s">
        <v>1413</v>
      </c>
      <c r="AQ180" s="1" t="s">
        <v>132</v>
      </c>
      <c r="AR180" s="1" t="s">
        <v>531</v>
      </c>
      <c r="AS180" s="1"/>
      <c r="AT180" s="2" t="s">
        <v>70</v>
      </c>
    </row>
    <row r="181">
      <c r="A181" s="1">
        <v>2043825.0</v>
      </c>
      <c r="B181" s="1" t="s">
        <v>116</v>
      </c>
      <c r="C181" s="1" t="s">
        <v>117</v>
      </c>
      <c r="D181" s="1" t="s">
        <v>46</v>
      </c>
      <c r="E181" s="1" t="s">
        <v>1414</v>
      </c>
      <c r="F181" s="1"/>
      <c r="G181" s="1" t="s">
        <v>119</v>
      </c>
      <c r="H181" s="1" t="s">
        <v>50</v>
      </c>
      <c r="I181" s="1">
        <v>1000.0</v>
      </c>
      <c r="J181" s="1"/>
      <c r="K181" s="1"/>
      <c r="L181" s="1" t="s">
        <v>226</v>
      </c>
      <c r="M181" s="1" t="s">
        <v>1415</v>
      </c>
      <c r="N181" s="1" t="s">
        <v>186</v>
      </c>
      <c r="O181" s="1" t="s">
        <v>302</v>
      </c>
      <c r="P181" s="2" t="s">
        <v>1367</v>
      </c>
      <c r="Q181" s="1" t="s">
        <v>77</v>
      </c>
      <c r="R181" s="2" t="s">
        <v>1308</v>
      </c>
      <c r="S181" s="1" t="s">
        <v>220</v>
      </c>
      <c r="T181" s="1">
        <v>4201307.0</v>
      </c>
      <c r="U181" s="1" t="s">
        <v>1416</v>
      </c>
      <c r="V181" s="1" t="s">
        <v>222</v>
      </c>
      <c r="W181" s="1" t="s">
        <v>78</v>
      </c>
      <c r="X181" s="1"/>
      <c r="Y181" s="1" t="str">
        <f>"02026000551202143"</f>
        <v>02026000551202143</v>
      </c>
      <c r="Z181" s="1" t="s">
        <v>306</v>
      </c>
      <c r="AA181" s="1" t="s">
        <v>1417</v>
      </c>
      <c r="AB181" s="1" t="str">
        <f>"02900946000130"</f>
        <v>02900946000130</v>
      </c>
      <c r="AC181" s="1"/>
      <c r="AD181" s="1"/>
      <c r="AE181" s="1"/>
      <c r="AF181" s="1">
        <v>-48.790278</v>
      </c>
      <c r="AG181" s="1">
        <v>-26.451389</v>
      </c>
      <c r="AH181" s="1" t="s">
        <v>1418</v>
      </c>
      <c r="AI181" s="1"/>
      <c r="AJ181" s="1" t="s">
        <v>226</v>
      </c>
      <c r="AK181" s="1"/>
      <c r="AL181" s="1" t="s">
        <v>128</v>
      </c>
      <c r="AM181" s="1" t="s">
        <v>65</v>
      </c>
      <c r="AN181" s="1" t="s">
        <v>1419</v>
      </c>
      <c r="AO181" s="2" t="s">
        <v>468</v>
      </c>
      <c r="AP181" s="2" t="s">
        <v>1420</v>
      </c>
      <c r="AQ181" s="1" t="s">
        <v>132</v>
      </c>
      <c r="AR181" s="1" t="s">
        <v>1421</v>
      </c>
      <c r="AS181" s="1" t="s">
        <v>1422</v>
      </c>
      <c r="AT181" s="2" t="s">
        <v>70</v>
      </c>
    </row>
    <row r="182">
      <c r="A182" s="1"/>
      <c r="B182" s="1" t="s">
        <v>46</v>
      </c>
      <c r="C182" s="1" t="s">
        <v>47</v>
      </c>
      <c r="D182" s="1"/>
      <c r="E182" s="1" t="s">
        <v>1423</v>
      </c>
      <c r="F182" s="1"/>
      <c r="G182" s="1" t="s">
        <v>217</v>
      </c>
      <c r="H182" s="1" t="s">
        <v>50</v>
      </c>
      <c r="I182" s="1"/>
      <c r="J182" s="1"/>
      <c r="K182" s="1"/>
      <c r="L182" s="1"/>
      <c r="M182" s="1" t="s">
        <v>1424</v>
      </c>
      <c r="N182" s="1" t="s">
        <v>257</v>
      </c>
      <c r="O182" s="1" t="s">
        <v>258</v>
      </c>
      <c r="P182" s="2" t="s">
        <v>1425</v>
      </c>
      <c r="Q182" s="1"/>
      <c r="R182" s="1"/>
      <c r="S182" s="1" t="s">
        <v>220</v>
      </c>
      <c r="T182" s="1">
        <v>3506508.0</v>
      </c>
      <c r="U182" s="1" t="s">
        <v>1426</v>
      </c>
      <c r="V182" s="1" t="s">
        <v>139</v>
      </c>
      <c r="W182" s="1" t="s">
        <v>172</v>
      </c>
      <c r="X182" s="1"/>
      <c r="Y182" s="1"/>
      <c r="Z182" s="1" t="s">
        <v>1427</v>
      </c>
      <c r="AA182" s="1" t="s">
        <v>1428</v>
      </c>
      <c r="AB182" s="1" t="str">
        <f>"***202048**"</f>
        <v>***202048**</v>
      </c>
      <c r="AC182" s="1"/>
      <c r="AD182" s="1" t="s">
        <v>81</v>
      </c>
      <c r="AE182" s="1"/>
      <c r="AF182" s="1">
        <v>-49.355556</v>
      </c>
      <c r="AG182" s="1">
        <v>-20.791944</v>
      </c>
      <c r="AH182" s="1" t="s">
        <v>1429</v>
      </c>
      <c r="AI182" s="1"/>
      <c r="AJ182" s="1" t="s">
        <v>371</v>
      </c>
      <c r="AK182" s="1"/>
      <c r="AL182" s="1"/>
      <c r="AM182" s="1" t="s">
        <v>65</v>
      </c>
      <c r="AN182" s="1"/>
      <c r="AO182" s="1"/>
      <c r="AP182" s="2" t="s">
        <v>1430</v>
      </c>
      <c r="AQ182" s="1"/>
      <c r="AR182" s="1" t="s">
        <v>1431</v>
      </c>
      <c r="AS182" s="1"/>
      <c r="AT182" s="2" t="s">
        <v>70</v>
      </c>
    </row>
    <row r="183">
      <c r="A183" s="1">
        <v>2043596.0</v>
      </c>
      <c r="B183" s="1" t="s">
        <v>116</v>
      </c>
      <c r="C183" s="1" t="s">
        <v>117</v>
      </c>
      <c r="D183" s="1" t="s">
        <v>46</v>
      </c>
      <c r="E183" s="1" t="s">
        <v>1432</v>
      </c>
      <c r="F183" s="1"/>
      <c r="G183" s="1" t="s">
        <v>119</v>
      </c>
      <c r="H183" s="1" t="s">
        <v>72</v>
      </c>
      <c r="I183" s="1">
        <v>7296.0</v>
      </c>
      <c r="J183" s="1"/>
      <c r="K183" s="1"/>
      <c r="L183" s="1" t="s">
        <v>1365</v>
      </c>
      <c r="M183" s="1" t="s">
        <v>1433</v>
      </c>
      <c r="N183" s="1" t="s">
        <v>109</v>
      </c>
      <c r="O183" s="1" t="s">
        <v>110</v>
      </c>
      <c r="P183" s="2" t="s">
        <v>1434</v>
      </c>
      <c r="Q183" s="1" t="s">
        <v>56</v>
      </c>
      <c r="R183" s="1"/>
      <c r="S183" s="1" t="s">
        <v>475</v>
      </c>
      <c r="T183" s="1">
        <v>3118601.0</v>
      </c>
      <c r="U183" s="1" t="s">
        <v>1435</v>
      </c>
      <c r="V183" s="1" t="s">
        <v>477</v>
      </c>
      <c r="W183" s="1" t="s">
        <v>78</v>
      </c>
      <c r="X183" s="1"/>
      <c r="Y183" s="1" t="str">
        <f>"02015000491202198"</f>
        <v>02015000491202198</v>
      </c>
      <c r="Z183" s="1" t="s">
        <v>112</v>
      </c>
      <c r="AA183" s="1" t="s">
        <v>1436</v>
      </c>
      <c r="AB183" s="1" t="str">
        <f>"05363483000102"</f>
        <v>05363483000102</v>
      </c>
      <c r="AC183" s="1"/>
      <c r="AD183" s="1"/>
      <c r="AE183" s="1"/>
      <c r="AF183" s="1">
        <v>-44.03825</v>
      </c>
      <c r="AG183" s="1">
        <v>-19.934194</v>
      </c>
      <c r="AH183" s="1" t="s">
        <v>1437</v>
      </c>
      <c r="AI183" s="1">
        <v>643696.0</v>
      </c>
      <c r="AJ183" s="1" t="s">
        <v>1365</v>
      </c>
      <c r="AK183" s="1"/>
      <c r="AL183" s="1" t="s">
        <v>128</v>
      </c>
      <c r="AM183" s="1" t="s">
        <v>65</v>
      </c>
      <c r="AN183" s="1" t="s">
        <v>83</v>
      </c>
      <c r="AO183" s="2" t="s">
        <v>1371</v>
      </c>
      <c r="AP183" s="2" t="s">
        <v>1438</v>
      </c>
      <c r="AQ183" s="1" t="s">
        <v>132</v>
      </c>
      <c r="AR183" s="1" t="s">
        <v>1373</v>
      </c>
      <c r="AS183" s="1"/>
      <c r="AT183" s="2" t="s">
        <v>70</v>
      </c>
    </row>
    <row r="184">
      <c r="A184" s="1">
        <v>2043597.0</v>
      </c>
      <c r="B184" s="1" t="s">
        <v>116</v>
      </c>
      <c r="C184" s="1" t="s">
        <v>117</v>
      </c>
      <c r="D184" s="1" t="s">
        <v>46</v>
      </c>
      <c r="E184" s="1" t="s">
        <v>1439</v>
      </c>
      <c r="F184" s="1"/>
      <c r="G184" s="1" t="s">
        <v>119</v>
      </c>
      <c r="H184" s="1" t="s">
        <v>72</v>
      </c>
      <c r="I184" s="1">
        <v>7203.51</v>
      </c>
      <c r="J184" s="1"/>
      <c r="K184" s="1"/>
      <c r="L184" s="1" t="s">
        <v>1365</v>
      </c>
      <c r="M184" s="1" t="s">
        <v>1440</v>
      </c>
      <c r="N184" s="1" t="s">
        <v>109</v>
      </c>
      <c r="O184" s="1" t="s">
        <v>110</v>
      </c>
      <c r="P184" s="2" t="s">
        <v>1434</v>
      </c>
      <c r="Q184" s="1" t="s">
        <v>56</v>
      </c>
      <c r="R184" s="1"/>
      <c r="S184" s="1" t="s">
        <v>475</v>
      </c>
      <c r="T184" s="1">
        <v>3106200.0</v>
      </c>
      <c r="U184" s="1" t="s">
        <v>1441</v>
      </c>
      <c r="V184" s="1" t="s">
        <v>477</v>
      </c>
      <c r="W184" s="1" t="s">
        <v>78</v>
      </c>
      <c r="X184" s="1"/>
      <c r="Y184" s="1" t="str">
        <f>"02015000492202132"</f>
        <v>02015000492202132</v>
      </c>
      <c r="Z184" s="1" t="s">
        <v>112</v>
      </c>
      <c r="AA184" s="1" t="s">
        <v>1442</v>
      </c>
      <c r="AB184" s="1" t="str">
        <f>"25200445000146"</f>
        <v>25200445000146</v>
      </c>
      <c r="AC184" s="1"/>
      <c r="AD184" s="1"/>
      <c r="AE184" s="1"/>
      <c r="AF184" s="1">
        <v>-44.009139</v>
      </c>
      <c r="AG184" s="1">
        <v>-19.986611</v>
      </c>
      <c r="AH184" s="1" t="s">
        <v>1443</v>
      </c>
      <c r="AI184" s="1"/>
      <c r="AJ184" s="1" t="s">
        <v>1365</v>
      </c>
      <c r="AK184" s="1"/>
      <c r="AL184" s="1" t="s">
        <v>128</v>
      </c>
      <c r="AM184" s="1" t="s">
        <v>65</v>
      </c>
      <c r="AN184" s="1" t="s">
        <v>83</v>
      </c>
      <c r="AO184" s="2" t="s">
        <v>1371</v>
      </c>
      <c r="AP184" s="2" t="s">
        <v>1444</v>
      </c>
      <c r="AQ184" s="1" t="s">
        <v>132</v>
      </c>
      <c r="AR184" s="1" t="s">
        <v>1373</v>
      </c>
      <c r="AS184" s="1"/>
      <c r="AT184" s="2" t="s">
        <v>70</v>
      </c>
    </row>
    <row r="185">
      <c r="A185" s="1">
        <v>2043598.0</v>
      </c>
      <c r="B185" s="1" t="s">
        <v>116</v>
      </c>
      <c r="C185" s="1" t="s">
        <v>117</v>
      </c>
      <c r="D185" s="1" t="s">
        <v>46</v>
      </c>
      <c r="E185" s="1" t="s">
        <v>1445</v>
      </c>
      <c r="F185" s="1"/>
      <c r="G185" s="1" t="s">
        <v>119</v>
      </c>
      <c r="H185" s="1" t="s">
        <v>72</v>
      </c>
      <c r="I185" s="1">
        <v>7501.5</v>
      </c>
      <c r="J185" s="1"/>
      <c r="K185" s="1"/>
      <c r="L185" s="1" t="s">
        <v>1365</v>
      </c>
      <c r="M185" s="1" t="s">
        <v>1446</v>
      </c>
      <c r="N185" s="1" t="s">
        <v>109</v>
      </c>
      <c r="O185" s="1" t="s">
        <v>110</v>
      </c>
      <c r="P185" s="2" t="s">
        <v>1434</v>
      </c>
      <c r="Q185" s="1" t="s">
        <v>56</v>
      </c>
      <c r="R185" s="1"/>
      <c r="S185" s="1" t="s">
        <v>475</v>
      </c>
      <c r="T185" s="1">
        <v>3131901.0</v>
      </c>
      <c r="U185" s="1" t="s">
        <v>1447</v>
      </c>
      <c r="V185" s="1" t="s">
        <v>477</v>
      </c>
      <c r="W185" s="1" t="s">
        <v>78</v>
      </c>
      <c r="X185" s="1"/>
      <c r="Y185" s="1" t="str">
        <f>"02015000493202187"</f>
        <v>02015000493202187</v>
      </c>
      <c r="Z185" s="1" t="s">
        <v>112</v>
      </c>
      <c r="AA185" s="1" t="s">
        <v>1448</v>
      </c>
      <c r="AB185" s="1" t="str">
        <f>"16711459000133"</f>
        <v>16711459000133</v>
      </c>
      <c r="AC185" s="1"/>
      <c r="AD185" s="1"/>
      <c r="AE185" s="1"/>
      <c r="AF185" s="1">
        <v>-43.792472</v>
      </c>
      <c r="AG185" s="1">
        <v>-20.25825</v>
      </c>
      <c r="AH185" s="1" t="s">
        <v>1449</v>
      </c>
      <c r="AI185" s="1"/>
      <c r="AJ185" s="1" t="s">
        <v>1365</v>
      </c>
      <c r="AK185" s="1"/>
      <c r="AL185" s="1" t="s">
        <v>128</v>
      </c>
      <c r="AM185" s="1" t="s">
        <v>65</v>
      </c>
      <c r="AN185" s="1" t="s">
        <v>83</v>
      </c>
      <c r="AO185" s="2" t="s">
        <v>1371</v>
      </c>
      <c r="AP185" s="2" t="s">
        <v>1450</v>
      </c>
      <c r="AQ185" s="1" t="s">
        <v>132</v>
      </c>
      <c r="AR185" s="1" t="s">
        <v>1373</v>
      </c>
      <c r="AS185" s="1"/>
      <c r="AT185" s="2" t="s">
        <v>70</v>
      </c>
    </row>
    <row r="186">
      <c r="A186" s="1">
        <v>2043599.0</v>
      </c>
      <c r="B186" s="1" t="s">
        <v>116</v>
      </c>
      <c r="C186" s="1" t="s">
        <v>117</v>
      </c>
      <c r="D186" s="1" t="s">
        <v>46</v>
      </c>
      <c r="E186" s="1" t="s">
        <v>1451</v>
      </c>
      <c r="F186" s="1"/>
      <c r="G186" s="1" t="s">
        <v>119</v>
      </c>
      <c r="H186" s="1" t="s">
        <v>72</v>
      </c>
      <c r="I186" s="1">
        <v>9003.06</v>
      </c>
      <c r="J186" s="1"/>
      <c r="K186" s="1"/>
      <c r="L186" s="1" t="s">
        <v>1365</v>
      </c>
      <c r="M186" s="1" t="s">
        <v>1452</v>
      </c>
      <c r="N186" s="1" t="s">
        <v>109</v>
      </c>
      <c r="O186" s="1" t="s">
        <v>110</v>
      </c>
      <c r="P186" s="2" t="s">
        <v>1434</v>
      </c>
      <c r="Q186" s="1" t="s">
        <v>56</v>
      </c>
      <c r="R186" s="1"/>
      <c r="S186" s="1" t="s">
        <v>475</v>
      </c>
      <c r="T186" s="1">
        <v>3106200.0</v>
      </c>
      <c r="U186" s="1" t="s">
        <v>1441</v>
      </c>
      <c r="V186" s="1" t="s">
        <v>477</v>
      </c>
      <c r="W186" s="1" t="s">
        <v>78</v>
      </c>
      <c r="X186" s="1"/>
      <c r="Y186" s="1" t="str">
        <f>"02015000494202121"</f>
        <v>02015000494202121</v>
      </c>
      <c r="Z186" s="1" t="s">
        <v>112</v>
      </c>
      <c r="AA186" s="1" t="s">
        <v>1453</v>
      </c>
      <c r="AB186" s="1" t="str">
        <f>"18750612000167"</f>
        <v>18750612000167</v>
      </c>
      <c r="AC186" s="1"/>
      <c r="AD186" s="1"/>
      <c r="AE186" s="1"/>
      <c r="AF186" s="1">
        <v>-43.965833</v>
      </c>
      <c r="AG186" s="1">
        <v>-19.838139</v>
      </c>
      <c r="AH186" s="1" t="s">
        <v>1454</v>
      </c>
      <c r="AI186" s="1"/>
      <c r="AJ186" s="1" t="s">
        <v>1365</v>
      </c>
      <c r="AK186" s="1"/>
      <c r="AL186" s="1" t="s">
        <v>128</v>
      </c>
      <c r="AM186" s="1" t="s">
        <v>65</v>
      </c>
      <c r="AN186" s="1" t="s">
        <v>83</v>
      </c>
      <c r="AO186" s="2" t="s">
        <v>1371</v>
      </c>
      <c r="AP186" s="2" t="s">
        <v>1455</v>
      </c>
      <c r="AQ186" s="1" t="s">
        <v>132</v>
      </c>
      <c r="AR186" s="1" t="s">
        <v>1373</v>
      </c>
      <c r="AS186" s="1"/>
      <c r="AT186" s="2" t="s">
        <v>70</v>
      </c>
    </row>
    <row r="187">
      <c r="A187" s="1">
        <v>2043678.0</v>
      </c>
      <c r="B187" s="1" t="s">
        <v>116</v>
      </c>
      <c r="C187" s="1" t="s">
        <v>117</v>
      </c>
      <c r="D187" s="1" t="s">
        <v>46</v>
      </c>
      <c r="E187" s="1" t="s">
        <v>1456</v>
      </c>
      <c r="F187" s="1"/>
      <c r="G187" s="1" t="s">
        <v>119</v>
      </c>
      <c r="H187" s="1" t="s">
        <v>72</v>
      </c>
      <c r="I187" s="1">
        <v>5500.0</v>
      </c>
      <c r="J187" s="1"/>
      <c r="K187" s="1"/>
      <c r="L187" s="1" t="s">
        <v>1457</v>
      </c>
      <c r="M187" s="1" t="s">
        <v>1458</v>
      </c>
      <c r="N187" s="1" t="s">
        <v>257</v>
      </c>
      <c r="O187" s="1" t="s">
        <v>258</v>
      </c>
      <c r="P187" s="2" t="s">
        <v>1434</v>
      </c>
      <c r="Q187" s="1" t="s">
        <v>77</v>
      </c>
      <c r="R187" s="2" t="s">
        <v>1308</v>
      </c>
      <c r="S187" s="1" t="s">
        <v>475</v>
      </c>
      <c r="T187" s="1">
        <v>3126703.0</v>
      </c>
      <c r="U187" s="1" t="s">
        <v>1459</v>
      </c>
      <c r="V187" s="1" t="s">
        <v>477</v>
      </c>
      <c r="W187" s="1" t="s">
        <v>172</v>
      </c>
      <c r="X187" s="1"/>
      <c r="Y187" s="1" t="str">
        <f>"02566000017202120"</f>
        <v>02566000017202120</v>
      </c>
      <c r="Z187" s="1" t="s">
        <v>260</v>
      </c>
      <c r="AA187" s="1" t="s">
        <v>1460</v>
      </c>
      <c r="AB187" s="1" t="str">
        <f>"***870056**"</f>
        <v>***870056**</v>
      </c>
      <c r="AC187" s="1"/>
      <c r="AD187" s="1"/>
      <c r="AE187" s="1"/>
      <c r="AF187" s="1">
        <v>-43.675833</v>
      </c>
      <c r="AG187" s="1">
        <v>-16.380833</v>
      </c>
      <c r="AH187" s="1" t="s">
        <v>1461</v>
      </c>
      <c r="AI187" s="1"/>
      <c r="AJ187" s="1" t="s">
        <v>1457</v>
      </c>
      <c r="AK187" s="1"/>
      <c r="AL187" s="1" t="s">
        <v>128</v>
      </c>
      <c r="AM187" s="1" t="s">
        <v>65</v>
      </c>
      <c r="AN187" s="1" t="s">
        <v>1462</v>
      </c>
      <c r="AO187" s="2" t="s">
        <v>1068</v>
      </c>
      <c r="AP187" s="2" t="s">
        <v>1463</v>
      </c>
      <c r="AQ187" s="1" t="s">
        <v>132</v>
      </c>
      <c r="AR187" s="1" t="s">
        <v>1464</v>
      </c>
      <c r="AS187" s="1"/>
      <c r="AT187" s="2" t="s">
        <v>70</v>
      </c>
    </row>
    <row r="188">
      <c r="A188" s="1"/>
      <c r="B188" s="1" t="s">
        <v>46</v>
      </c>
      <c r="C188" s="1" t="s">
        <v>47</v>
      </c>
      <c r="D188" s="1"/>
      <c r="E188" s="1" t="s">
        <v>1465</v>
      </c>
      <c r="F188" s="1"/>
      <c r="G188" s="1" t="s">
        <v>49</v>
      </c>
      <c r="H188" s="1" t="s">
        <v>72</v>
      </c>
      <c r="I188" s="1">
        <v>5000.0</v>
      </c>
      <c r="J188" s="1"/>
      <c r="K188" s="1"/>
      <c r="L188" s="1"/>
      <c r="M188" s="1" t="s">
        <v>1466</v>
      </c>
      <c r="N188" s="1" t="s">
        <v>109</v>
      </c>
      <c r="O188" s="1" t="s">
        <v>110</v>
      </c>
      <c r="P188" s="2" t="s">
        <v>1467</v>
      </c>
      <c r="Q188" s="1" t="s">
        <v>56</v>
      </c>
      <c r="R188" s="1"/>
      <c r="S188" s="1" t="s">
        <v>1468</v>
      </c>
      <c r="T188" s="1">
        <v>5007901.0</v>
      </c>
      <c r="U188" s="1" t="s">
        <v>1469</v>
      </c>
      <c r="V188" s="1" t="s">
        <v>1470</v>
      </c>
      <c r="W188" s="1" t="s">
        <v>172</v>
      </c>
      <c r="X188" s="1"/>
      <c r="Y188" s="1"/>
      <c r="Z188" s="1" t="s">
        <v>112</v>
      </c>
      <c r="AA188" s="1" t="s">
        <v>1471</v>
      </c>
      <c r="AB188" s="1" t="str">
        <f>"***385621**"</f>
        <v>***385621**</v>
      </c>
      <c r="AC188" s="1"/>
      <c r="AD188" s="1" t="s">
        <v>325</v>
      </c>
      <c r="AE188" s="1"/>
      <c r="AF188" s="1">
        <v>-47.933056</v>
      </c>
      <c r="AG188" s="1">
        <v>-15.83</v>
      </c>
      <c r="AH188" s="1" t="s">
        <v>1472</v>
      </c>
      <c r="AI188" s="1"/>
      <c r="AJ188" s="1" t="s">
        <v>1473</v>
      </c>
      <c r="AK188" s="1"/>
      <c r="AL188" s="1"/>
      <c r="AM188" s="1" t="s">
        <v>65</v>
      </c>
      <c r="AN188" s="1"/>
      <c r="AO188" s="1"/>
      <c r="AP188" s="2" t="s">
        <v>1474</v>
      </c>
      <c r="AQ188" s="1"/>
      <c r="AR188" s="1" t="s">
        <v>1475</v>
      </c>
      <c r="AS188" s="1"/>
      <c r="AT188" s="2" t="s">
        <v>70</v>
      </c>
    </row>
    <row r="189">
      <c r="A189" s="1"/>
      <c r="B189" s="1" t="s">
        <v>46</v>
      </c>
      <c r="C189" s="1" t="s">
        <v>47</v>
      </c>
      <c r="D189" s="1"/>
      <c r="E189" s="1" t="s">
        <v>1476</v>
      </c>
      <c r="F189" s="1"/>
      <c r="G189" s="1" t="s">
        <v>49</v>
      </c>
      <c r="H189" s="1" t="s">
        <v>72</v>
      </c>
      <c r="I189" s="1">
        <v>10000.0</v>
      </c>
      <c r="J189" s="1"/>
      <c r="K189" s="1"/>
      <c r="L189" s="1"/>
      <c r="M189" s="1" t="s">
        <v>1477</v>
      </c>
      <c r="N189" s="1" t="s">
        <v>94</v>
      </c>
      <c r="O189" s="1" t="s">
        <v>95</v>
      </c>
      <c r="P189" s="2" t="s">
        <v>1478</v>
      </c>
      <c r="Q189" s="1" t="s">
        <v>77</v>
      </c>
      <c r="R189" s="1"/>
      <c r="S189" s="1" t="s">
        <v>437</v>
      </c>
      <c r="T189" s="1">
        <v>2301109.0</v>
      </c>
      <c r="U189" s="1" t="s">
        <v>1130</v>
      </c>
      <c r="V189" s="1" t="s">
        <v>439</v>
      </c>
      <c r="W189" s="1" t="s">
        <v>60</v>
      </c>
      <c r="X189" s="1"/>
      <c r="Y189" s="1"/>
      <c r="Z189" s="1" t="s">
        <v>101</v>
      </c>
      <c r="AA189" s="1" t="s">
        <v>1479</v>
      </c>
      <c r="AB189" s="1" t="str">
        <f>"***797733**"</f>
        <v>***797733**</v>
      </c>
      <c r="AC189" s="1"/>
      <c r="AD189" s="1" t="s">
        <v>62</v>
      </c>
      <c r="AE189" s="1"/>
      <c r="AF189" s="1">
        <v>-37.767778</v>
      </c>
      <c r="AG189" s="1">
        <v>-4.563056</v>
      </c>
      <c r="AH189" s="1" t="s">
        <v>1480</v>
      </c>
      <c r="AI189" s="1"/>
      <c r="AJ189" s="1" t="s">
        <v>442</v>
      </c>
      <c r="AK189" s="1"/>
      <c r="AL189" s="1"/>
      <c r="AM189" s="1" t="s">
        <v>65</v>
      </c>
      <c r="AN189" s="1" t="s">
        <v>159</v>
      </c>
      <c r="AO189" s="1"/>
      <c r="AP189" s="2" t="s">
        <v>1481</v>
      </c>
      <c r="AQ189" s="1"/>
      <c r="AR189" s="1" t="s">
        <v>684</v>
      </c>
      <c r="AS189" s="1"/>
      <c r="AT189" s="2" t="s">
        <v>70</v>
      </c>
    </row>
    <row r="190">
      <c r="A190" s="1"/>
      <c r="B190" s="1" t="s">
        <v>46</v>
      </c>
      <c r="C190" s="1" t="s">
        <v>47</v>
      </c>
      <c r="D190" s="1"/>
      <c r="E190" s="1" t="s">
        <v>1482</v>
      </c>
      <c r="F190" s="1"/>
      <c r="G190" s="1" t="s">
        <v>49</v>
      </c>
      <c r="H190" s="1" t="s">
        <v>72</v>
      </c>
      <c r="I190" s="1">
        <v>8666.4</v>
      </c>
      <c r="J190" s="1"/>
      <c r="K190" s="1"/>
      <c r="L190" s="1"/>
      <c r="M190" s="1" t="s">
        <v>1483</v>
      </c>
      <c r="N190" s="1" t="s">
        <v>109</v>
      </c>
      <c r="O190" s="1" t="s">
        <v>110</v>
      </c>
      <c r="P190" s="2" t="s">
        <v>1484</v>
      </c>
      <c r="Q190" s="1" t="s">
        <v>77</v>
      </c>
      <c r="R190" s="1"/>
      <c r="S190" s="1" t="s">
        <v>220</v>
      </c>
      <c r="T190" s="1">
        <v>5221601.0</v>
      </c>
      <c r="U190" s="1" t="s">
        <v>1485</v>
      </c>
      <c r="V190" s="1" t="s">
        <v>171</v>
      </c>
      <c r="W190" s="1" t="s">
        <v>100</v>
      </c>
      <c r="X190" s="1"/>
      <c r="Y190" s="1"/>
      <c r="Z190" s="1" t="s">
        <v>112</v>
      </c>
      <c r="AA190" s="1" t="s">
        <v>1486</v>
      </c>
      <c r="AB190" s="1" t="str">
        <f>"22883894000148"</f>
        <v>22883894000148</v>
      </c>
      <c r="AC190" s="1"/>
      <c r="AD190" s="1" t="s">
        <v>81</v>
      </c>
      <c r="AE190" s="1"/>
      <c r="AF190" s="1">
        <v>-49.156389</v>
      </c>
      <c r="AG190" s="1">
        <v>-14.47</v>
      </c>
      <c r="AH190" s="1" t="s">
        <v>1487</v>
      </c>
      <c r="AI190" s="1"/>
      <c r="AJ190" s="1" t="s">
        <v>175</v>
      </c>
      <c r="AK190" s="1"/>
      <c r="AL190" s="1"/>
      <c r="AM190" s="1" t="s">
        <v>65</v>
      </c>
      <c r="AN190" s="1" t="s">
        <v>83</v>
      </c>
      <c r="AO190" s="1"/>
      <c r="AP190" s="2" t="s">
        <v>1488</v>
      </c>
      <c r="AQ190" s="1"/>
      <c r="AR190" s="1" t="s">
        <v>455</v>
      </c>
      <c r="AS190" s="1"/>
      <c r="AT190" s="2" t="s">
        <v>70</v>
      </c>
    </row>
    <row r="191">
      <c r="A191" s="1">
        <v>2043571.0</v>
      </c>
      <c r="B191" s="1" t="s">
        <v>116</v>
      </c>
      <c r="C191" s="1" t="s">
        <v>117</v>
      </c>
      <c r="D191" s="1" t="s">
        <v>46</v>
      </c>
      <c r="E191" s="1" t="s">
        <v>1489</v>
      </c>
      <c r="F191" s="1"/>
      <c r="G191" s="1" t="s">
        <v>119</v>
      </c>
      <c r="H191" s="1" t="s">
        <v>50</v>
      </c>
      <c r="I191" s="1">
        <v>1000.0</v>
      </c>
      <c r="J191" s="1"/>
      <c r="K191" s="1"/>
      <c r="L191" s="1" t="s">
        <v>226</v>
      </c>
      <c r="M191" s="1" t="s">
        <v>1490</v>
      </c>
      <c r="N191" s="1" t="s">
        <v>257</v>
      </c>
      <c r="O191" s="1" t="s">
        <v>258</v>
      </c>
      <c r="P191" s="2" t="s">
        <v>1491</v>
      </c>
      <c r="Q191" s="1" t="s">
        <v>56</v>
      </c>
      <c r="R191" s="1"/>
      <c r="S191" s="1" t="s">
        <v>784</v>
      </c>
      <c r="T191" s="1">
        <v>4204202.0</v>
      </c>
      <c r="U191" s="1" t="s">
        <v>1492</v>
      </c>
      <c r="V191" s="1" t="s">
        <v>222</v>
      </c>
      <c r="W191" s="1" t="s">
        <v>78</v>
      </c>
      <c r="X191" s="1"/>
      <c r="Y191" s="1" t="str">
        <f>"02026000482202178"</f>
        <v>02026000482202178</v>
      </c>
      <c r="Z191" s="1" t="s">
        <v>260</v>
      </c>
      <c r="AA191" s="1" t="s">
        <v>1493</v>
      </c>
      <c r="AB191" s="1" t="str">
        <f>"***027679**"</f>
        <v>***027679**</v>
      </c>
      <c r="AC191" s="1"/>
      <c r="AD191" s="1"/>
      <c r="AE191" s="1"/>
      <c r="AF191" s="1">
        <v>-52.611111</v>
      </c>
      <c r="AG191" s="1">
        <v>-27.1</v>
      </c>
      <c r="AH191" s="1" t="s">
        <v>1494</v>
      </c>
      <c r="AI191" s="1"/>
      <c r="AJ191" s="1" t="s">
        <v>226</v>
      </c>
      <c r="AK191" s="1"/>
      <c r="AL191" s="1" t="s">
        <v>128</v>
      </c>
      <c r="AM191" s="1" t="s">
        <v>65</v>
      </c>
      <c r="AN191" s="1" t="s">
        <v>788</v>
      </c>
      <c r="AO191" s="2" t="s">
        <v>1371</v>
      </c>
      <c r="AP191" s="2" t="s">
        <v>1495</v>
      </c>
      <c r="AQ191" s="1" t="s">
        <v>132</v>
      </c>
      <c r="AR191" s="1" t="s">
        <v>693</v>
      </c>
      <c r="AS191" s="1" t="s">
        <v>1496</v>
      </c>
      <c r="AT191" s="2" t="s">
        <v>70</v>
      </c>
    </row>
    <row r="192">
      <c r="A192" s="1">
        <v>2043633.0</v>
      </c>
      <c r="B192" s="1" t="s">
        <v>116</v>
      </c>
      <c r="C192" s="1" t="s">
        <v>117</v>
      </c>
      <c r="D192" s="1" t="s">
        <v>46</v>
      </c>
      <c r="E192" s="1" t="s">
        <v>1497</v>
      </c>
      <c r="F192" s="1"/>
      <c r="G192" s="1" t="s">
        <v>119</v>
      </c>
      <c r="H192" s="1" t="s">
        <v>50</v>
      </c>
      <c r="I192" s="1">
        <v>20500.0</v>
      </c>
      <c r="J192" s="1"/>
      <c r="K192" s="1"/>
      <c r="L192" s="1" t="s">
        <v>1096</v>
      </c>
      <c r="M192" s="1" t="s">
        <v>1498</v>
      </c>
      <c r="N192" s="1" t="s">
        <v>53</v>
      </c>
      <c r="O192" s="1" t="s">
        <v>333</v>
      </c>
      <c r="P192" s="2" t="s">
        <v>1491</v>
      </c>
      <c r="Q192" s="1" t="s">
        <v>137</v>
      </c>
      <c r="R192" s="1"/>
      <c r="S192" s="1" t="s">
        <v>169</v>
      </c>
      <c r="T192" s="1">
        <v>5205109.0</v>
      </c>
      <c r="U192" s="1" t="s">
        <v>1499</v>
      </c>
      <c r="V192" s="1" t="s">
        <v>171</v>
      </c>
      <c r="W192" s="1" t="s">
        <v>172</v>
      </c>
      <c r="X192" s="1"/>
      <c r="Y192" s="1" t="str">
        <f>"02553000058202165"</f>
        <v>02553000058202165</v>
      </c>
      <c r="Z192" s="1" t="s">
        <v>223</v>
      </c>
      <c r="AA192" s="1" t="s">
        <v>1500</v>
      </c>
      <c r="AB192" s="1" t="str">
        <f>"09414294000172"</f>
        <v>09414294000172</v>
      </c>
      <c r="AC192" s="1"/>
      <c r="AD192" s="1"/>
      <c r="AE192" s="1"/>
      <c r="AF192" s="1">
        <v>-47.919167</v>
      </c>
      <c r="AG192" s="1">
        <v>-18.167778</v>
      </c>
      <c r="AH192" s="1" t="s">
        <v>1501</v>
      </c>
      <c r="AI192" s="1"/>
      <c r="AJ192" s="1" t="s">
        <v>1096</v>
      </c>
      <c r="AK192" s="1"/>
      <c r="AL192" s="1" t="s">
        <v>128</v>
      </c>
      <c r="AM192" s="1" t="s">
        <v>65</v>
      </c>
      <c r="AN192" s="1"/>
      <c r="AO192" s="2" t="s">
        <v>1205</v>
      </c>
      <c r="AP192" s="2" t="s">
        <v>1502</v>
      </c>
      <c r="AQ192" s="1" t="s">
        <v>132</v>
      </c>
      <c r="AR192" s="1" t="s">
        <v>1088</v>
      </c>
      <c r="AS192" s="1" t="s">
        <v>1503</v>
      </c>
      <c r="AT192" s="2" t="s">
        <v>70</v>
      </c>
    </row>
    <row r="193">
      <c r="A193" s="1"/>
      <c r="B193" s="1" t="s">
        <v>46</v>
      </c>
      <c r="C193" s="1" t="s">
        <v>47</v>
      </c>
      <c r="D193" s="1"/>
      <c r="E193" s="1" t="s">
        <v>1504</v>
      </c>
      <c r="F193" s="1"/>
      <c r="G193" s="1" t="s">
        <v>217</v>
      </c>
      <c r="H193" s="1" t="s">
        <v>50</v>
      </c>
      <c r="I193" s="1"/>
      <c r="J193" s="1"/>
      <c r="K193" s="1"/>
      <c r="L193" s="1"/>
      <c r="M193" s="1" t="s">
        <v>1505</v>
      </c>
      <c r="N193" s="1" t="s">
        <v>186</v>
      </c>
      <c r="O193" s="1" t="s">
        <v>187</v>
      </c>
      <c r="P193" s="2" t="s">
        <v>1506</v>
      </c>
      <c r="Q193" s="1"/>
      <c r="R193" s="1"/>
      <c r="S193" s="1" t="s">
        <v>475</v>
      </c>
      <c r="T193" s="1">
        <v>3136702.0</v>
      </c>
      <c r="U193" s="1" t="s">
        <v>476</v>
      </c>
      <c r="V193" s="1" t="s">
        <v>477</v>
      </c>
      <c r="W193" s="1" t="s">
        <v>78</v>
      </c>
      <c r="X193" s="1"/>
      <c r="Y193" s="1"/>
      <c r="Z193" s="1"/>
      <c r="AA193" s="1" t="s">
        <v>1507</v>
      </c>
      <c r="AB193" s="1" t="str">
        <f>"***043636**"</f>
        <v>***043636**</v>
      </c>
      <c r="AC193" s="1"/>
      <c r="AD193" s="1" t="s">
        <v>81</v>
      </c>
      <c r="AE193" s="1"/>
      <c r="AF193" s="1">
        <v>-43.381667</v>
      </c>
      <c r="AG193" s="1">
        <v>-21.794444</v>
      </c>
      <c r="AH193" s="1" t="s">
        <v>1508</v>
      </c>
      <c r="AI193" s="1"/>
      <c r="AJ193" s="1" t="s">
        <v>480</v>
      </c>
      <c r="AK193" s="1"/>
      <c r="AL193" s="1"/>
      <c r="AM193" s="1" t="s">
        <v>65</v>
      </c>
      <c r="AN193" s="1" t="s">
        <v>83</v>
      </c>
      <c r="AO193" s="1"/>
      <c r="AP193" s="2" t="s">
        <v>1509</v>
      </c>
      <c r="AQ193" s="1"/>
      <c r="AR193" s="1" t="s">
        <v>965</v>
      </c>
      <c r="AS193" s="1"/>
      <c r="AT193" s="2" t="s">
        <v>70</v>
      </c>
    </row>
    <row r="194">
      <c r="A194" s="1"/>
      <c r="B194" s="1" t="s">
        <v>46</v>
      </c>
      <c r="C194" s="1" t="s">
        <v>47</v>
      </c>
      <c r="D194" s="1"/>
      <c r="E194" s="1" t="s">
        <v>1510</v>
      </c>
      <c r="F194" s="1"/>
      <c r="G194" s="1" t="s">
        <v>49</v>
      </c>
      <c r="H194" s="1" t="s">
        <v>50</v>
      </c>
      <c r="I194" s="1">
        <v>2000.0</v>
      </c>
      <c r="J194" s="1"/>
      <c r="K194" s="1" t="s">
        <v>51</v>
      </c>
      <c r="L194" s="1"/>
      <c r="M194" s="1" t="s">
        <v>1511</v>
      </c>
      <c r="N194" s="1" t="s">
        <v>53</v>
      </c>
      <c r="O194" s="1" t="s">
        <v>333</v>
      </c>
      <c r="P194" s="2" t="s">
        <v>1512</v>
      </c>
      <c r="Q194" s="1" t="s">
        <v>56</v>
      </c>
      <c r="R194" s="1"/>
      <c r="S194" s="1" t="s">
        <v>1513</v>
      </c>
      <c r="T194" s="1">
        <v>2801405.0</v>
      </c>
      <c r="U194" s="1" t="s">
        <v>1514</v>
      </c>
      <c r="V194" s="1" t="s">
        <v>1515</v>
      </c>
      <c r="W194" s="1" t="s">
        <v>291</v>
      </c>
      <c r="X194" s="1"/>
      <c r="Y194" s="1"/>
      <c r="Z194" s="1" t="s">
        <v>223</v>
      </c>
      <c r="AA194" s="1" t="s">
        <v>1516</v>
      </c>
      <c r="AB194" s="1" t="str">
        <f>"***070715**"</f>
        <v>***070715**</v>
      </c>
      <c r="AC194" s="1"/>
      <c r="AD194" s="1" t="s">
        <v>62</v>
      </c>
      <c r="AE194" s="1"/>
      <c r="AF194" s="1">
        <v>-37.644444</v>
      </c>
      <c r="AG194" s="1">
        <v>-10.413056</v>
      </c>
      <c r="AH194" s="1" t="s">
        <v>1517</v>
      </c>
      <c r="AI194" s="1"/>
      <c r="AJ194" s="1" t="s">
        <v>1518</v>
      </c>
      <c r="AK194" s="1"/>
      <c r="AL194" s="1"/>
      <c r="AM194" s="1" t="s">
        <v>65</v>
      </c>
      <c r="AN194" s="1"/>
      <c r="AO194" s="1"/>
      <c r="AP194" s="2" t="s">
        <v>1519</v>
      </c>
      <c r="AQ194" s="1"/>
      <c r="AR194" s="1" t="s">
        <v>318</v>
      </c>
      <c r="AS194" s="1"/>
      <c r="AT194" s="2" t="s">
        <v>70</v>
      </c>
    </row>
    <row r="195">
      <c r="A195" s="1"/>
      <c r="B195" s="1" t="s">
        <v>46</v>
      </c>
      <c r="C195" s="1" t="s">
        <v>47</v>
      </c>
      <c r="D195" s="1"/>
      <c r="E195" s="1" t="s">
        <v>1520</v>
      </c>
      <c r="F195" s="1"/>
      <c r="G195" s="1" t="s">
        <v>49</v>
      </c>
      <c r="H195" s="1" t="s">
        <v>50</v>
      </c>
      <c r="I195" s="1">
        <v>1000.0</v>
      </c>
      <c r="J195" s="1"/>
      <c r="K195" s="1" t="s">
        <v>51</v>
      </c>
      <c r="L195" s="1"/>
      <c r="M195" s="1" t="s">
        <v>1521</v>
      </c>
      <c r="N195" s="1" t="s">
        <v>53</v>
      </c>
      <c r="O195" s="1" t="s">
        <v>333</v>
      </c>
      <c r="P195" s="2" t="s">
        <v>1522</v>
      </c>
      <c r="Q195" s="1" t="s">
        <v>56</v>
      </c>
      <c r="R195" s="1"/>
      <c r="S195" s="1" t="s">
        <v>1513</v>
      </c>
      <c r="T195" s="1">
        <v>2801405.0</v>
      </c>
      <c r="U195" s="1" t="s">
        <v>1514</v>
      </c>
      <c r="V195" s="1" t="s">
        <v>1515</v>
      </c>
      <c r="W195" s="1" t="s">
        <v>291</v>
      </c>
      <c r="X195" s="1"/>
      <c r="Y195" s="1"/>
      <c r="Z195" s="1" t="s">
        <v>223</v>
      </c>
      <c r="AA195" s="1" t="s">
        <v>1523</v>
      </c>
      <c r="AB195" s="1" t="str">
        <f>"***028165**"</f>
        <v>***028165**</v>
      </c>
      <c r="AC195" s="1"/>
      <c r="AD195" s="1" t="s">
        <v>62</v>
      </c>
      <c r="AE195" s="1"/>
      <c r="AF195" s="1">
        <v>-37.644444</v>
      </c>
      <c r="AG195" s="1">
        <v>-10.413056</v>
      </c>
      <c r="AH195" s="1" t="s">
        <v>1517</v>
      </c>
      <c r="AI195" s="1"/>
      <c r="AJ195" s="1" t="s">
        <v>1518</v>
      </c>
      <c r="AK195" s="1"/>
      <c r="AL195" s="1"/>
      <c r="AM195" s="1" t="s">
        <v>65</v>
      </c>
      <c r="AN195" s="1"/>
      <c r="AO195" s="1"/>
      <c r="AP195" s="2" t="s">
        <v>1524</v>
      </c>
      <c r="AQ195" s="1"/>
      <c r="AR195" s="1" t="s">
        <v>318</v>
      </c>
      <c r="AS195" s="1"/>
      <c r="AT195" s="2" t="s">
        <v>70</v>
      </c>
    </row>
    <row r="196">
      <c r="A196" s="1"/>
      <c r="B196" s="1" t="s">
        <v>46</v>
      </c>
      <c r="C196" s="1" t="s">
        <v>47</v>
      </c>
      <c r="D196" s="1"/>
      <c r="E196" s="1" t="s">
        <v>1525</v>
      </c>
      <c r="F196" s="1"/>
      <c r="G196" s="1" t="s">
        <v>49</v>
      </c>
      <c r="H196" s="1" t="s">
        <v>72</v>
      </c>
      <c r="I196" s="1">
        <v>9792.0</v>
      </c>
      <c r="J196" s="1"/>
      <c r="K196" s="1"/>
      <c r="L196" s="1"/>
      <c r="M196" s="1" t="s">
        <v>1526</v>
      </c>
      <c r="N196" s="1" t="s">
        <v>109</v>
      </c>
      <c r="O196" s="1" t="s">
        <v>110</v>
      </c>
      <c r="P196" s="2" t="s">
        <v>1527</v>
      </c>
      <c r="Q196" s="1" t="s">
        <v>77</v>
      </c>
      <c r="R196" s="1"/>
      <c r="S196" s="1" t="s">
        <v>220</v>
      </c>
      <c r="T196" s="1">
        <v>5214861.0</v>
      </c>
      <c r="U196" s="1" t="s">
        <v>1528</v>
      </c>
      <c r="V196" s="1" t="s">
        <v>171</v>
      </c>
      <c r="W196" s="1" t="s">
        <v>172</v>
      </c>
      <c r="X196" s="1"/>
      <c r="Y196" s="1"/>
      <c r="Z196" s="1" t="s">
        <v>112</v>
      </c>
      <c r="AA196" s="1" t="s">
        <v>1529</v>
      </c>
      <c r="AB196" s="1" t="str">
        <f>"***924561**"</f>
        <v>***924561**</v>
      </c>
      <c r="AC196" s="1"/>
      <c r="AD196" s="1" t="s">
        <v>81</v>
      </c>
      <c r="AE196" s="1"/>
      <c r="AF196" s="1">
        <v>-49.544167</v>
      </c>
      <c r="AG196" s="1">
        <v>-15.173889</v>
      </c>
      <c r="AH196" s="1" t="s">
        <v>1530</v>
      </c>
      <c r="AI196" s="1"/>
      <c r="AJ196" s="1" t="s">
        <v>175</v>
      </c>
      <c r="AK196" s="1"/>
      <c r="AL196" s="1"/>
      <c r="AM196" s="1" t="s">
        <v>65</v>
      </c>
      <c r="AN196" s="1" t="s">
        <v>83</v>
      </c>
      <c r="AO196" s="1"/>
      <c r="AP196" s="2" t="s">
        <v>1531</v>
      </c>
      <c r="AQ196" s="1"/>
      <c r="AR196" s="1" t="s">
        <v>455</v>
      </c>
      <c r="AS196" s="1"/>
      <c r="AT196" s="2" t="s">
        <v>70</v>
      </c>
    </row>
    <row r="197">
      <c r="A197" s="1"/>
      <c r="B197" s="1" t="s">
        <v>46</v>
      </c>
      <c r="C197" s="1" t="s">
        <v>47</v>
      </c>
      <c r="D197" s="1"/>
      <c r="E197" s="1" t="s">
        <v>1532</v>
      </c>
      <c r="F197" s="1"/>
      <c r="G197" s="1" t="s">
        <v>49</v>
      </c>
      <c r="H197" s="1" t="s">
        <v>72</v>
      </c>
      <c r="I197" s="1">
        <v>12279.0</v>
      </c>
      <c r="J197" s="1"/>
      <c r="K197" s="1"/>
      <c r="L197" s="1"/>
      <c r="M197" s="1" t="s">
        <v>1533</v>
      </c>
      <c r="N197" s="1" t="s">
        <v>109</v>
      </c>
      <c r="O197" s="1" t="s">
        <v>110</v>
      </c>
      <c r="P197" s="2" t="s">
        <v>1534</v>
      </c>
      <c r="Q197" s="1" t="s">
        <v>56</v>
      </c>
      <c r="R197" s="1"/>
      <c r="S197" s="1" t="s">
        <v>97</v>
      </c>
      <c r="T197" s="1">
        <v>1301704.0</v>
      </c>
      <c r="U197" s="1" t="s">
        <v>98</v>
      </c>
      <c r="V197" s="1" t="s">
        <v>99</v>
      </c>
      <c r="W197" s="1" t="s">
        <v>100</v>
      </c>
      <c r="X197" s="1"/>
      <c r="Y197" s="1"/>
      <c r="Z197" s="1" t="s">
        <v>112</v>
      </c>
      <c r="AA197" s="1" t="s">
        <v>1535</v>
      </c>
      <c r="AB197" s="1" t="str">
        <f>"***042352**"</f>
        <v>***042352**</v>
      </c>
      <c r="AC197" s="1"/>
      <c r="AD197" s="1" t="s">
        <v>81</v>
      </c>
      <c r="AE197" s="1"/>
      <c r="AF197" s="1">
        <v>-63.077833</v>
      </c>
      <c r="AG197" s="1">
        <v>-7.551111</v>
      </c>
      <c r="AH197" s="1" t="s">
        <v>103</v>
      </c>
      <c r="AI197" s="1"/>
      <c r="AJ197" s="1" t="s">
        <v>104</v>
      </c>
      <c r="AK197" s="1"/>
      <c r="AL197" s="1"/>
      <c r="AM197" s="1" t="s">
        <v>65</v>
      </c>
      <c r="AN197" s="1"/>
      <c r="AO197" s="1"/>
      <c r="AP197" s="2" t="s">
        <v>1536</v>
      </c>
      <c r="AQ197" s="1"/>
      <c r="AR197" s="1" t="s">
        <v>115</v>
      </c>
      <c r="AS197" s="1"/>
      <c r="AT197" s="2" t="s">
        <v>70</v>
      </c>
    </row>
    <row r="198">
      <c r="A198" s="1">
        <v>2043637.0</v>
      </c>
      <c r="B198" s="1" t="s">
        <v>116</v>
      </c>
      <c r="C198" s="1" t="s">
        <v>117</v>
      </c>
      <c r="D198" s="1" t="s">
        <v>46</v>
      </c>
      <c r="E198" s="1" t="s">
        <v>1537</v>
      </c>
      <c r="F198" s="1"/>
      <c r="G198" s="1" t="s">
        <v>119</v>
      </c>
      <c r="H198" s="1" t="s">
        <v>72</v>
      </c>
      <c r="I198" s="1">
        <v>71500.0</v>
      </c>
      <c r="J198" s="1"/>
      <c r="K198" s="1"/>
      <c r="L198" s="1" t="s">
        <v>1473</v>
      </c>
      <c r="M198" s="1" t="s">
        <v>1538</v>
      </c>
      <c r="N198" s="1" t="s">
        <v>109</v>
      </c>
      <c r="O198" s="1" t="s">
        <v>110</v>
      </c>
      <c r="P198" s="2" t="s">
        <v>1539</v>
      </c>
      <c r="Q198" s="1" t="s">
        <v>56</v>
      </c>
      <c r="R198" s="2" t="s">
        <v>1540</v>
      </c>
      <c r="S198" s="1" t="s">
        <v>1468</v>
      </c>
      <c r="T198" s="1">
        <v>5007703.0</v>
      </c>
      <c r="U198" s="1" t="s">
        <v>1541</v>
      </c>
      <c r="V198" s="1" t="s">
        <v>1470</v>
      </c>
      <c r="W198" s="1" t="s">
        <v>78</v>
      </c>
      <c r="X198" s="1"/>
      <c r="Y198" s="1"/>
      <c r="Z198" s="1" t="s">
        <v>112</v>
      </c>
      <c r="AA198" s="1" t="s">
        <v>1542</v>
      </c>
      <c r="AB198" s="1" t="str">
        <f>"***173461**"</f>
        <v>***173461**</v>
      </c>
      <c r="AC198" s="1"/>
      <c r="AD198" s="1"/>
      <c r="AE198" s="1"/>
      <c r="AF198" s="1">
        <v>-54.811944</v>
      </c>
      <c r="AG198" s="1">
        <v>-23.871389</v>
      </c>
      <c r="AH198" s="1" t="s">
        <v>1543</v>
      </c>
      <c r="AI198" s="1"/>
      <c r="AJ198" s="1" t="s">
        <v>1473</v>
      </c>
      <c r="AK198" s="1"/>
      <c r="AL198" s="1" t="s">
        <v>128</v>
      </c>
      <c r="AM198" s="1" t="s">
        <v>65</v>
      </c>
      <c r="AN198" s="1"/>
      <c r="AO198" s="2" t="s">
        <v>1205</v>
      </c>
      <c r="AP198" s="2" t="s">
        <v>1544</v>
      </c>
      <c r="AQ198" s="1" t="s">
        <v>132</v>
      </c>
      <c r="AR198" s="1" t="s">
        <v>1545</v>
      </c>
      <c r="AS198" s="1" t="s">
        <v>1546</v>
      </c>
      <c r="AT198" s="2" t="s">
        <v>70</v>
      </c>
    </row>
    <row r="199">
      <c r="A199" s="1">
        <v>2043720.0</v>
      </c>
      <c r="B199" s="1" t="s">
        <v>116</v>
      </c>
      <c r="C199" s="1" t="s">
        <v>117</v>
      </c>
      <c r="D199" s="1" t="s">
        <v>46</v>
      </c>
      <c r="E199" s="1" t="s">
        <v>1547</v>
      </c>
      <c r="F199" s="1"/>
      <c r="G199" s="1" t="s">
        <v>119</v>
      </c>
      <c r="H199" s="1" t="s">
        <v>50</v>
      </c>
      <c r="I199" s="1">
        <v>1000.0</v>
      </c>
      <c r="J199" s="1"/>
      <c r="K199" s="1"/>
      <c r="L199" s="1" t="s">
        <v>295</v>
      </c>
      <c r="M199" s="1" t="s">
        <v>1548</v>
      </c>
      <c r="N199" s="1" t="s">
        <v>186</v>
      </c>
      <c r="O199" s="1" t="s">
        <v>95</v>
      </c>
      <c r="P199" s="2" t="s">
        <v>1539</v>
      </c>
      <c r="Q199" s="1" t="s">
        <v>56</v>
      </c>
      <c r="R199" s="2" t="s">
        <v>1540</v>
      </c>
      <c r="S199" s="1" t="s">
        <v>288</v>
      </c>
      <c r="T199" s="1">
        <v>2211001.0</v>
      </c>
      <c r="U199" s="1" t="s">
        <v>527</v>
      </c>
      <c r="V199" s="1" t="s">
        <v>290</v>
      </c>
      <c r="W199" s="1" t="s">
        <v>172</v>
      </c>
      <c r="X199" s="1"/>
      <c r="Y199" s="1" t="str">
        <f>"02020000322202189"</f>
        <v>02020000322202189</v>
      </c>
      <c r="Z199" s="1" t="s">
        <v>101</v>
      </c>
      <c r="AA199" s="1" t="s">
        <v>1549</v>
      </c>
      <c r="AB199" s="1" t="str">
        <f>"22169565000130"</f>
        <v>22169565000130</v>
      </c>
      <c r="AC199" s="1"/>
      <c r="AD199" s="1"/>
      <c r="AE199" s="1"/>
      <c r="AF199" s="1">
        <v>-42.783889</v>
      </c>
      <c r="AG199" s="1">
        <v>-5.064722</v>
      </c>
      <c r="AH199" s="1" t="s">
        <v>1550</v>
      </c>
      <c r="AI199" s="1"/>
      <c r="AJ199" s="1" t="s">
        <v>295</v>
      </c>
      <c r="AK199" s="1"/>
      <c r="AL199" s="1" t="s">
        <v>128</v>
      </c>
      <c r="AM199" s="1" t="s">
        <v>65</v>
      </c>
      <c r="AN199" s="1" t="s">
        <v>296</v>
      </c>
      <c r="AO199" s="2" t="s">
        <v>778</v>
      </c>
      <c r="AP199" s="2" t="s">
        <v>1551</v>
      </c>
      <c r="AQ199" s="1" t="s">
        <v>132</v>
      </c>
      <c r="AR199" s="1" t="s">
        <v>531</v>
      </c>
      <c r="AS199" s="1"/>
      <c r="AT199" s="2" t="s">
        <v>70</v>
      </c>
    </row>
    <row r="200">
      <c r="A200" s="1">
        <v>2043757.0</v>
      </c>
      <c r="B200" s="1" t="s">
        <v>116</v>
      </c>
      <c r="C200" s="1" t="s">
        <v>117</v>
      </c>
      <c r="D200" s="1" t="s">
        <v>46</v>
      </c>
      <c r="E200" s="1" t="s">
        <v>1552</v>
      </c>
      <c r="F200" s="1"/>
      <c r="G200" s="1" t="s">
        <v>119</v>
      </c>
      <c r="H200" s="1" t="s">
        <v>72</v>
      </c>
      <c r="I200" s="1">
        <v>500.0</v>
      </c>
      <c r="J200" s="1"/>
      <c r="K200" s="1"/>
      <c r="L200" s="1" t="s">
        <v>226</v>
      </c>
      <c r="M200" s="1" t="s">
        <v>1553</v>
      </c>
      <c r="N200" s="1" t="s">
        <v>257</v>
      </c>
      <c r="O200" s="1" t="s">
        <v>258</v>
      </c>
      <c r="P200" s="2" t="s">
        <v>1539</v>
      </c>
      <c r="Q200" s="1" t="s">
        <v>77</v>
      </c>
      <c r="R200" s="2" t="s">
        <v>1540</v>
      </c>
      <c r="S200" s="1" t="s">
        <v>784</v>
      </c>
      <c r="T200" s="1">
        <v>4208203.0</v>
      </c>
      <c r="U200" s="1" t="s">
        <v>1554</v>
      </c>
      <c r="V200" s="1" t="s">
        <v>222</v>
      </c>
      <c r="W200" s="1" t="s">
        <v>78</v>
      </c>
      <c r="X200" s="1"/>
      <c r="Y200" s="1" t="str">
        <f>"02026000532202117"</f>
        <v>02026000532202117</v>
      </c>
      <c r="Z200" s="1" t="s">
        <v>260</v>
      </c>
      <c r="AA200" s="1" t="s">
        <v>1555</v>
      </c>
      <c r="AB200" s="1" t="str">
        <f>"***057479**"</f>
        <v>***057479**</v>
      </c>
      <c r="AC200" s="1"/>
      <c r="AD200" s="1"/>
      <c r="AE200" s="1"/>
      <c r="AF200" s="1">
        <v>-48.754444</v>
      </c>
      <c r="AG200" s="1">
        <v>-26.949722</v>
      </c>
      <c r="AH200" s="1" t="s">
        <v>1556</v>
      </c>
      <c r="AI200" s="1"/>
      <c r="AJ200" s="1" t="s">
        <v>226</v>
      </c>
      <c r="AK200" s="1"/>
      <c r="AL200" s="1" t="s">
        <v>128</v>
      </c>
      <c r="AM200" s="1" t="s">
        <v>65</v>
      </c>
      <c r="AN200" s="1" t="s">
        <v>227</v>
      </c>
      <c r="AO200" s="2" t="s">
        <v>691</v>
      </c>
      <c r="AP200" s="2" t="s">
        <v>1557</v>
      </c>
      <c r="AQ200" s="1" t="s">
        <v>132</v>
      </c>
      <c r="AR200" s="1" t="s">
        <v>1558</v>
      </c>
      <c r="AS200" s="1"/>
      <c r="AT200" s="2" t="s">
        <v>70</v>
      </c>
    </row>
    <row r="201">
      <c r="A201" s="1"/>
      <c r="B201" s="1" t="s">
        <v>46</v>
      </c>
      <c r="C201" s="1" t="s">
        <v>47</v>
      </c>
      <c r="D201" s="1"/>
      <c r="E201" s="1" t="s">
        <v>1559</v>
      </c>
      <c r="F201" s="1"/>
      <c r="G201" s="1" t="s">
        <v>49</v>
      </c>
      <c r="H201" s="1" t="s">
        <v>50</v>
      </c>
      <c r="I201" s="1">
        <v>1500.0</v>
      </c>
      <c r="J201" s="1"/>
      <c r="K201" s="1" t="s">
        <v>51</v>
      </c>
      <c r="L201" s="1"/>
      <c r="M201" s="1" t="s">
        <v>1560</v>
      </c>
      <c r="N201" s="1" t="s">
        <v>94</v>
      </c>
      <c r="O201" s="1" t="s">
        <v>95</v>
      </c>
      <c r="P201" s="2" t="s">
        <v>1561</v>
      </c>
      <c r="Q201" s="1" t="s">
        <v>56</v>
      </c>
      <c r="R201" s="1"/>
      <c r="S201" s="1" t="s">
        <v>97</v>
      </c>
      <c r="T201" s="1">
        <v>1301704.0</v>
      </c>
      <c r="U201" s="1" t="s">
        <v>98</v>
      </c>
      <c r="V201" s="1" t="s">
        <v>99</v>
      </c>
      <c r="W201" s="1" t="s">
        <v>100</v>
      </c>
      <c r="X201" s="1"/>
      <c r="Y201" s="1"/>
      <c r="Z201" s="1" t="s">
        <v>101</v>
      </c>
      <c r="AA201" s="1" t="s">
        <v>1562</v>
      </c>
      <c r="AB201" s="1" t="str">
        <f>"33073549000165"</f>
        <v>33073549000165</v>
      </c>
      <c r="AC201" s="1"/>
      <c r="AD201" s="1" t="s">
        <v>81</v>
      </c>
      <c r="AE201" s="1"/>
      <c r="AF201" s="1">
        <v>-63.023056</v>
      </c>
      <c r="AG201" s="1">
        <v>-7.4955</v>
      </c>
      <c r="AH201" s="1" t="s">
        <v>1563</v>
      </c>
      <c r="AI201" s="1"/>
      <c r="AJ201" s="1" t="s">
        <v>104</v>
      </c>
      <c r="AK201" s="1"/>
      <c r="AL201" s="1"/>
      <c r="AM201" s="1" t="s">
        <v>65</v>
      </c>
      <c r="AN201" s="1"/>
      <c r="AO201" s="1"/>
      <c r="AP201" s="2" t="s">
        <v>1564</v>
      </c>
      <c r="AQ201" s="1"/>
      <c r="AR201" s="1" t="s">
        <v>106</v>
      </c>
      <c r="AS201" s="1"/>
      <c r="AT201" s="2" t="s">
        <v>70</v>
      </c>
    </row>
    <row r="202">
      <c r="A202" s="1">
        <v>2043672.0</v>
      </c>
      <c r="B202" s="1" t="s">
        <v>116</v>
      </c>
      <c r="C202" s="1" t="s">
        <v>117</v>
      </c>
      <c r="D202" s="1" t="s">
        <v>46</v>
      </c>
      <c r="E202" s="1" t="s">
        <v>1565</v>
      </c>
      <c r="F202" s="1"/>
      <c r="G202" s="1" t="s">
        <v>119</v>
      </c>
      <c r="H202" s="1" t="s">
        <v>50</v>
      </c>
      <c r="I202" s="1">
        <v>4000.0</v>
      </c>
      <c r="J202" s="1"/>
      <c r="K202" s="1"/>
      <c r="L202" s="1" t="s">
        <v>442</v>
      </c>
      <c r="M202" s="1" t="s">
        <v>1566</v>
      </c>
      <c r="N202" s="1" t="s">
        <v>53</v>
      </c>
      <c r="O202" s="1" t="s">
        <v>187</v>
      </c>
      <c r="P202" s="2" t="s">
        <v>1567</v>
      </c>
      <c r="Q202" s="1" t="s">
        <v>56</v>
      </c>
      <c r="R202" s="1"/>
      <c r="S202" s="1" t="s">
        <v>550</v>
      </c>
      <c r="T202" s="1">
        <v>2906006.0</v>
      </c>
      <c r="U202" s="1" t="s">
        <v>1568</v>
      </c>
      <c r="V202" s="1" t="s">
        <v>552</v>
      </c>
      <c r="W202" s="1" t="s">
        <v>291</v>
      </c>
      <c r="X202" s="1"/>
      <c r="Y202" s="1" t="str">
        <f>"02007000555202150"</f>
        <v>02007000555202150</v>
      </c>
      <c r="Z202" s="1" t="s">
        <v>223</v>
      </c>
      <c r="AA202" s="1" t="s">
        <v>1569</v>
      </c>
      <c r="AB202" s="1" t="str">
        <f>"***943807**"</f>
        <v>***943807**</v>
      </c>
      <c r="AC202" s="1"/>
      <c r="AD202" s="1"/>
      <c r="AE202" s="1"/>
      <c r="AF202" s="1">
        <v>-40.373056</v>
      </c>
      <c r="AG202" s="1">
        <v>-10.435556</v>
      </c>
      <c r="AH202" s="1" t="s">
        <v>1570</v>
      </c>
      <c r="AI202" s="1"/>
      <c r="AJ202" s="1" t="s">
        <v>442</v>
      </c>
      <c r="AK202" s="1"/>
      <c r="AL202" s="1" t="s">
        <v>128</v>
      </c>
      <c r="AM202" s="1" t="s">
        <v>65</v>
      </c>
      <c r="AN202" s="1" t="s">
        <v>159</v>
      </c>
      <c r="AO202" s="2" t="s">
        <v>1068</v>
      </c>
      <c r="AP202" s="2" t="s">
        <v>1571</v>
      </c>
      <c r="AQ202" s="1" t="s">
        <v>132</v>
      </c>
      <c r="AR202" s="1" t="s">
        <v>1001</v>
      </c>
      <c r="AS202" s="1" t="s">
        <v>1572</v>
      </c>
      <c r="AT202" s="2" t="s">
        <v>70</v>
      </c>
    </row>
    <row r="203">
      <c r="A203" s="1"/>
      <c r="B203" s="1" t="s">
        <v>46</v>
      </c>
      <c r="C203" s="1" t="s">
        <v>47</v>
      </c>
      <c r="D203" s="1"/>
      <c r="E203" s="1" t="s">
        <v>1573</v>
      </c>
      <c r="F203" s="1"/>
      <c r="G203" s="1" t="s">
        <v>217</v>
      </c>
      <c r="H203" s="1" t="s">
        <v>50</v>
      </c>
      <c r="I203" s="1"/>
      <c r="J203" s="1"/>
      <c r="K203" s="1"/>
      <c r="L203" s="1"/>
      <c r="M203" s="1" t="s">
        <v>1574</v>
      </c>
      <c r="N203" s="1" t="s">
        <v>257</v>
      </c>
      <c r="O203" s="1" t="s">
        <v>258</v>
      </c>
      <c r="P203" s="2" t="s">
        <v>1575</v>
      </c>
      <c r="Q203" s="1"/>
      <c r="R203" s="1"/>
      <c r="S203" s="1" t="s">
        <v>475</v>
      </c>
      <c r="T203" s="1">
        <v>3136702.0</v>
      </c>
      <c r="U203" s="1" t="s">
        <v>476</v>
      </c>
      <c r="V203" s="1" t="s">
        <v>477</v>
      </c>
      <c r="W203" s="1" t="s">
        <v>78</v>
      </c>
      <c r="X203" s="1"/>
      <c r="Y203" s="1"/>
      <c r="Z203" s="1" t="s">
        <v>1427</v>
      </c>
      <c r="AA203" s="1" t="s">
        <v>1576</v>
      </c>
      <c r="AB203" s="1" t="str">
        <f>"***886486**"</f>
        <v>***886486**</v>
      </c>
      <c r="AC203" s="1"/>
      <c r="AD203" s="1" t="s">
        <v>81</v>
      </c>
      <c r="AE203" s="1"/>
      <c r="AF203" s="1">
        <v>-43.381556</v>
      </c>
      <c r="AG203" s="1">
        <v>-21.794556</v>
      </c>
      <c r="AH203" s="1" t="s">
        <v>479</v>
      </c>
      <c r="AI203" s="1"/>
      <c r="AJ203" s="1" t="s">
        <v>480</v>
      </c>
      <c r="AK203" s="1"/>
      <c r="AL203" s="1"/>
      <c r="AM203" s="1" t="s">
        <v>65</v>
      </c>
      <c r="AN203" s="1" t="s">
        <v>83</v>
      </c>
      <c r="AO203" s="1"/>
      <c r="AP203" s="2" t="s">
        <v>1577</v>
      </c>
      <c r="AQ203" s="1"/>
      <c r="AR203" s="1" t="s">
        <v>1578</v>
      </c>
      <c r="AS203" s="1" t="s">
        <v>1579</v>
      </c>
      <c r="AT203" s="2" t="s">
        <v>70</v>
      </c>
    </row>
    <row r="204">
      <c r="A204" s="1">
        <v>2043588.0</v>
      </c>
      <c r="B204" s="1" t="s">
        <v>116</v>
      </c>
      <c r="C204" s="1" t="s">
        <v>117</v>
      </c>
      <c r="D204" s="1" t="s">
        <v>46</v>
      </c>
      <c r="E204" s="1" t="s">
        <v>1580</v>
      </c>
      <c r="F204" s="1"/>
      <c r="G204" s="1" t="s">
        <v>119</v>
      </c>
      <c r="H204" s="1" t="s">
        <v>50</v>
      </c>
      <c r="I204" s="1">
        <v>2000.0</v>
      </c>
      <c r="J204" s="1"/>
      <c r="K204" s="1"/>
      <c r="L204" s="1" t="s">
        <v>442</v>
      </c>
      <c r="M204" s="1" t="s">
        <v>1581</v>
      </c>
      <c r="N204" s="1" t="s">
        <v>285</v>
      </c>
      <c r="O204" s="1" t="s">
        <v>286</v>
      </c>
      <c r="P204" s="2" t="s">
        <v>1582</v>
      </c>
      <c r="Q204" s="1" t="s">
        <v>56</v>
      </c>
      <c r="R204" s="2" t="s">
        <v>1540</v>
      </c>
      <c r="S204" s="1" t="s">
        <v>220</v>
      </c>
      <c r="T204" s="1">
        <v>2304400.0</v>
      </c>
      <c r="U204" s="1" t="s">
        <v>592</v>
      </c>
      <c r="V204" s="1" t="s">
        <v>439</v>
      </c>
      <c r="W204" s="1" t="s">
        <v>60</v>
      </c>
      <c r="X204" s="1"/>
      <c r="Y204" s="1" t="str">
        <f>"02007000527202132"</f>
        <v>02007000527202132</v>
      </c>
      <c r="Z204" s="1" t="s">
        <v>292</v>
      </c>
      <c r="AA204" s="1" t="s">
        <v>1583</v>
      </c>
      <c r="AB204" s="1" t="str">
        <f>"10629950000133"</f>
        <v>10629950000133</v>
      </c>
      <c r="AC204" s="1"/>
      <c r="AD204" s="1"/>
      <c r="AE204" s="1"/>
      <c r="AF204" s="1">
        <v>-38.618056</v>
      </c>
      <c r="AG204" s="1">
        <v>-3.784444</v>
      </c>
      <c r="AH204" s="1" t="s">
        <v>1584</v>
      </c>
      <c r="AI204" s="1"/>
      <c r="AJ204" s="1" t="s">
        <v>442</v>
      </c>
      <c r="AK204" s="1"/>
      <c r="AL204" s="1" t="s">
        <v>128</v>
      </c>
      <c r="AM204" s="1" t="s">
        <v>65</v>
      </c>
      <c r="AN204" s="1" t="s">
        <v>159</v>
      </c>
      <c r="AO204" s="2" t="s">
        <v>1371</v>
      </c>
      <c r="AP204" s="2" t="s">
        <v>1585</v>
      </c>
      <c r="AQ204" s="1" t="s">
        <v>132</v>
      </c>
      <c r="AR204" s="1" t="s">
        <v>531</v>
      </c>
      <c r="AS204" s="1"/>
      <c r="AT204" s="2" t="s">
        <v>70</v>
      </c>
    </row>
    <row r="205">
      <c r="A205" s="1">
        <v>2043863.0</v>
      </c>
      <c r="B205" s="1" t="s">
        <v>116</v>
      </c>
      <c r="C205" s="1" t="s">
        <v>117</v>
      </c>
      <c r="D205" s="1" t="s">
        <v>46</v>
      </c>
      <c r="E205" s="1" t="s">
        <v>1586</v>
      </c>
      <c r="F205" s="1"/>
      <c r="G205" s="1" t="s">
        <v>119</v>
      </c>
      <c r="H205" s="1" t="s">
        <v>50</v>
      </c>
      <c r="I205" s="1">
        <v>1000.0</v>
      </c>
      <c r="J205" s="1"/>
      <c r="K205" s="1"/>
      <c r="L205" s="1" t="s">
        <v>442</v>
      </c>
      <c r="M205" s="1" t="s">
        <v>1587</v>
      </c>
      <c r="N205" s="1" t="s">
        <v>53</v>
      </c>
      <c r="O205" s="1" t="s">
        <v>187</v>
      </c>
      <c r="P205" s="2" t="s">
        <v>1582</v>
      </c>
      <c r="Q205" s="1" t="s">
        <v>56</v>
      </c>
      <c r="R205" s="1"/>
      <c r="S205" s="1" t="s">
        <v>437</v>
      </c>
      <c r="T205" s="1">
        <v>2304400.0</v>
      </c>
      <c r="U205" s="1" t="s">
        <v>592</v>
      </c>
      <c r="V205" s="1" t="s">
        <v>439</v>
      </c>
      <c r="W205" s="1" t="s">
        <v>291</v>
      </c>
      <c r="X205" s="1"/>
      <c r="Y205" s="1" t="str">
        <f>"02007000614202190"</f>
        <v>02007000614202190</v>
      </c>
      <c r="Z205" s="1" t="s">
        <v>223</v>
      </c>
      <c r="AA205" s="1" t="s">
        <v>1588</v>
      </c>
      <c r="AB205" s="1" t="str">
        <f>"12295507000107"</f>
        <v>12295507000107</v>
      </c>
      <c r="AC205" s="1"/>
      <c r="AD205" s="1"/>
      <c r="AE205" s="1"/>
      <c r="AF205" s="1">
        <v>-38.496389</v>
      </c>
      <c r="AG205" s="1">
        <v>-3.819722</v>
      </c>
      <c r="AH205" s="1" t="s">
        <v>1589</v>
      </c>
      <c r="AI205" s="1"/>
      <c r="AJ205" s="1" t="s">
        <v>442</v>
      </c>
      <c r="AK205" s="1"/>
      <c r="AL205" s="1" t="s">
        <v>128</v>
      </c>
      <c r="AM205" s="1" t="s">
        <v>65</v>
      </c>
      <c r="AN205" s="1" t="s">
        <v>159</v>
      </c>
      <c r="AO205" s="2" t="s">
        <v>999</v>
      </c>
      <c r="AP205" s="2" t="s">
        <v>1590</v>
      </c>
      <c r="AQ205" s="1" t="s">
        <v>132</v>
      </c>
      <c r="AR205" s="1" t="s">
        <v>1001</v>
      </c>
      <c r="AS205" s="1" t="s">
        <v>1002</v>
      </c>
      <c r="AT205" s="2" t="s">
        <v>70</v>
      </c>
    </row>
    <row r="206">
      <c r="A206" s="1">
        <v>2043650.0</v>
      </c>
      <c r="B206" s="1" t="s">
        <v>116</v>
      </c>
      <c r="C206" s="1" t="s">
        <v>117</v>
      </c>
      <c r="D206" s="1" t="s">
        <v>46</v>
      </c>
      <c r="E206" s="1" t="s">
        <v>1591</v>
      </c>
      <c r="F206" s="1"/>
      <c r="G206" s="1" t="s">
        <v>119</v>
      </c>
      <c r="H206" s="1" t="s">
        <v>50</v>
      </c>
      <c r="I206" s="1">
        <v>1000.0</v>
      </c>
      <c r="J206" s="1"/>
      <c r="K206" s="1"/>
      <c r="L206" s="1" t="s">
        <v>485</v>
      </c>
      <c r="M206" s="1" t="s">
        <v>1592</v>
      </c>
      <c r="N206" s="1" t="s">
        <v>285</v>
      </c>
      <c r="O206" s="1" t="s">
        <v>286</v>
      </c>
      <c r="P206" s="2" t="s">
        <v>1593</v>
      </c>
      <c r="Q206" s="1" t="s">
        <v>56</v>
      </c>
      <c r="R206" s="2" t="s">
        <v>1540</v>
      </c>
      <c r="S206" s="1" t="s">
        <v>488</v>
      </c>
      <c r="T206" s="1">
        <v>1708304.0</v>
      </c>
      <c r="U206" s="1" t="s">
        <v>1594</v>
      </c>
      <c r="V206" s="1" t="s">
        <v>490</v>
      </c>
      <c r="W206" s="1" t="s">
        <v>172</v>
      </c>
      <c r="X206" s="1"/>
      <c r="Y206" s="1" t="str">
        <f>"02029000170202134"</f>
        <v>02029000170202134</v>
      </c>
      <c r="Z206" s="1" t="s">
        <v>292</v>
      </c>
      <c r="AA206" s="1" t="s">
        <v>1595</v>
      </c>
      <c r="AB206" s="1" t="str">
        <f t="shared" ref="AB206:AB207" si="15">"14816535000140"</f>
        <v>14816535000140</v>
      </c>
      <c r="AC206" s="1"/>
      <c r="AD206" s="1"/>
      <c r="AE206" s="1"/>
      <c r="AF206" s="1">
        <v>-48.332778</v>
      </c>
      <c r="AG206" s="1">
        <v>-10.208611</v>
      </c>
      <c r="AH206" s="1" t="s">
        <v>1596</v>
      </c>
      <c r="AI206" s="1"/>
      <c r="AJ206" s="1" t="s">
        <v>485</v>
      </c>
      <c r="AK206" s="1"/>
      <c r="AL206" s="1" t="s">
        <v>128</v>
      </c>
      <c r="AM206" s="1" t="s">
        <v>65</v>
      </c>
      <c r="AN206" s="1" t="s">
        <v>296</v>
      </c>
      <c r="AO206" s="2" t="s">
        <v>1205</v>
      </c>
      <c r="AP206" s="2" t="s">
        <v>1597</v>
      </c>
      <c r="AQ206" s="1" t="s">
        <v>132</v>
      </c>
      <c r="AR206" s="1" t="s">
        <v>693</v>
      </c>
      <c r="AS206" s="1"/>
      <c r="AT206" s="2" t="s">
        <v>70</v>
      </c>
    </row>
    <row r="207">
      <c r="A207" s="1">
        <v>2043651.0</v>
      </c>
      <c r="B207" s="1" t="s">
        <v>116</v>
      </c>
      <c r="C207" s="1" t="s">
        <v>117</v>
      </c>
      <c r="D207" s="1" t="s">
        <v>46</v>
      </c>
      <c r="E207" s="1" t="s">
        <v>1598</v>
      </c>
      <c r="F207" s="1"/>
      <c r="G207" s="1" t="s">
        <v>119</v>
      </c>
      <c r="H207" s="1" t="s">
        <v>50</v>
      </c>
      <c r="I207" s="1">
        <v>1000.0</v>
      </c>
      <c r="J207" s="1"/>
      <c r="K207" s="1"/>
      <c r="L207" s="1" t="s">
        <v>485</v>
      </c>
      <c r="M207" s="1" t="s">
        <v>1599</v>
      </c>
      <c r="N207" s="1" t="s">
        <v>285</v>
      </c>
      <c r="O207" s="1" t="s">
        <v>286</v>
      </c>
      <c r="P207" s="2" t="s">
        <v>1593</v>
      </c>
      <c r="Q207" s="1" t="s">
        <v>56</v>
      </c>
      <c r="R207" s="2" t="s">
        <v>1540</v>
      </c>
      <c r="S207" s="1" t="s">
        <v>488</v>
      </c>
      <c r="T207" s="1">
        <v>1708304.0</v>
      </c>
      <c r="U207" s="1" t="s">
        <v>1594</v>
      </c>
      <c r="V207" s="1" t="s">
        <v>490</v>
      </c>
      <c r="W207" s="1" t="s">
        <v>172</v>
      </c>
      <c r="X207" s="1"/>
      <c r="Y207" s="1" t="str">
        <f>"02029000171202189"</f>
        <v>02029000171202189</v>
      </c>
      <c r="Z207" s="1" t="s">
        <v>292</v>
      </c>
      <c r="AA207" s="1" t="s">
        <v>1595</v>
      </c>
      <c r="AB207" s="1" t="str">
        <f t="shared" si="15"/>
        <v>14816535000140</v>
      </c>
      <c r="AC207" s="1"/>
      <c r="AD207" s="1"/>
      <c r="AE207" s="1"/>
      <c r="AF207" s="1">
        <v>-48.332778</v>
      </c>
      <c r="AG207" s="1">
        <v>-10.208611</v>
      </c>
      <c r="AH207" s="1" t="s">
        <v>1600</v>
      </c>
      <c r="AI207" s="1"/>
      <c r="AJ207" s="1" t="s">
        <v>485</v>
      </c>
      <c r="AK207" s="1"/>
      <c r="AL207" s="1" t="s">
        <v>128</v>
      </c>
      <c r="AM207" s="1" t="s">
        <v>65</v>
      </c>
      <c r="AN207" s="1" t="s">
        <v>296</v>
      </c>
      <c r="AO207" s="2" t="s">
        <v>1205</v>
      </c>
      <c r="AP207" s="2" t="s">
        <v>1601</v>
      </c>
      <c r="AQ207" s="1" t="s">
        <v>132</v>
      </c>
      <c r="AR207" s="1" t="s">
        <v>531</v>
      </c>
      <c r="AS207" s="1"/>
      <c r="AT207" s="2" t="s">
        <v>70</v>
      </c>
    </row>
    <row r="208">
      <c r="A208" s="1">
        <v>2043647.0</v>
      </c>
      <c r="B208" s="1" t="s">
        <v>116</v>
      </c>
      <c r="C208" s="1" t="s">
        <v>117</v>
      </c>
      <c r="D208" s="1" t="s">
        <v>46</v>
      </c>
      <c r="E208" s="1" t="s">
        <v>1602</v>
      </c>
      <c r="F208" s="1"/>
      <c r="G208" s="1" t="s">
        <v>119</v>
      </c>
      <c r="H208" s="1" t="s">
        <v>50</v>
      </c>
      <c r="I208" s="1">
        <v>30000.0</v>
      </c>
      <c r="J208" s="1"/>
      <c r="K208" s="1"/>
      <c r="L208" s="1" t="s">
        <v>485</v>
      </c>
      <c r="M208" s="1" t="s">
        <v>1603</v>
      </c>
      <c r="N208" s="1" t="s">
        <v>109</v>
      </c>
      <c r="O208" s="1" t="s">
        <v>110</v>
      </c>
      <c r="P208" s="2" t="s">
        <v>1604</v>
      </c>
      <c r="Q208" s="1" t="s">
        <v>56</v>
      </c>
      <c r="R208" s="1"/>
      <c r="S208" s="1" t="s">
        <v>488</v>
      </c>
      <c r="T208" s="1">
        <v>1708205.0</v>
      </c>
      <c r="U208" s="1" t="s">
        <v>1605</v>
      </c>
      <c r="V208" s="1" t="s">
        <v>490</v>
      </c>
      <c r="W208" s="1" t="s">
        <v>172</v>
      </c>
      <c r="X208" s="1"/>
      <c r="Y208" s="1" t="str">
        <f>"02029000166202176"</f>
        <v>02029000166202176</v>
      </c>
      <c r="Z208" s="1" t="s">
        <v>112</v>
      </c>
      <c r="AA208" s="1" t="s">
        <v>1606</v>
      </c>
      <c r="AB208" s="1" t="str">
        <f>"***626301**"</f>
        <v>***626301**</v>
      </c>
      <c r="AC208" s="1"/>
      <c r="AD208" s="1"/>
      <c r="AE208" s="1"/>
      <c r="AF208" s="1">
        <v>-49.663889</v>
      </c>
      <c r="AG208" s="1">
        <v>-11.795</v>
      </c>
      <c r="AH208" s="1" t="s">
        <v>1607</v>
      </c>
      <c r="AI208" s="1"/>
      <c r="AJ208" s="1" t="s">
        <v>485</v>
      </c>
      <c r="AK208" s="1"/>
      <c r="AL208" s="1" t="s">
        <v>128</v>
      </c>
      <c r="AM208" s="1" t="s">
        <v>65</v>
      </c>
      <c r="AN208" s="1" t="s">
        <v>274</v>
      </c>
      <c r="AO208" s="2" t="s">
        <v>1205</v>
      </c>
      <c r="AP208" s="2" t="s">
        <v>1608</v>
      </c>
      <c r="AQ208" s="1" t="s">
        <v>132</v>
      </c>
      <c r="AR208" s="1" t="s">
        <v>494</v>
      </c>
      <c r="AS208" s="1"/>
      <c r="AT208" s="2" t="s">
        <v>70</v>
      </c>
    </row>
    <row r="209">
      <c r="A209" s="1">
        <v>2043719.0</v>
      </c>
      <c r="B209" s="1" t="s">
        <v>116</v>
      </c>
      <c r="C209" s="1" t="s">
        <v>117</v>
      </c>
      <c r="D209" s="1" t="s">
        <v>46</v>
      </c>
      <c r="E209" s="1" t="s">
        <v>1609</v>
      </c>
      <c r="F209" s="1"/>
      <c r="G209" s="1" t="s">
        <v>119</v>
      </c>
      <c r="H209" s="1" t="s">
        <v>50</v>
      </c>
      <c r="I209" s="1">
        <v>112500.0</v>
      </c>
      <c r="J209" s="1"/>
      <c r="K209" s="1"/>
      <c r="L209" s="1" t="s">
        <v>327</v>
      </c>
      <c r="M209" s="1" t="s">
        <v>1610</v>
      </c>
      <c r="N209" s="1" t="s">
        <v>186</v>
      </c>
      <c r="O209" s="1" t="s">
        <v>95</v>
      </c>
      <c r="P209" s="2" t="s">
        <v>1611</v>
      </c>
      <c r="Q209" s="1" t="s">
        <v>56</v>
      </c>
      <c r="R209" s="2" t="s">
        <v>1612</v>
      </c>
      <c r="S209" s="1" t="s">
        <v>1613</v>
      </c>
      <c r="T209" s="1">
        <v>5104559.0</v>
      </c>
      <c r="U209" s="1" t="s">
        <v>1614</v>
      </c>
      <c r="V209" s="1" t="s">
        <v>323</v>
      </c>
      <c r="W209" s="1" t="s">
        <v>100</v>
      </c>
      <c r="X209" s="1"/>
      <c r="Y209" s="1" t="str">
        <f>"02013000437202162"</f>
        <v>02013000437202162</v>
      </c>
      <c r="Z209" s="1" t="s">
        <v>101</v>
      </c>
      <c r="AA209" s="1" t="s">
        <v>1615</v>
      </c>
      <c r="AB209" s="1" t="str">
        <f>"30704380000106"</f>
        <v>30704380000106</v>
      </c>
      <c r="AC209" s="1"/>
      <c r="AD209" s="1"/>
      <c r="AE209" s="1"/>
      <c r="AF209" s="1">
        <v>-55.25</v>
      </c>
      <c r="AG209" s="1">
        <v>-11.014444</v>
      </c>
      <c r="AH209" s="1" t="s">
        <v>1616</v>
      </c>
      <c r="AI209" s="1"/>
      <c r="AJ209" s="1" t="s">
        <v>327</v>
      </c>
      <c r="AK209" s="1"/>
      <c r="AL209" s="1" t="s">
        <v>128</v>
      </c>
      <c r="AM209" s="1" t="s">
        <v>65</v>
      </c>
      <c r="AN209" s="1" t="s">
        <v>274</v>
      </c>
      <c r="AO209" s="2" t="s">
        <v>778</v>
      </c>
      <c r="AP209" s="2" t="s">
        <v>1617</v>
      </c>
      <c r="AQ209" s="1" t="s">
        <v>132</v>
      </c>
      <c r="AR209" s="1" t="s">
        <v>247</v>
      </c>
      <c r="AS209" s="1"/>
      <c r="AT209" s="2" t="s">
        <v>70</v>
      </c>
    </row>
    <row r="210">
      <c r="A210" s="1"/>
      <c r="B210" s="1" t="s">
        <v>46</v>
      </c>
      <c r="C210" s="1" t="s">
        <v>47</v>
      </c>
      <c r="D210" s="1"/>
      <c r="E210" s="1" t="s">
        <v>1618</v>
      </c>
      <c r="F210" s="1"/>
      <c r="G210" s="1" t="s">
        <v>49</v>
      </c>
      <c r="H210" s="1" t="s">
        <v>72</v>
      </c>
      <c r="I210" s="1">
        <v>5802.0</v>
      </c>
      <c r="J210" s="1"/>
      <c r="K210" s="1"/>
      <c r="L210" s="1"/>
      <c r="M210" s="1" t="s">
        <v>1619</v>
      </c>
      <c r="N210" s="1" t="s">
        <v>109</v>
      </c>
      <c r="O210" s="1" t="s">
        <v>110</v>
      </c>
      <c r="P210" s="2" t="s">
        <v>1620</v>
      </c>
      <c r="Q210" s="1" t="s">
        <v>56</v>
      </c>
      <c r="R210" s="1"/>
      <c r="S210" s="1" t="s">
        <v>97</v>
      </c>
      <c r="T210" s="1">
        <v>1301704.0</v>
      </c>
      <c r="U210" s="1" t="s">
        <v>98</v>
      </c>
      <c r="V210" s="1" t="s">
        <v>99</v>
      </c>
      <c r="W210" s="1" t="s">
        <v>100</v>
      </c>
      <c r="X210" s="1"/>
      <c r="Y210" s="1"/>
      <c r="Z210" s="1" t="s">
        <v>112</v>
      </c>
      <c r="AA210" s="1" t="s">
        <v>1621</v>
      </c>
      <c r="AB210" s="1" t="str">
        <f>"22949060000198"</f>
        <v>22949060000198</v>
      </c>
      <c r="AC210" s="1"/>
      <c r="AD210" s="1" t="s">
        <v>81</v>
      </c>
      <c r="AE210" s="1"/>
      <c r="AF210" s="1">
        <v>-63.023056</v>
      </c>
      <c r="AG210" s="1">
        <v>-7.495611</v>
      </c>
      <c r="AH210" s="1" t="s">
        <v>1563</v>
      </c>
      <c r="AI210" s="1"/>
      <c r="AJ210" s="1" t="s">
        <v>104</v>
      </c>
      <c r="AK210" s="1"/>
      <c r="AL210" s="1"/>
      <c r="AM210" s="1" t="s">
        <v>65</v>
      </c>
      <c r="AN210" s="1"/>
      <c r="AO210" s="1"/>
      <c r="AP210" s="2" t="s">
        <v>1622</v>
      </c>
      <c r="AQ210" s="1"/>
      <c r="AR210" s="1" t="s">
        <v>115</v>
      </c>
      <c r="AS210" s="1"/>
      <c r="AT210" s="2" t="s">
        <v>70</v>
      </c>
    </row>
    <row r="211">
      <c r="A211" s="1"/>
      <c r="B211" s="1" t="s">
        <v>46</v>
      </c>
      <c r="C211" s="1" t="s">
        <v>47</v>
      </c>
      <c r="D211" s="1"/>
      <c r="E211" s="1" t="s">
        <v>1623</v>
      </c>
      <c r="F211" s="1"/>
      <c r="G211" s="1" t="s">
        <v>49</v>
      </c>
      <c r="H211" s="1" t="s">
        <v>72</v>
      </c>
      <c r="I211" s="1">
        <v>5802.0</v>
      </c>
      <c r="J211" s="1"/>
      <c r="K211" s="1"/>
      <c r="L211" s="1"/>
      <c r="M211" s="1" t="s">
        <v>1624</v>
      </c>
      <c r="N211" s="1" t="s">
        <v>109</v>
      </c>
      <c r="O211" s="1" t="s">
        <v>110</v>
      </c>
      <c r="P211" s="2" t="s">
        <v>1625</v>
      </c>
      <c r="Q211" s="1" t="s">
        <v>56</v>
      </c>
      <c r="R211" s="1"/>
      <c r="S211" s="1" t="s">
        <v>97</v>
      </c>
      <c r="T211" s="1">
        <v>1301704.0</v>
      </c>
      <c r="U211" s="1" t="s">
        <v>98</v>
      </c>
      <c r="V211" s="1" t="s">
        <v>99</v>
      </c>
      <c r="W211" s="1" t="s">
        <v>100</v>
      </c>
      <c r="X211" s="1"/>
      <c r="Y211" s="1"/>
      <c r="Z211" s="1" t="s">
        <v>112</v>
      </c>
      <c r="AA211" s="1" t="s">
        <v>1626</v>
      </c>
      <c r="AB211" s="1" t="str">
        <f>"***059292**"</f>
        <v>***059292**</v>
      </c>
      <c r="AC211" s="1"/>
      <c r="AD211" s="1" t="s">
        <v>81</v>
      </c>
      <c r="AE211" s="1"/>
      <c r="AF211" s="1">
        <v>-63.022472</v>
      </c>
      <c r="AG211" s="1">
        <v>-7.495611</v>
      </c>
      <c r="AH211" s="1" t="s">
        <v>1563</v>
      </c>
      <c r="AI211" s="1"/>
      <c r="AJ211" s="1" t="s">
        <v>104</v>
      </c>
      <c r="AK211" s="1"/>
      <c r="AL211" s="1"/>
      <c r="AM211" s="1" t="s">
        <v>65</v>
      </c>
      <c r="AN211" s="1"/>
      <c r="AO211" s="1"/>
      <c r="AP211" s="2" t="s">
        <v>1627</v>
      </c>
      <c r="AQ211" s="1"/>
      <c r="AR211" s="1" t="s">
        <v>1295</v>
      </c>
      <c r="AS211" s="1"/>
      <c r="AT211" s="2" t="s">
        <v>70</v>
      </c>
    </row>
    <row r="212">
      <c r="A212" s="1">
        <v>2043814.0</v>
      </c>
      <c r="B212" s="1" t="s">
        <v>116</v>
      </c>
      <c r="C212" s="1" t="s">
        <v>117</v>
      </c>
      <c r="D212" s="1" t="s">
        <v>46</v>
      </c>
      <c r="E212" s="1" t="s">
        <v>1628</v>
      </c>
      <c r="F212" s="1"/>
      <c r="G212" s="1" t="s">
        <v>119</v>
      </c>
      <c r="H212" s="1" t="s">
        <v>72</v>
      </c>
      <c r="I212" s="1">
        <v>5000.0</v>
      </c>
      <c r="J212" s="1"/>
      <c r="K212" s="1"/>
      <c r="L212" s="1" t="s">
        <v>120</v>
      </c>
      <c r="M212" s="1" t="s">
        <v>1629</v>
      </c>
      <c r="N212" s="1" t="s">
        <v>257</v>
      </c>
      <c r="O212" s="1" t="s">
        <v>258</v>
      </c>
      <c r="P212" s="2" t="s">
        <v>1630</v>
      </c>
      <c r="Q212" s="1" t="s">
        <v>56</v>
      </c>
      <c r="R212" s="1"/>
      <c r="S212" s="1" t="s">
        <v>169</v>
      </c>
      <c r="T212" s="1">
        <v>5300108.0</v>
      </c>
      <c r="U212" s="1" t="s">
        <v>304</v>
      </c>
      <c r="V212" s="1" t="s">
        <v>305</v>
      </c>
      <c r="W212" s="1" t="s">
        <v>172</v>
      </c>
      <c r="X212" s="1"/>
      <c r="Y212" s="1" t="str">
        <f>"02001004060202150"</f>
        <v>02001004060202150</v>
      </c>
      <c r="Z212" s="1" t="s">
        <v>260</v>
      </c>
      <c r="AA212" s="1" t="s">
        <v>1631</v>
      </c>
      <c r="AB212" s="1" t="str">
        <f>"***771276**"</f>
        <v>***771276**</v>
      </c>
      <c r="AC212" s="1"/>
      <c r="AD212" s="1"/>
      <c r="AE212" s="1"/>
      <c r="AF212" s="1">
        <v>-47.911667</v>
      </c>
      <c r="AG212" s="1">
        <v>-15.816667</v>
      </c>
      <c r="AH212" s="1" t="s">
        <v>1632</v>
      </c>
      <c r="AI212" s="1"/>
      <c r="AJ212" s="1" t="s">
        <v>120</v>
      </c>
      <c r="AK212" s="1"/>
      <c r="AL212" s="1" t="s">
        <v>128</v>
      </c>
      <c r="AM212" s="1" t="s">
        <v>65</v>
      </c>
      <c r="AN212" s="1" t="s">
        <v>66</v>
      </c>
      <c r="AO212" s="2" t="s">
        <v>468</v>
      </c>
      <c r="AP212" s="2" t="s">
        <v>1633</v>
      </c>
      <c r="AQ212" s="1" t="s">
        <v>132</v>
      </c>
      <c r="AR212" s="1" t="s">
        <v>1634</v>
      </c>
      <c r="AS212" s="1"/>
      <c r="AT212" s="2" t="s">
        <v>70</v>
      </c>
    </row>
    <row r="213">
      <c r="A213" s="1">
        <v>2043526.0</v>
      </c>
      <c r="B213" s="1" t="s">
        <v>116</v>
      </c>
      <c r="C213" s="1" t="s">
        <v>117</v>
      </c>
      <c r="D213" s="1" t="s">
        <v>46</v>
      </c>
      <c r="E213" s="1" t="s">
        <v>1635</v>
      </c>
      <c r="F213" s="1"/>
      <c r="G213" s="1" t="s">
        <v>119</v>
      </c>
      <c r="H213" s="1" t="s">
        <v>50</v>
      </c>
      <c r="I213" s="1">
        <v>22980.0</v>
      </c>
      <c r="J213" s="1"/>
      <c r="K213" s="1"/>
      <c r="L213" s="1" t="s">
        <v>327</v>
      </c>
      <c r="M213" s="1" t="s">
        <v>1636</v>
      </c>
      <c r="N213" s="1" t="s">
        <v>53</v>
      </c>
      <c r="O213" s="1" t="s">
        <v>187</v>
      </c>
      <c r="P213" s="2" t="s">
        <v>1637</v>
      </c>
      <c r="Q213" s="1" t="s">
        <v>56</v>
      </c>
      <c r="R213" s="2" t="s">
        <v>1638</v>
      </c>
      <c r="S213" s="1" t="s">
        <v>1639</v>
      </c>
      <c r="T213" s="1">
        <v>5106752.0</v>
      </c>
      <c r="U213" s="1" t="s">
        <v>1640</v>
      </c>
      <c r="V213" s="1" t="s">
        <v>323</v>
      </c>
      <c r="W213" s="1" t="s">
        <v>100</v>
      </c>
      <c r="X213" s="1"/>
      <c r="Y213" s="1" t="str">
        <f>"02013000408202109"</f>
        <v>02013000408202109</v>
      </c>
      <c r="Z213" s="1" t="s">
        <v>223</v>
      </c>
      <c r="AA213" s="1" t="s">
        <v>1641</v>
      </c>
      <c r="AB213" s="1" t="str">
        <f>"***309301**"</f>
        <v>***309301**</v>
      </c>
      <c r="AC213" s="1"/>
      <c r="AD213" s="1"/>
      <c r="AE213" s="1"/>
      <c r="AF213" s="1">
        <v>-59.500356</v>
      </c>
      <c r="AG213" s="1">
        <v>-14.967167</v>
      </c>
      <c r="AH213" s="1" t="s">
        <v>1642</v>
      </c>
      <c r="AI213" s="1"/>
      <c r="AJ213" s="1" t="s">
        <v>327</v>
      </c>
      <c r="AK213" s="1"/>
      <c r="AL213" s="1" t="s">
        <v>128</v>
      </c>
      <c r="AM213" s="1" t="s">
        <v>65</v>
      </c>
      <c r="AN213" s="1" t="s">
        <v>274</v>
      </c>
      <c r="AO213" s="2" t="s">
        <v>1643</v>
      </c>
      <c r="AP213" s="2" t="s">
        <v>1644</v>
      </c>
      <c r="AQ213" s="1" t="s">
        <v>132</v>
      </c>
      <c r="AR213" s="1" t="s">
        <v>1645</v>
      </c>
      <c r="AS213" s="1"/>
      <c r="AT213" s="2" t="s">
        <v>70</v>
      </c>
    </row>
    <row r="214">
      <c r="A214" s="1"/>
      <c r="B214" s="1" t="s">
        <v>46</v>
      </c>
      <c r="C214" s="1" t="s">
        <v>47</v>
      </c>
      <c r="D214" s="1"/>
      <c r="E214" s="1" t="s">
        <v>1646</v>
      </c>
      <c r="F214" s="1"/>
      <c r="G214" s="1" t="s">
        <v>49</v>
      </c>
      <c r="H214" s="1" t="s">
        <v>50</v>
      </c>
      <c r="I214" s="1">
        <v>4100.0</v>
      </c>
      <c r="J214" s="1"/>
      <c r="K214" s="1"/>
      <c r="L214" s="1"/>
      <c r="M214" s="1" t="s">
        <v>1647</v>
      </c>
      <c r="N214" s="1" t="s">
        <v>74</v>
      </c>
      <c r="O214" s="1" t="s">
        <v>75</v>
      </c>
      <c r="P214" s="2" t="s">
        <v>1648</v>
      </c>
      <c r="Q214" s="1" t="s">
        <v>77</v>
      </c>
      <c r="R214" s="1"/>
      <c r="S214" s="1" t="s">
        <v>400</v>
      </c>
      <c r="T214" s="1">
        <v>4314407.0</v>
      </c>
      <c r="U214" s="1" t="s">
        <v>1649</v>
      </c>
      <c r="V214" s="1" t="s">
        <v>402</v>
      </c>
      <c r="W214" s="1" t="s">
        <v>60</v>
      </c>
      <c r="X214" s="1"/>
      <c r="Y214" s="1"/>
      <c r="Z214" s="1" t="s">
        <v>79</v>
      </c>
      <c r="AA214" s="1" t="s">
        <v>1650</v>
      </c>
      <c r="AB214" s="1" t="str">
        <f>"***022520**"</f>
        <v>***022520**</v>
      </c>
      <c r="AC214" s="1"/>
      <c r="AD214" s="1" t="s">
        <v>81</v>
      </c>
      <c r="AE214" s="1"/>
      <c r="AF214" s="1">
        <v>-52.123333</v>
      </c>
      <c r="AG214" s="1">
        <v>-31.740556</v>
      </c>
      <c r="AH214" s="1" t="s">
        <v>1651</v>
      </c>
      <c r="AI214" s="1"/>
      <c r="AJ214" s="1" t="s">
        <v>405</v>
      </c>
      <c r="AK214" s="1"/>
      <c r="AL214" s="1"/>
      <c r="AM214" s="1" t="s">
        <v>65</v>
      </c>
      <c r="AN214" s="1" t="s">
        <v>1044</v>
      </c>
      <c r="AO214" s="1"/>
      <c r="AP214" s="2" t="s">
        <v>1652</v>
      </c>
      <c r="AQ214" s="1"/>
      <c r="AR214" s="1" t="s">
        <v>1653</v>
      </c>
      <c r="AS214" s="1"/>
      <c r="AT214" s="2" t="s">
        <v>70</v>
      </c>
    </row>
    <row r="215">
      <c r="A215" s="1"/>
      <c r="B215" s="1" t="s">
        <v>46</v>
      </c>
      <c r="C215" s="1" t="s">
        <v>47</v>
      </c>
      <c r="D215" s="1"/>
      <c r="E215" s="1" t="s">
        <v>1654</v>
      </c>
      <c r="F215" s="1"/>
      <c r="G215" s="1" t="s">
        <v>49</v>
      </c>
      <c r="H215" s="1" t="s">
        <v>72</v>
      </c>
      <c r="I215" s="1">
        <v>1000.0</v>
      </c>
      <c r="J215" s="1"/>
      <c r="K215" s="1"/>
      <c r="L215" s="1"/>
      <c r="M215" s="1" t="s">
        <v>1655</v>
      </c>
      <c r="N215" s="1" t="s">
        <v>53</v>
      </c>
      <c r="O215" s="1" t="s">
        <v>333</v>
      </c>
      <c r="P215" s="2" t="s">
        <v>1656</v>
      </c>
      <c r="Q215" s="1" t="s">
        <v>77</v>
      </c>
      <c r="R215" s="1"/>
      <c r="S215" s="1" t="s">
        <v>220</v>
      </c>
      <c r="T215" s="1">
        <v>5107800.0</v>
      </c>
      <c r="U215" s="1" t="s">
        <v>1657</v>
      </c>
      <c r="V215" s="1" t="s">
        <v>323</v>
      </c>
      <c r="W215" s="1" t="s">
        <v>1658</v>
      </c>
      <c r="X215" s="1"/>
      <c r="Y215" s="1"/>
      <c r="Z215" s="1" t="s">
        <v>223</v>
      </c>
      <c r="AA215" s="1" t="s">
        <v>1659</v>
      </c>
      <c r="AB215" s="1" t="str">
        <f>"***577651**"</f>
        <v>***577651**</v>
      </c>
      <c r="AC215" s="1"/>
      <c r="AD215" s="1" t="s">
        <v>81</v>
      </c>
      <c r="AE215" s="1"/>
      <c r="AF215" s="1">
        <v>-55.086389</v>
      </c>
      <c r="AG215" s="1">
        <v>-16.596111</v>
      </c>
      <c r="AH215" s="1" t="s">
        <v>1660</v>
      </c>
      <c r="AI215" s="1"/>
      <c r="AJ215" s="1" t="s">
        <v>327</v>
      </c>
      <c r="AK215" s="1"/>
      <c r="AL215" s="1"/>
      <c r="AM215" s="1" t="s">
        <v>65</v>
      </c>
      <c r="AN215" s="1" t="s">
        <v>1661</v>
      </c>
      <c r="AO215" s="1"/>
      <c r="AP215" s="2" t="s">
        <v>1662</v>
      </c>
      <c r="AQ215" s="1"/>
      <c r="AR215" s="1" t="s">
        <v>1663</v>
      </c>
      <c r="AS215" s="1"/>
      <c r="AT215" s="2" t="s">
        <v>70</v>
      </c>
    </row>
    <row r="216">
      <c r="A216" s="1"/>
      <c r="B216" s="1" t="s">
        <v>46</v>
      </c>
      <c r="C216" s="1" t="s">
        <v>47</v>
      </c>
      <c r="D216" s="1"/>
      <c r="E216" s="1" t="s">
        <v>1664</v>
      </c>
      <c r="F216" s="1"/>
      <c r="G216" s="1" t="s">
        <v>49</v>
      </c>
      <c r="H216" s="1" t="s">
        <v>50</v>
      </c>
      <c r="I216" s="1">
        <v>10000.0</v>
      </c>
      <c r="J216" s="1"/>
      <c r="K216" s="1" t="s">
        <v>92</v>
      </c>
      <c r="L216" s="1"/>
      <c r="M216" s="1" t="s">
        <v>1665</v>
      </c>
      <c r="N216" s="1" t="s">
        <v>74</v>
      </c>
      <c r="O216" s="1" t="s">
        <v>75</v>
      </c>
      <c r="P216" s="2" t="s">
        <v>1666</v>
      </c>
      <c r="Q216" s="1" t="s">
        <v>77</v>
      </c>
      <c r="R216" s="1"/>
      <c r="S216" s="1" t="s">
        <v>220</v>
      </c>
      <c r="T216" s="1">
        <v>5107800.0</v>
      </c>
      <c r="U216" s="1" t="s">
        <v>1657</v>
      </c>
      <c r="V216" s="1" t="s">
        <v>323</v>
      </c>
      <c r="W216" s="1" t="s">
        <v>1658</v>
      </c>
      <c r="X216" s="1"/>
      <c r="Y216" s="1"/>
      <c r="Z216" s="1" t="s">
        <v>79</v>
      </c>
      <c r="AA216" s="1" t="s">
        <v>1667</v>
      </c>
      <c r="AB216" s="1" t="str">
        <f>"***065121**"</f>
        <v>***065121**</v>
      </c>
      <c r="AC216" s="1"/>
      <c r="AD216" s="1" t="s">
        <v>81</v>
      </c>
      <c r="AE216" s="1"/>
      <c r="AF216" s="1">
        <v>-55.086389</v>
      </c>
      <c r="AG216" s="1">
        <v>-16.596111</v>
      </c>
      <c r="AH216" s="1" t="s">
        <v>1660</v>
      </c>
      <c r="AI216" s="1"/>
      <c r="AJ216" s="1" t="s">
        <v>327</v>
      </c>
      <c r="AK216" s="1"/>
      <c r="AL216" s="1"/>
      <c r="AM216" s="1" t="s">
        <v>65</v>
      </c>
      <c r="AN216" s="1" t="s">
        <v>1661</v>
      </c>
      <c r="AO216" s="1"/>
      <c r="AP216" s="2" t="s">
        <v>1668</v>
      </c>
      <c r="AQ216" s="1"/>
      <c r="AR216" s="1" t="s">
        <v>1669</v>
      </c>
      <c r="AS216" s="1"/>
      <c r="AT216" s="2" t="s">
        <v>70</v>
      </c>
    </row>
    <row r="217">
      <c r="A217" s="1"/>
      <c r="B217" s="1" t="s">
        <v>46</v>
      </c>
      <c r="C217" s="1" t="s">
        <v>47</v>
      </c>
      <c r="D217" s="1"/>
      <c r="E217" s="1" t="s">
        <v>1670</v>
      </c>
      <c r="F217" s="1"/>
      <c r="G217" s="1" t="s">
        <v>49</v>
      </c>
      <c r="H217" s="1" t="s">
        <v>50</v>
      </c>
      <c r="I217" s="1">
        <v>21800.0</v>
      </c>
      <c r="J217" s="1"/>
      <c r="K217" s="1" t="s">
        <v>92</v>
      </c>
      <c r="L217" s="1"/>
      <c r="M217" s="1" t="s">
        <v>1671</v>
      </c>
      <c r="N217" s="1" t="s">
        <v>74</v>
      </c>
      <c r="O217" s="1" t="s">
        <v>75</v>
      </c>
      <c r="P217" s="2" t="s">
        <v>1672</v>
      </c>
      <c r="Q217" s="1" t="s">
        <v>77</v>
      </c>
      <c r="R217" s="1"/>
      <c r="S217" s="1" t="s">
        <v>400</v>
      </c>
      <c r="T217" s="1">
        <v>4315602.0</v>
      </c>
      <c r="U217" s="1" t="s">
        <v>1042</v>
      </c>
      <c r="V217" s="1" t="s">
        <v>402</v>
      </c>
      <c r="W217" s="1" t="s">
        <v>60</v>
      </c>
      <c r="X217" s="1"/>
      <c r="Y217" s="1"/>
      <c r="Z217" s="1" t="s">
        <v>79</v>
      </c>
      <c r="AA217" s="1" t="s">
        <v>1650</v>
      </c>
      <c r="AB217" s="1" t="str">
        <f>"***022520**"</f>
        <v>***022520**</v>
      </c>
      <c r="AC217" s="1"/>
      <c r="AD217" s="1" t="s">
        <v>81</v>
      </c>
      <c r="AE217" s="1"/>
      <c r="AF217" s="1">
        <v>-52.123889</v>
      </c>
      <c r="AG217" s="1">
        <v>-31.745</v>
      </c>
      <c r="AH217" s="1" t="s">
        <v>1673</v>
      </c>
      <c r="AI217" s="1"/>
      <c r="AJ217" s="1" t="s">
        <v>405</v>
      </c>
      <c r="AK217" s="1"/>
      <c r="AL217" s="1"/>
      <c r="AM217" s="1" t="s">
        <v>65</v>
      </c>
      <c r="AN217" s="1" t="s">
        <v>1044</v>
      </c>
      <c r="AO217" s="1"/>
      <c r="AP217" s="2" t="s">
        <v>1674</v>
      </c>
      <c r="AQ217" s="1"/>
      <c r="AR217" s="1" t="s">
        <v>1675</v>
      </c>
      <c r="AS217" s="1" t="s">
        <v>1676</v>
      </c>
      <c r="AT217" s="2" t="s">
        <v>70</v>
      </c>
    </row>
    <row r="218">
      <c r="A218" s="1"/>
      <c r="B218" s="1" t="s">
        <v>46</v>
      </c>
      <c r="C218" s="1" t="s">
        <v>47</v>
      </c>
      <c r="D218" s="1"/>
      <c r="E218" s="1" t="s">
        <v>1677</v>
      </c>
      <c r="F218" s="1"/>
      <c r="G218" s="1" t="s">
        <v>49</v>
      </c>
      <c r="H218" s="1" t="s">
        <v>50</v>
      </c>
      <c r="I218" s="1">
        <v>10000.0</v>
      </c>
      <c r="J218" s="1"/>
      <c r="K218" s="1" t="s">
        <v>92</v>
      </c>
      <c r="L218" s="1"/>
      <c r="M218" s="1" t="s">
        <v>1678</v>
      </c>
      <c r="N218" s="1" t="s">
        <v>74</v>
      </c>
      <c r="O218" s="1" t="s">
        <v>75</v>
      </c>
      <c r="P218" s="2" t="s">
        <v>1679</v>
      </c>
      <c r="Q218" s="1" t="s">
        <v>77</v>
      </c>
      <c r="R218" s="1"/>
      <c r="S218" s="1" t="s">
        <v>220</v>
      </c>
      <c r="T218" s="1">
        <v>5107800.0</v>
      </c>
      <c r="U218" s="1" t="s">
        <v>1657</v>
      </c>
      <c r="V218" s="1" t="s">
        <v>323</v>
      </c>
      <c r="W218" s="1" t="s">
        <v>1658</v>
      </c>
      <c r="X218" s="1"/>
      <c r="Y218" s="1"/>
      <c r="Z218" s="1" t="s">
        <v>79</v>
      </c>
      <c r="AA218" s="1" t="s">
        <v>1680</v>
      </c>
      <c r="AB218" s="1" t="str">
        <f>"***542101**"</f>
        <v>***542101**</v>
      </c>
      <c r="AC218" s="1"/>
      <c r="AD218" s="1" t="s">
        <v>81</v>
      </c>
      <c r="AE218" s="1"/>
      <c r="AF218" s="1">
        <v>-55.086389</v>
      </c>
      <c r="AG218" s="1">
        <v>-16.596111</v>
      </c>
      <c r="AH218" s="1" t="s">
        <v>1681</v>
      </c>
      <c r="AI218" s="1"/>
      <c r="AJ218" s="1" t="s">
        <v>327</v>
      </c>
      <c r="AK218" s="1"/>
      <c r="AL218" s="1"/>
      <c r="AM218" s="1" t="s">
        <v>65</v>
      </c>
      <c r="AN218" s="1" t="s">
        <v>1661</v>
      </c>
      <c r="AO218" s="1"/>
      <c r="AP218" s="2" t="s">
        <v>1682</v>
      </c>
      <c r="AQ218" s="1"/>
      <c r="AR218" s="1" t="s">
        <v>1053</v>
      </c>
      <c r="AS218" s="1"/>
      <c r="AT218" s="2" t="s">
        <v>70</v>
      </c>
    </row>
    <row r="219">
      <c r="A219" s="1"/>
      <c r="B219" s="1" t="s">
        <v>46</v>
      </c>
      <c r="C219" s="1" t="s">
        <v>47</v>
      </c>
      <c r="D219" s="1"/>
      <c r="E219" s="1" t="s">
        <v>1683</v>
      </c>
      <c r="F219" s="1"/>
      <c r="G219" s="1" t="s">
        <v>49</v>
      </c>
      <c r="H219" s="1" t="s">
        <v>72</v>
      </c>
      <c r="I219" s="1">
        <v>1900000.0</v>
      </c>
      <c r="J219" s="1"/>
      <c r="K219" s="1"/>
      <c r="L219" s="1"/>
      <c r="M219" s="1" t="s">
        <v>1684</v>
      </c>
      <c r="N219" s="1" t="s">
        <v>109</v>
      </c>
      <c r="O219" s="1" t="s">
        <v>110</v>
      </c>
      <c r="P219" s="2" t="s">
        <v>1685</v>
      </c>
      <c r="Q219" s="1" t="s">
        <v>56</v>
      </c>
      <c r="R219" s="1"/>
      <c r="S219" s="1" t="s">
        <v>608</v>
      </c>
      <c r="T219" s="1">
        <v>5106158.0</v>
      </c>
      <c r="U219" s="1" t="s">
        <v>1686</v>
      </c>
      <c r="V219" s="1" t="s">
        <v>323</v>
      </c>
      <c r="W219" s="1" t="s">
        <v>100</v>
      </c>
      <c r="X219" s="1"/>
      <c r="Y219" s="1"/>
      <c r="Z219" s="1" t="s">
        <v>112</v>
      </c>
      <c r="AA219" s="1" t="s">
        <v>1687</v>
      </c>
      <c r="AB219" s="1" t="str">
        <f>"30657382000191"</f>
        <v>30657382000191</v>
      </c>
      <c r="AC219" s="1"/>
      <c r="AD219" s="1" t="s">
        <v>325</v>
      </c>
      <c r="AE219" s="1"/>
      <c r="AF219" s="1">
        <v>-58.025556</v>
      </c>
      <c r="AG219" s="1">
        <v>-9.453056</v>
      </c>
      <c r="AH219" s="1" t="s">
        <v>1688</v>
      </c>
      <c r="AI219" s="1"/>
      <c r="AJ219" s="1" t="s">
        <v>327</v>
      </c>
      <c r="AK219" s="1"/>
      <c r="AL219" s="1"/>
      <c r="AM219" s="1" t="s">
        <v>65</v>
      </c>
      <c r="AN219" s="1" t="s">
        <v>274</v>
      </c>
      <c r="AO219" s="1"/>
      <c r="AP219" s="2" t="s">
        <v>1689</v>
      </c>
      <c r="AQ219" s="1"/>
      <c r="AR219" s="1" t="s">
        <v>1690</v>
      </c>
      <c r="AS219" s="1"/>
      <c r="AT219" s="2" t="s">
        <v>70</v>
      </c>
    </row>
    <row r="220">
      <c r="A220" s="1"/>
      <c r="B220" s="1" t="s">
        <v>46</v>
      </c>
      <c r="C220" s="1" t="s">
        <v>47</v>
      </c>
      <c r="D220" s="1"/>
      <c r="E220" s="1" t="s">
        <v>1691</v>
      </c>
      <c r="F220" s="1"/>
      <c r="G220" s="1" t="s">
        <v>49</v>
      </c>
      <c r="H220" s="1" t="s">
        <v>72</v>
      </c>
      <c r="I220" s="1">
        <v>1500.0</v>
      </c>
      <c r="J220" s="1"/>
      <c r="K220" s="1"/>
      <c r="L220" s="1"/>
      <c r="M220" s="1" t="s">
        <v>1692</v>
      </c>
      <c r="N220" s="1" t="s">
        <v>257</v>
      </c>
      <c r="O220" s="1" t="s">
        <v>258</v>
      </c>
      <c r="P220" s="2" t="s">
        <v>1693</v>
      </c>
      <c r="Q220" s="1" t="s">
        <v>77</v>
      </c>
      <c r="R220" s="1"/>
      <c r="S220" s="1" t="s">
        <v>1694</v>
      </c>
      <c r="T220" s="1">
        <v>1600501.0</v>
      </c>
      <c r="U220" s="1" t="s">
        <v>1137</v>
      </c>
      <c r="V220" s="1" t="s">
        <v>1138</v>
      </c>
      <c r="W220" s="1" t="s">
        <v>100</v>
      </c>
      <c r="X220" s="1"/>
      <c r="Y220" s="1"/>
      <c r="Z220" s="1" t="s">
        <v>260</v>
      </c>
      <c r="AA220" s="1" t="s">
        <v>1695</v>
      </c>
      <c r="AB220" s="1" t="str">
        <f>"***031762**"</f>
        <v>***031762**</v>
      </c>
      <c r="AC220" s="1"/>
      <c r="AD220" s="1" t="s">
        <v>81</v>
      </c>
      <c r="AE220" s="1"/>
      <c r="AF220" s="1">
        <v>-51.831944</v>
      </c>
      <c r="AG220" s="1">
        <v>3.840556</v>
      </c>
      <c r="AH220" s="1" t="s">
        <v>1696</v>
      </c>
      <c r="AI220" s="1"/>
      <c r="AJ220" s="1" t="s">
        <v>1697</v>
      </c>
      <c r="AK220" s="1"/>
      <c r="AL220" s="1"/>
      <c r="AM220" s="1" t="s">
        <v>65</v>
      </c>
      <c r="AN220" s="1"/>
      <c r="AO220" s="1"/>
      <c r="AP220" s="2" t="s">
        <v>1698</v>
      </c>
      <c r="AQ220" s="1"/>
      <c r="AR220" s="1" t="s">
        <v>1699</v>
      </c>
      <c r="AS220" s="1"/>
      <c r="AT220" s="2" t="s">
        <v>70</v>
      </c>
    </row>
    <row r="221">
      <c r="A221" s="1"/>
      <c r="B221" s="1" t="s">
        <v>46</v>
      </c>
      <c r="C221" s="1" t="s">
        <v>47</v>
      </c>
      <c r="D221" s="1"/>
      <c r="E221" s="1" t="s">
        <v>1700</v>
      </c>
      <c r="F221" s="1"/>
      <c r="G221" s="1" t="s">
        <v>49</v>
      </c>
      <c r="H221" s="1" t="s">
        <v>50</v>
      </c>
      <c r="I221" s="1">
        <v>1500.0</v>
      </c>
      <c r="J221" s="1"/>
      <c r="K221" s="1" t="s">
        <v>51</v>
      </c>
      <c r="L221" s="1"/>
      <c r="M221" s="1" t="s">
        <v>1701</v>
      </c>
      <c r="N221" s="1" t="s">
        <v>74</v>
      </c>
      <c r="O221" s="1" t="s">
        <v>75</v>
      </c>
      <c r="P221" s="2" t="s">
        <v>1702</v>
      </c>
      <c r="Q221" s="1" t="s">
        <v>77</v>
      </c>
      <c r="R221" s="1"/>
      <c r="S221" s="1" t="s">
        <v>220</v>
      </c>
      <c r="T221" s="1">
        <v>5105200.0</v>
      </c>
      <c r="U221" s="1" t="s">
        <v>1703</v>
      </c>
      <c r="V221" s="1" t="s">
        <v>323</v>
      </c>
      <c r="W221" s="1" t="s">
        <v>1658</v>
      </c>
      <c r="X221" s="1"/>
      <c r="Y221" s="1"/>
      <c r="Z221" s="1" t="s">
        <v>79</v>
      </c>
      <c r="AA221" s="1" t="s">
        <v>1704</v>
      </c>
      <c r="AB221" s="1" t="str">
        <f>"***029861**"</f>
        <v>***029861**</v>
      </c>
      <c r="AC221" s="1"/>
      <c r="AD221" s="1" t="s">
        <v>81</v>
      </c>
      <c r="AE221" s="1"/>
      <c r="AF221" s="1">
        <v>-54.994167</v>
      </c>
      <c r="AG221" s="1">
        <v>-16.489167</v>
      </c>
      <c r="AH221" s="1" t="s">
        <v>1705</v>
      </c>
      <c r="AI221" s="1"/>
      <c r="AJ221" s="1" t="s">
        <v>327</v>
      </c>
      <c r="AK221" s="1"/>
      <c r="AL221" s="1"/>
      <c r="AM221" s="1" t="s">
        <v>65</v>
      </c>
      <c r="AN221" s="1" t="s">
        <v>1661</v>
      </c>
      <c r="AO221" s="1"/>
      <c r="AP221" s="2" t="s">
        <v>1706</v>
      </c>
      <c r="AQ221" s="1"/>
      <c r="AR221" s="1" t="s">
        <v>1707</v>
      </c>
      <c r="AS221" s="1"/>
      <c r="AT221" s="2" t="s">
        <v>70</v>
      </c>
    </row>
    <row r="222">
      <c r="A222" s="1"/>
      <c r="B222" s="1" t="s">
        <v>46</v>
      </c>
      <c r="C222" s="1" t="s">
        <v>47</v>
      </c>
      <c r="D222" s="1"/>
      <c r="E222" s="1" t="s">
        <v>1708</v>
      </c>
      <c r="F222" s="1"/>
      <c r="G222" s="1" t="s">
        <v>49</v>
      </c>
      <c r="H222" s="1" t="s">
        <v>50</v>
      </c>
      <c r="I222" s="1">
        <v>1200.0</v>
      </c>
      <c r="J222" s="1"/>
      <c r="K222" s="1" t="s">
        <v>51</v>
      </c>
      <c r="L222" s="1"/>
      <c r="M222" s="1" t="s">
        <v>1709</v>
      </c>
      <c r="N222" s="1" t="s">
        <v>74</v>
      </c>
      <c r="O222" s="1" t="s">
        <v>75</v>
      </c>
      <c r="P222" s="2" t="s">
        <v>1710</v>
      </c>
      <c r="Q222" s="1" t="s">
        <v>77</v>
      </c>
      <c r="R222" s="1"/>
      <c r="S222" s="1" t="s">
        <v>220</v>
      </c>
      <c r="T222" s="1">
        <v>5105200.0</v>
      </c>
      <c r="U222" s="1" t="s">
        <v>1703</v>
      </c>
      <c r="V222" s="1" t="s">
        <v>323</v>
      </c>
      <c r="W222" s="1" t="s">
        <v>1658</v>
      </c>
      <c r="X222" s="1"/>
      <c r="Y222" s="1"/>
      <c r="Z222" s="1" t="s">
        <v>79</v>
      </c>
      <c r="AA222" s="1" t="s">
        <v>1711</v>
      </c>
      <c r="AB222" s="1" t="str">
        <f>"***446871**"</f>
        <v>***446871**</v>
      </c>
      <c r="AC222" s="1"/>
      <c r="AD222" s="1" t="s">
        <v>81</v>
      </c>
      <c r="AE222" s="1"/>
      <c r="AF222" s="1">
        <v>-54.938333</v>
      </c>
      <c r="AG222" s="1">
        <v>-16.3875</v>
      </c>
      <c r="AH222" s="1" t="s">
        <v>1705</v>
      </c>
      <c r="AI222" s="1"/>
      <c r="AJ222" s="1" t="s">
        <v>327</v>
      </c>
      <c r="AK222" s="1"/>
      <c r="AL222" s="1"/>
      <c r="AM222" s="1" t="s">
        <v>65</v>
      </c>
      <c r="AN222" s="1" t="s">
        <v>1661</v>
      </c>
      <c r="AO222" s="1"/>
      <c r="AP222" s="2" t="s">
        <v>1712</v>
      </c>
      <c r="AQ222" s="1"/>
      <c r="AR222" s="1" t="s">
        <v>1713</v>
      </c>
      <c r="AS222" s="1"/>
      <c r="AT222" s="2" t="s">
        <v>70</v>
      </c>
    </row>
    <row r="223">
      <c r="A223" s="1"/>
      <c r="B223" s="1" t="s">
        <v>46</v>
      </c>
      <c r="C223" s="1" t="s">
        <v>47</v>
      </c>
      <c r="D223" s="1"/>
      <c r="E223" s="1" t="s">
        <v>1714</v>
      </c>
      <c r="F223" s="1"/>
      <c r="G223" s="1" t="s">
        <v>49</v>
      </c>
      <c r="H223" s="1" t="s">
        <v>50</v>
      </c>
      <c r="I223" s="1">
        <v>411000.0</v>
      </c>
      <c r="J223" s="1"/>
      <c r="K223" s="1" t="s">
        <v>92</v>
      </c>
      <c r="L223" s="1"/>
      <c r="M223" s="1" t="s">
        <v>1715</v>
      </c>
      <c r="N223" s="1" t="s">
        <v>94</v>
      </c>
      <c r="O223" s="1" t="s">
        <v>95</v>
      </c>
      <c r="P223" s="2" t="s">
        <v>1716</v>
      </c>
      <c r="Q223" s="1" t="s">
        <v>56</v>
      </c>
      <c r="R223" s="1"/>
      <c r="S223" s="1" t="s">
        <v>220</v>
      </c>
      <c r="T223" s="1">
        <v>5106158.0</v>
      </c>
      <c r="U223" s="1" t="s">
        <v>1686</v>
      </c>
      <c r="V223" s="1" t="s">
        <v>323</v>
      </c>
      <c r="W223" s="1" t="s">
        <v>100</v>
      </c>
      <c r="X223" s="1"/>
      <c r="Y223" s="1"/>
      <c r="Z223" s="1" t="s">
        <v>101</v>
      </c>
      <c r="AA223" s="1" t="s">
        <v>1717</v>
      </c>
      <c r="AB223" s="1" t="str">
        <f>"***954568**"</f>
        <v>***954568**</v>
      </c>
      <c r="AC223" s="1"/>
      <c r="AD223" s="1" t="s">
        <v>81</v>
      </c>
      <c r="AE223" s="1"/>
      <c r="AF223" s="1">
        <v>-58.025556</v>
      </c>
      <c r="AG223" s="1">
        <v>-9.453056</v>
      </c>
      <c r="AH223" s="1" t="s">
        <v>1718</v>
      </c>
      <c r="AI223" s="1"/>
      <c r="AJ223" s="1" t="s">
        <v>327</v>
      </c>
      <c r="AK223" s="1"/>
      <c r="AL223" s="1"/>
      <c r="AM223" s="1" t="s">
        <v>65</v>
      </c>
      <c r="AN223" s="1" t="s">
        <v>274</v>
      </c>
      <c r="AO223" s="1"/>
      <c r="AP223" s="2" t="s">
        <v>1719</v>
      </c>
      <c r="AQ223" s="1"/>
      <c r="AR223" s="1" t="s">
        <v>684</v>
      </c>
      <c r="AS223" s="1"/>
      <c r="AT223" s="2" t="s">
        <v>70</v>
      </c>
    </row>
    <row r="224">
      <c r="A224" s="1">
        <v>2043580.0</v>
      </c>
      <c r="B224" s="1" t="s">
        <v>116</v>
      </c>
      <c r="C224" s="1" t="s">
        <v>117</v>
      </c>
      <c r="D224" s="1" t="s">
        <v>46</v>
      </c>
      <c r="E224" s="1" t="s">
        <v>1720</v>
      </c>
      <c r="F224" s="1"/>
      <c r="G224" s="1" t="s">
        <v>119</v>
      </c>
      <c r="H224" s="1" t="s">
        <v>50</v>
      </c>
      <c r="I224" s="1">
        <v>161500.0</v>
      </c>
      <c r="J224" s="1"/>
      <c r="K224" s="1"/>
      <c r="L224" s="1" t="s">
        <v>120</v>
      </c>
      <c r="M224" s="1" t="s">
        <v>1721</v>
      </c>
      <c r="N224" s="1" t="s">
        <v>53</v>
      </c>
      <c r="O224" s="1" t="s">
        <v>333</v>
      </c>
      <c r="P224" s="2" t="s">
        <v>1722</v>
      </c>
      <c r="Q224" s="1" t="s">
        <v>56</v>
      </c>
      <c r="R224" s="1"/>
      <c r="S224" s="1" t="s">
        <v>1349</v>
      </c>
      <c r="T224" s="1">
        <v>1500859.0</v>
      </c>
      <c r="U224" s="1" t="s">
        <v>1723</v>
      </c>
      <c r="V224" s="1" t="s">
        <v>917</v>
      </c>
      <c r="W224" s="1" t="s">
        <v>100</v>
      </c>
      <c r="X224" s="1"/>
      <c r="Y224" s="1" t="str">
        <f>"02001003402202114"</f>
        <v>02001003402202114</v>
      </c>
      <c r="Z224" s="1" t="s">
        <v>223</v>
      </c>
      <c r="AA224" s="1" t="s">
        <v>1724</v>
      </c>
      <c r="AB224" s="1" t="str">
        <f>"04578324000324"</f>
        <v>04578324000324</v>
      </c>
      <c r="AC224" s="1"/>
      <c r="AD224" s="1"/>
      <c r="AE224" s="1"/>
      <c r="AF224" s="1">
        <v>-55.188944</v>
      </c>
      <c r="AG224" s="1">
        <v>-3.481833</v>
      </c>
      <c r="AH224" s="1" t="s">
        <v>1725</v>
      </c>
      <c r="AI224" s="1"/>
      <c r="AJ224" s="1" t="s">
        <v>120</v>
      </c>
      <c r="AK224" s="1"/>
      <c r="AL224" s="1" t="s">
        <v>128</v>
      </c>
      <c r="AM224" s="1" t="s">
        <v>65</v>
      </c>
      <c r="AN224" s="1" t="s">
        <v>1726</v>
      </c>
      <c r="AO224" s="2" t="s">
        <v>1371</v>
      </c>
      <c r="AP224" s="2" t="s">
        <v>1727</v>
      </c>
      <c r="AQ224" s="1" t="s">
        <v>132</v>
      </c>
      <c r="AR224" s="1" t="s">
        <v>247</v>
      </c>
      <c r="AS224" s="1"/>
      <c r="AT224" s="2" t="s">
        <v>70</v>
      </c>
    </row>
    <row r="225">
      <c r="A225" s="1">
        <v>2043666.0</v>
      </c>
      <c r="B225" s="1" t="s">
        <v>116</v>
      </c>
      <c r="C225" s="1" t="s">
        <v>117</v>
      </c>
      <c r="D225" s="1" t="s">
        <v>46</v>
      </c>
      <c r="E225" s="1" t="s">
        <v>1728</v>
      </c>
      <c r="F225" s="1"/>
      <c r="G225" s="1" t="s">
        <v>119</v>
      </c>
      <c r="H225" s="1" t="s">
        <v>72</v>
      </c>
      <c r="I225" s="1">
        <v>8404.2</v>
      </c>
      <c r="J225" s="1"/>
      <c r="K225" s="1"/>
      <c r="L225" s="1" t="s">
        <v>587</v>
      </c>
      <c r="M225" s="1" t="s">
        <v>1729</v>
      </c>
      <c r="N225" s="1" t="s">
        <v>109</v>
      </c>
      <c r="O225" s="1" t="s">
        <v>110</v>
      </c>
      <c r="P225" s="2" t="s">
        <v>1730</v>
      </c>
      <c r="Q225" s="1" t="s">
        <v>56</v>
      </c>
      <c r="R225" s="1"/>
      <c r="S225" s="1" t="s">
        <v>582</v>
      </c>
      <c r="T225" s="1">
        <v>1400100.0</v>
      </c>
      <c r="U225" s="1" t="s">
        <v>1123</v>
      </c>
      <c r="V225" s="1" t="s">
        <v>584</v>
      </c>
      <c r="W225" s="1" t="s">
        <v>100</v>
      </c>
      <c r="X225" s="1"/>
      <c r="Y225" s="1" t="str">
        <f>"02025000179202185"</f>
        <v>02025000179202185</v>
      </c>
      <c r="Z225" s="1" t="s">
        <v>112</v>
      </c>
      <c r="AA225" s="1" t="s">
        <v>1731</v>
      </c>
      <c r="AB225" s="1" t="str">
        <f>"26452626000122"</f>
        <v>26452626000122</v>
      </c>
      <c r="AC225" s="1"/>
      <c r="AD225" s="1"/>
      <c r="AE225" s="1"/>
      <c r="AF225" s="1">
        <v>-60.75</v>
      </c>
      <c r="AG225" s="1">
        <v>2.843333</v>
      </c>
      <c r="AH225" s="1" t="s">
        <v>1732</v>
      </c>
      <c r="AI225" s="1"/>
      <c r="AJ225" s="1" t="s">
        <v>587</v>
      </c>
      <c r="AK225" s="1"/>
      <c r="AL225" s="1" t="s">
        <v>128</v>
      </c>
      <c r="AM225" s="1" t="s">
        <v>65</v>
      </c>
      <c r="AN225" s="1"/>
      <c r="AO225" s="2" t="s">
        <v>1733</v>
      </c>
      <c r="AP225" s="2" t="s">
        <v>1734</v>
      </c>
      <c r="AQ225" s="1" t="s">
        <v>132</v>
      </c>
      <c r="AR225" s="1" t="s">
        <v>133</v>
      </c>
      <c r="AS225" s="1" t="s">
        <v>1735</v>
      </c>
      <c r="AT225" s="2" t="s">
        <v>70</v>
      </c>
    </row>
    <row r="226">
      <c r="A226" s="1">
        <v>2043620.0</v>
      </c>
      <c r="B226" s="1" t="s">
        <v>116</v>
      </c>
      <c r="C226" s="1" t="s">
        <v>117</v>
      </c>
      <c r="D226" s="1" t="s">
        <v>46</v>
      </c>
      <c r="E226" s="1" t="s">
        <v>1736</v>
      </c>
      <c r="F226" s="1"/>
      <c r="G226" s="1" t="s">
        <v>119</v>
      </c>
      <c r="H226" s="1" t="s">
        <v>50</v>
      </c>
      <c r="I226" s="1">
        <v>1000000.0</v>
      </c>
      <c r="J226" s="1"/>
      <c r="K226" s="1"/>
      <c r="L226" s="1" t="s">
        <v>1737</v>
      </c>
      <c r="M226" s="1" t="s">
        <v>1738</v>
      </c>
      <c r="N226" s="1" t="s">
        <v>53</v>
      </c>
      <c r="O226" s="1" t="s">
        <v>54</v>
      </c>
      <c r="P226" s="2" t="s">
        <v>1739</v>
      </c>
      <c r="Q226" s="1" t="s">
        <v>56</v>
      </c>
      <c r="R226" s="2" t="s">
        <v>1308</v>
      </c>
      <c r="S226" s="1" t="s">
        <v>220</v>
      </c>
      <c r="T226" s="1">
        <v>3304557.0</v>
      </c>
      <c r="U226" s="1" t="s">
        <v>1740</v>
      </c>
      <c r="V226" s="1" t="s">
        <v>1741</v>
      </c>
      <c r="W226" s="1" t="s">
        <v>60</v>
      </c>
      <c r="X226" s="1"/>
      <c r="Y226" s="1"/>
      <c r="Z226" s="1" t="s">
        <v>223</v>
      </c>
      <c r="AA226" s="1" t="s">
        <v>61</v>
      </c>
      <c r="AB226" s="1" t="str">
        <f t="shared" ref="AB226:AB227" si="16">"33000167000101"</f>
        <v>33000167000101</v>
      </c>
      <c r="AC226" s="1"/>
      <c r="AD226" s="1"/>
      <c r="AE226" s="1"/>
      <c r="AF226" s="1">
        <v>-39.991111</v>
      </c>
      <c r="AG226" s="1">
        <v>-22.6225</v>
      </c>
      <c r="AH226" s="1" t="s">
        <v>1742</v>
      </c>
      <c r="AI226" s="1"/>
      <c r="AJ226" s="1" t="s">
        <v>1737</v>
      </c>
      <c r="AK226" s="1"/>
      <c r="AL226" s="1" t="s">
        <v>128</v>
      </c>
      <c r="AM226" s="1" t="s">
        <v>65</v>
      </c>
      <c r="AN226" s="1" t="s">
        <v>1743</v>
      </c>
      <c r="AO226" s="2" t="s">
        <v>1371</v>
      </c>
      <c r="AP226" s="2" t="s">
        <v>1744</v>
      </c>
      <c r="AQ226" s="1" t="s">
        <v>132</v>
      </c>
      <c r="AR226" s="1" t="s">
        <v>1745</v>
      </c>
      <c r="AS226" s="1" t="s">
        <v>1746</v>
      </c>
      <c r="AT226" s="2" t="s">
        <v>70</v>
      </c>
    </row>
    <row r="227">
      <c r="A227" s="1">
        <v>2043745.0</v>
      </c>
      <c r="B227" s="1" t="s">
        <v>116</v>
      </c>
      <c r="C227" s="1" t="s">
        <v>117</v>
      </c>
      <c r="D227" s="1" t="s">
        <v>46</v>
      </c>
      <c r="E227" s="1" t="s">
        <v>1747</v>
      </c>
      <c r="F227" s="1"/>
      <c r="G227" s="1" t="s">
        <v>119</v>
      </c>
      <c r="H227" s="1" t="s">
        <v>50</v>
      </c>
      <c r="I227" s="1">
        <v>250000.0</v>
      </c>
      <c r="J227" s="1"/>
      <c r="K227" s="1"/>
      <c r="L227" s="1" t="s">
        <v>1737</v>
      </c>
      <c r="M227" s="1" t="s">
        <v>1748</v>
      </c>
      <c r="N227" s="1" t="s">
        <v>53</v>
      </c>
      <c r="O227" s="1" t="s">
        <v>54</v>
      </c>
      <c r="P227" s="2" t="s">
        <v>1739</v>
      </c>
      <c r="Q227" s="1" t="s">
        <v>56</v>
      </c>
      <c r="R227" s="2" t="s">
        <v>1749</v>
      </c>
      <c r="S227" s="1" t="s">
        <v>220</v>
      </c>
      <c r="T227" s="1">
        <v>3304557.0</v>
      </c>
      <c r="U227" s="1" t="s">
        <v>1740</v>
      </c>
      <c r="V227" s="1" t="s">
        <v>1741</v>
      </c>
      <c r="W227" s="1" t="s">
        <v>60</v>
      </c>
      <c r="X227" s="1"/>
      <c r="Y227" s="1"/>
      <c r="Z227" s="1" t="s">
        <v>223</v>
      </c>
      <c r="AA227" s="1" t="s">
        <v>61</v>
      </c>
      <c r="AB227" s="1" t="str">
        <f t="shared" si="16"/>
        <v>33000167000101</v>
      </c>
      <c r="AC227" s="1"/>
      <c r="AD227" s="1"/>
      <c r="AE227" s="1"/>
      <c r="AF227" s="1">
        <v>-39.991111</v>
      </c>
      <c r="AG227" s="1">
        <v>-22.6225</v>
      </c>
      <c r="AH227" s="1" t="s">
        <v>1742</v>
      </c>
      <c r="AI227" s="1"/>
      <c r="AJ227" s="1" t="s">
        <v>1737</v>
      </c>
      <c r="AK227" s="1"/>
      <c r="AL227" s="1" t="s">
        <v>128</v>
      </c>
      <c r="AM227" s="1" t="s">
        <v>65</v>
      </c>
      <c r="AN227" s="1" t="s">
        <v>1743</v>
      </c>
      <c r="AO227" s="2" t="s">
        <v>691</v>
      </c>
      <c r="AP227" s="2" t="s">
        <v>1750</v>
      </c>
      <c r="AQ227" s="1" t="s">
        <v>132</v>
      </c>
      <c r="AR227" s="1" t="s">
        <v>1745</v>
      </c>
      <c r="AS227" s="1" t="s">
        <v>1751</v>
      </c>
      <c r="AT227" s="2" t="s">
        <v>70</v>
      </c>
    </row>
    <row r="228">
      <c r="A228" s="1"/>
      <c r="B228" s="1" t="s">
        <v>46</v>
      </c>
      <c r="C228" s="1" t="s">
        <v>47</v>
      </c>
      <c r="D228" s="1"/>
      <c r="E228" s="1" t="s">
        <v>1752</v>
      </c>
      <c r="F228" s="1"/>
      <c r="G228" s="1" t="s">
        <v>49</v>
      </c>
      <c r="H228" s="1" t="s">
        <v>50</v>
      </c>
      <c r="I228" s="1">
        <v>26020.0</v>
      </c>
      <c r="J228" s="1"/>
      <c r="K228" s="1" t="s">
        <v>92</v>
      </c>
      <c r="L228" s="1"/>
      <c r="M228" s="1" t="s">
        <v>1753</v>
      </c>
      <c r="N228" s="1" t="s">
        <v>74</v>
      </c>
      <c r="O228" s="1" t="s">
        <v>75</v>
      </c>
      <c r="P228" s="2" t="s">
        <v>1754</v>
      </c>
      <c r="Q228" s="1" t="s">
        <v>77</v>
      </c>
      <c r="R228" s="1"/>
      <c r="S228" s="1" t="s">
        <v>400</v>
      </c>
      <c r="T228" s="1">
        <v>4304671.0</v>
      </c>
      <c r="U228" s="1" t="s">
        <v>1755</v>
      </c>
      <c r="V228" s="1" t="s">
        <v>402</v>
      </c>
      <c r="W228" s="1" t="s">
        <v>60</v>
      </c>
      <c r="X228" s="1"/>
      <c r="Y228" s="1"/>
      <c r="Z228" s="1" t="s">
        <v>79</v>
      </c>
      <c r="AA228" s="1" t="s">
        <v>1756</v>
      </c>
      <c r="AB228" s="1" t="str">
        <f>"***163179**"</f>
        <v>***163179**</v>
      </c>
      <c r="AC228" s="1"/>
      <c r="AD228" s="1" t="s">
        <v>62</v>
      </c>
      <c r="AE228" s="1"/>
      <c r="AF228" s="1">
        <v>-50.519167</v>
      </c>
      <c r="AG228" s="1">
        <v>-30.146667</v>
      </c>
      <c r="AH228" s="1" t="s">
        <v>1757</v>
      </c>
      <c r="AI228" s="1"/>
      <c r="AJ228" s="1" t="s">
        <v>405</v>
      </c>
      <c r="AK228" s="1"/>
      <c r="AL228" s="1"/>
      <c r="AM228" s="1" t="s">
        <v>65</v>
      </c>
      <c r="AN228" s="1" t="s">
        <v>1044</v>
      </c>
      <c r="AO228" s="1"/>
      <c r="AP228" s="2" t="s">
        <v>1758</v>
      </c>
      <c r="AQ228" s="1"/>
      <c r="AR228" s="1" t="s">
        <v>502</v>
      </c>
      <c r="AS228" s="1"/>
      <c r="AT228" s="2" t="s">
        <v>70</v>
      </c>
    </row>
    <row r="229">
      <c r="A229" s="1"/>
      <c r="B229" s="1" t="s">
        <v>46</v>
      </c>
      <c r="C229" s="1" t="s">
        <v>571</v>
      </c>
      <c r="D229" s="1" t="s">
        <v>116</v>
      </c>
      <c r="E229" s="1" t="s">
        <v>1759</v>
      </c>
      <c r="F229" s="1"/>
      <c r="G229" s="1" t="s">
        <v>49</v>
      </c>
      <c r="H229" s="1" t="s">
        <v>50</v>
      </c>
      <c r="I229" s="1">
        <v>1000000.0</v>
      </c>
      <c r="J229" s="1"/>
      <c r="K229" s="1" t="s">
        <v>92</v>
      </c>
      <c r="L229" s="1"/>
      <c r="M229" s="1" t="s">
        <v>1760</v>
      </c>
      <c r="N229" s="1" t="s">
        <v>53</v>
      </c>
      <c r="O229" s="1" t="s">
        <v>54</v>
      </c>
      <c r="P229" s="2" t="s">
        <v>1761</v>
      </c>
      <c r="Q229" s="1" t="s">
        <v>56</v>
      </c>
      <c r="R229" s="2" t="s">
        <v>1749</v>
      </c>
      <c r="S229" s="1" t="s">
        <v>220</v>
      </c>
      <c r="T229" s="1">
        <v>3304557.0</v>
      </c>
      <c r="U229" s="1" t="s">
        <v>1740</v>
      </c>
      <c r="V229" s="1" t="s">
        <v>1741</v>
      </c>
      <c r="W229" s="1" t="s">
        <v>60</v>
      </c>
      <c r="X229" s="1"/>
      <c r="Y229" s="1"/>
      <c r="Z229" s="1"/>
      <c r="AA229" s="1" t="s">
        <v>1762</v>
      </c>
      <c r="AB229" s="1" t="str">
        <f>"33000167000101"</f>
        <v>33000167000101</v>
      </c>
      <c r="AC229" s="1"/>
      <c r="AD229" s="1" t="s">
        <v>62</v>
      </c>
      <c r="AE229" s="1"/>
      <c r="AF229" s="1">
        <v>-39.991111</v>
      </c>
      <c r="AG229" s="1">
        <v>-22.6225</v>
      </c>
      <c r="AH229" s="1" t="s">
        <v>1742</v>
      </c>
      <c r="AI229" s="1"/>
      <c r="AJ229" s="1" t="s">
        <v>1763</v>
      </c>
      <c r="AK229" s="1"/>
      <c r="AL229" s="1"/>
      <c r="AM229" s="1" t="s">
        <v>65</v>
      </c>
      <c r="AN229" s="1" t="s">
        <v>1743</v>
      </c>
      <c r="AO229" s="1"/>
      <c r="AP229" s="2" t="s">
        <v>1764</v>
      </c>
      <c r="AQ229" s="1"/>
      <c r="AR229" s="1" t="s">
        <v>1765</v>
      </c>
      <c r="AS229" s="1" t="s">
        <v>1746</v>
      </c>
      <c r="AT229" s="2" t="s">
        <v>70</v>
      </c>
    </row>
    <row r="230">
      <c r="A230" s="1">
        <v>2043567.0</v>
      </c>
      <c r="B230" s="1" t="s">
        <v>116</v>
      </c>
      <c r="C230" s="1" t="s">
        <v>117</v>
      </c>
      <c r="D230" s="1" t="s">
        <v>46</v>
      </c>
      <c r="E230" s="1" t="s">
        <v>1766</v>
      </c>
      <c r="F230" s="1"/>
      <c r="G230" s="1" t="s">
        <v>119</v>
      </c>
      <c r="H230" s="1" t="s">
        <v>50</v>
      </c>
      <c r="I230" s="1">
        <v>1000.0</v>
      </c>
      <c r="J230" s="1"/>
      <c r="K230" s="1"/>
      <c r="L230" s="1" t="s">
        <v>226</v>
      </c>
      <c r="M230" s="1" t="s">
        <v>1490</v>
      </c>
      <c r="N230" s="1" t="s">
        <v>257</v>
      </c>
      <c r="O230" s="1" t="s">
        <v>258</v>
      </c>
      <c r="P230" s="2" t="s">
        <v>1767</v>
      </c>
      <c r="Q230" s="1" t="s">
        <v>56</v>
      </c>
      <c r="R230" s="1"/>
      <c r="S230" s="1" t="s">
        <v>784</v>
      </c>
      <c r="T230" s="1">
        <v>4204202.0</v>
      </c>
      <c r="U230" s="1" t="s">
        <v>1492</v>
      </c>
      <c r="V230" s="1" t="s">
        <v>222</v>
      </c>
      <c r="W230" s="1" t="s">
        <v>78</v>
      </c>
      <c r="X230" s="1"/>
      <c r="Y230" s="1" t="str">
        <f>"02026000478202118"</f>
        <v>02026000478202118</v>
      </c>
      <c r="Z230" s="1" t="s">
        <v>260</v>
      </c>
      <c r="AA230" s="1" t="s">
        <v>1768</v>
      </c>
      <c r="AB230" s="1" t="str">
        <f>"***344849**"</f>
        <v>***344849**</v>
      </c>
      <c r="AC230" s="1"/>
      <c r="AD230" s="1"/>
      <c r="AE230" s="1"/>
      <c r="AF230" s="1">
        <v>-52.611111</v>
      </c>
      <c r="AG230" s="1">
        <v>-27.100278</v>
      </c>
      <c r="AH230" s="1" t="s">
        <v>1769</v>
      </c>
      <c r="AI230" s="1"/>
      <c r="AJ230" s="1" t="s">
        <v>226</v>
      </c>
      <c r="AK230" s="1"/>
      <c r="AL230" s="1" t="s">
        <v>128</v>
      </c>
      <c r="AM230" s="1" t="s">
        <v>65</v>
      </c>
      <c r="AN230" s="1" t="s">
        <v>788</v>
      </c>
      <c r="AO230" s="2" t="s">
        <v>1371</v>
      </c>
      <c r="AP230" s="2" t="s">
        <v>1770</v>
      </c>
      <c r="AQ230" s="1" t="s">
        <v>132</v>
      </c>
      <c r="AR230" s="1" t="s">
        <v>693</v>
      </c>
      <c r="AS230" s="1" t="s">
        <v>1771</v>
      </c>
      <c r="AT230" s="2" t="s">
        <v>70</v>
      </c>
    </row>
    <row r="231">
      <c r="A231" s="1">
        <v>2043568.0</v>
      </c>
      <c r="B231" s="1" t="s">
        <v>116</v>
      </c>
      <c r="C231" s="1" t="s">
        <v>117</v>
      </c>
      <c r="D231" s="1" t="s">
        <v>46</v>
      </c>
      <c r="E231" s="1" t="s">
        <v>1772</v>
      </c>
      <c r="F231" s="1"/>
      <c r="G231" s="1" t="s">
        <v>119</v>
      </c>
      <c r="H231" s="1" t="s">
        <v>50</v>
      </c>
      <c r="I231" s="1">
        <v>1000.0</v>
      </c>
      <c r="J231" s="1"/>
      <c r="K231" s="1"/>
      <c r="L231" s="1" t="s">
        <v>226</v>
      </c>
      <c r="M231" s="1" t="s">
        <v>1490</v>
      </c>
      <c r="N231" s="1" t="s">
        <v>257</v>
      </c>
      <c r="O231" s="1" t="s">
        <v>258</v>
      </c>
      <c r="P231" s="2" t="s">
        <v>1767</v>
      </c>
      <c r="Q231" s="1" t="s">
        <v>56</v>
      </c>
      <c r="R231" s="1"/>
      <c r="S231" s="1" t="s">
        <v>784</v>
      </c>
      <c r="T231" s="1">
        <v>4204202.0</v>
      </c>
      <c r="U231" s="1" t="s">
        <v>1492</v>
      </c>
      <c r="V231" s="1" t="s">
        <v>222</v>
      </c>
      <c r="W231" s="1" t="s">
        <v>78</v>
      </c>
      <c r="X231" s="1"/>
      <c r="Y231" s="1" t="str">
        <f>"02026000479202154"</f>
        <v>02026000479202154</v>
      </c>
      <c r="Z231" s="1" t="s">
        <v>260</v>
      </c>
      <c r="AA231" s="1" t="s">
        <v>1773</v>
      </c>
      <c r="AB231" s="1" t="str">
        <f>"***329349**"</f>
        <v>***329349**</v>
      </c>
      <c r="AC231" s="1"/>
      <c r="AD231" s="1"/>
      <c r="AE231" s="1"/>
      <c r="AF231" s="1">
        <v>-52.610833</v>
      </c>
      <c r="AG231" s="1">
        <v>-27.100278</v>
      </c>
      <c r="AH231" s="1" t="s">
        <v>1769</v>
      </c>
      <c r="AI231" s="1"/>
      <c r="AJ231" s="1" t="s">
        <v>226</v>
      </c>
      <c r="AK231" s="1"/>
      <c r="AL231" s="1" t="s">
        <v>128</v>
      </c>
      <c r="AM231" s="1" t="s">
        <v>65</v>
      </c>
      <c r="AN231" s="1" t="s">
        <v>788</v>
      </c>
      <c r="AO231" s="2" t="s">
        <v>1371</v>
      </c>
      <c r="AP231" s="2" t="s">
        <v>1774</v>
      </c>
      <c r="AQ231" s="1" t="s">
        <v>132</v>
      </c>
      <c r="AR231" s="1" t="s">
        <v>693</v>
      </c>
      <c r="AS231" s="1" t="s">
        <v>1771</v>
      </c>
      <c r="AT231" s="2" t="s">
        <v>70</v>
      </c>
    </row>
    <row r="232">
      <c r="A232" s="1">
        <v>2043569.0</v>
      </c>
      <c r="B232" s="1" t="s">
        <v>116</v>
      </c>
      <c r="C232" s="1" t="s">
        <v>117</v>
      </c>
      <c r="D232" s="1" t="s">
        <v>46</v>
      </c>
      <c r="E232" s="1" t="s">
        <v>1775</v>
      </c>
      <c r="F232" s="1"/>
      <c r="G232" s="1" t="s">
        <v>119</v>
      </c>
      <c r="H232" s="1" t="s">
        <v>50</v>
      </c>
      <c r="I232" s="1">
        <v>1000.0</v>
      </c>
      <c r="J232" s="1"/>
      <c r="K232" s="1"/>
      <c r="L232" s="1" t="s">
        <v>226</v>
      </c>
      <c r="M232" s="1" t="s">
        <v>1490</v>
      </c>
      <c r="N232" s="1" t="s">
        <v>257</v>
      </c>
      <c r="O232" s="1" t="s">
        <v>258</v>
      </c>
      <c r="P232" s="2" t="s">
        <v>1767</v>
      </c>
      <c r="Q232" s="1" t="s">
        <v>56</v>
      </c>
      <c r="R232" s="1"/>
      <c r="S232" s="1" t="s">
        <v>784</v>
      </c>
      <c r="T232" s="1">
        <v>4204202.0</v>
      </c>
      <c r="U232" s="1" t="s">
        <v>1492</v>
      </c>
      <c r="V232" s="1" t="s">
        <v>222</v>
      </c>
      <c r="W232" s="1" t="s">
        <v>78</v>
      </c>
      <c r="X232" s="1"/>
      <c r="Y232" s="1" t="str">
        <f>"02026000480202189"</f>
        <v>02026000480202189</v>
      </c>
      <c r="Z232" s="1" t="s">
        <v>260</v>
      </c>
      <c r="AA232" s="1" t="s">
        <v>1776</v>
      </c>
      <c r="AB232" s="1" t="str">
        <f>"***675800**"</f>
        <v>***675800**</v>
      </c>
      <c r="AC232" s="1"/>
      <c r="AD232" s="1"/>
      <c r="AE232" s="1"/>
      <c r="AF232" s="1">
        <v>-52.611111</v>
      </c>
      <c r="AG232" s="1">
        <v>-27.100278</v>
      </c>
      <c r="AH232" s="1" t="s">
        <v>1769</v>
      </c>
      <c r="AI232" s="1"/>
      <c r="AJ232" s="1" t="s">
        <v>226</v>
      </c>
      <c r="AK232" s="1"/>
      <c r="AL232" s="1" t="s">
        <v>128</v>
      </c>
      <c r="AM232" s="1" t="s">
        <v>65</v>
      </c>
      <c r="AN232" s="1" t="s">
        <v>788</v>
      </c>
      <c r="AO232" s="2" t="s">
        <v>1371</v>
      </c>
      <c r="AP232" s="2" t="s">
        <v>1777</v>
      </c>
      <c r="AQ232" s="1" t="s">
        <v>132</v>
      </c>
      <c r="AR232" s="1" t="s">
        <v>693</v>
      </c>
      <c r="AS232" s="1" t="s">
        <v>1771</v>
      </c>
      <c r="AT232" s="2" t="s">
        <v>70</v>
      </c>
    </row>
    <row r="233">
      <c r="A233" s="1">
        <v>2043746.0</v>
      </c>
      <c r="B233" s="1" t="s">
        <v>116</v>
      </c>
      <c r="C233" s="1" t="s">
        <v>117</v>
      </c>
      <c r="D233" s="1" t="s">
        <v>46</v>
      </c>
      <c r="E233" s="1" t="s">
        <v>1778</v>
      </c>
      <c r="F233" s="1"/>
      <c r="G233" s="1" t="s">
        <v>119</v>
      </c>
      <c r="H233" s="1" t="s">
        <v>50</v>
      </c>
      <c r="I233" s="1">
        <v>200000.0</v>
      </c>
      <c r="J233" s="1"/>
      <c r="K233" s="1"/>
      <c r="L233" s="1" t="s">
        <v>1737</v>
      </c>
      <c r="M233" s="1" t="s">
        <v>1779</v>
      </c>
      <c r="N233" s="1" t="s">
        <v>53</v>
      </c>
      <c r="O233" s="1" t="s">
        <v>54</v>
      </c>
      <c r="P233" s="2" t="s">
        <v>1767</v>
      </c>
      <c r="Q233" s="1" t="s">
        <v>56</v>
      </c>
      <c r="R233" s="2" t="s">
        <v>1749</v>
      </c>
      <c r="S233" s="1" t="s">
        <v>220</v>
      </c>
      <c r="T233" s="1">
        <v>3304557.0</v>
      </c>
      <c r="U233" s="1" t="s">
        <v>1740</v>
      </c>
      <c r="V233" s="1" t="s">
        <v>1741</v>
      </c>
      <c r="W233" s="1" t="s">
        <v>60</v>
      </c>
      <c r="X233" s="1"/>
      <c r="Y233" s="1"/>
      <c r="Z233" s="1" t="s">
        <v>223</v>
      </c>
      <c r="AA233" s="1" t="s">
        <v>61</v>
      </c>
      <c r="AB233" s="1" t="str">
        <f>"33000167000101"</f>
        <v>33000167000101</v>
      </c>
      <c r="AC233" s="1"/>
      <c r="AD233" s="1"/>
      <c r="AE233" s="1"/>
      <c r="AF233" s="1">
        <v>-40.331667</v>
      </c>
      <c r="AG233" s="1">
        <v>-22.254167</v>
      </c>
      <c r="AH233" s="1" t="s">
        <v>1780</v>
      </c>
      <c r="AI233" s="1"/>
      <c r="AJ233" s="1" t="s">
        <v>1737</v>
      </c>
      <c r="AK233" s="1"/>
      <c r="AL233" s="1" t="s">
        <v>128</v>
      </c>
      <c r="AM233" s="1" t="s">
        <v>65</v>
      </c>
      <c r="AN233" s="1" t="s">
        <v>1743</v>
      </c>
      <c r="AO233" s="2" t="s">
        <v>691</v>
      </c>
      <c r="AP233" s="2" t="s">
        <v>1781</v>
      </c>
      <c r="AQ233" s="1" t="s">
        <v>132</v>
      </c>
      <c r="AR233" s="1" t="s">
        <v>1745</v>
      </c>
      <c r="AS233" s="1" t="s">
        <v>1782</v>
      </c>
      <c r="AT233" s="2" t="s">
        <v>70</v>
      </c>
    </row>
    <row r="234">
      <c r="A234" s="1"/>
      <c r="B234" s="1" t="s">
        <v>46</v>
      </c>
      <c r="C234" s="1" t="s">
        <v>47</v>
      </c>
      <c r="D234" s="1"/>
      <c r="E234" s="1" t="s">
        <v>1783</v>
      </c>
      <c r="F234" s="1"/>
      <c r="G234" s="1" t="s">
        <v>49</v>
      </c>
      <c r="H234" s="1" t="s">
        <v>50</v>
      </c>
      <c r="I234" s="1">
        <v>144300.0</v>
      </c>
      <c r="J234" s="1"/>
      <c r="K234" s="1" t="s">
        <v>92</v>
      </c>
      <c r="L234" s="1"/>
      <c r="M234" s="1" t="s">
        <v>1784</v>
      </c>
      <c r="N234" s="1" t="s">
        <v>74</v>
      </c>
      <c r="O234" s="1" t="s">
        <v>75</v>
      </c>
      <c r="P234" s="2" t="s">
        <v>1785</v>
      </c>
      <c r="Q234" s="1" t="s">
        <v>137</v>
      </c>
      <c r="R234" s="1"/>
      <c r="S234" s="1" t="s">
        <v>400</v>
      </c>
      <c r="T234" s="1">
        <v>4304671.0</v>
      </c>
      <c r="U234" s="1" t="s">
        <v>1755</v>
      </c>
      <c r="V234" s="1" t="s">
        <v>402</v>
      </c>
      <c r="W234" s="1" t="s">
        <v>60</v>
      </c>
      <c r="X234" s="1"/>
      <c r="Y234" s="1"/>
      <c r="Z234" s="1" t="s">
        <v>79</v>
      </c>
      <c r="AA234" s="1" t="s">
        <v>1786</v>
      </c>
      <c r="AB234" s="1" t="str">
        <f>"13295681000295"</f>
        <v>13295681000295</v>
      </c>
      <c r="AC234" s="1"/>
      <c r="AD234" s="1" t="s">
        <v>62</v>
      </c>
      <c r="AE234" s="1"/>
      <c r="AF234" s="1">
        <v>-50.519167</v>
      </c>
      <c r="AG234" s="1">
        <v>-30.146667</v>
      </c>
      <c r="AH234" s="1" t="s">
        <v>1787</v>
      </c>
      <c r="AI234" s="1"/>
      <c r="AJ234" s="1" t="s">
        <v>405</v>
      </c>
      <c r="AK234" s="1"/>
      <c r="AL234" s="1"/>
      <c r="AM234" s="1" t="s">
        <v>65</v>
      </c>
      <c r="AN234" s="1" t="s">
        <v>1044</v>
      </c>
      <c r="AO234" s="1"/>
      <c r="AP234" s="2" t="s">
        <v>1788</v>
      </c>
      <c r="AQ234" s="1"/>
      <c r="AR234" s="1" t="s">
        <v>502</v>
      </c>
      <c r="AS234" s="1"/>
      <c r="AT234" s="2" t="s">
        <v>70</v>
      </c>
    </row>
    <row r="235">
      <c r="A235" s="1"/>
      <c r="B235" s="1" t="s">
        <v>46</v>
      </c>
      <c r="C235" s="1" t="s">
        <v>47</v>
      </c>
      <c r="D235" s="1"/>
      <c r="E235" s="1" t="s">
        <v>1789</v>
      </c>
      <c r="F235" s="1"/>
      <c r="G235" s="1" t="s">
        <v>49</v>
      </c>
      <c r="H235" s="1" t="s">
        <v>50</v>
      </c>
      <c r="I235" s="1">
        <v>29000.0</v>
      </c>
      <c r="J235" s="1"/>
      <c r="K235" s="1" t="s">
        <v>92</v>
      </c>
      <c r="L235" s="1"/>
      <c r="M235" s="1" t="s">
        <v>1790</v>
      </c>
      <c r="N235" s="1" t="s">
        <v>74</v>
      </c>
      <c r="O235" s="1" t="s">
        <v>75</v>
      </c>
      <c r="P235" s="2" t="s">
        <v>1791</v>
      </c>
      <c r="Q235" s="1" t="s">
        <v>137</v>
      </c>
      <c r="R235" s="1"/>
      <c r="S235" s="1" t="s">
        <v>400</v>
      </c>
      <c r="T235" s="1">
        <v>4304671.0</v>
      </c>
      <c r="U235" s="1" t="s">
        <v>1755</v>
      </c>
      <c r="V235" s="1" t="s">
        <v>402</v>
      </c>
      <c r="W235" s="1" t="s">
        <v>60</v>
      </c>
      <c r="X235" s="1"/>
      <c r="Y235" s="1"/>
      <c r="Z235" s="1" t="s">
        <v>79</v>
      </c>
      <c r="AA235" s="1" t="s">
        <v>1792</v>
      </c>
      <c r="AB235" s="1" t="str">
        <f>"36748336000184"</f>
        <v>36748336000184</v>
      </c>
      <c r="AC235" s="1"/>
      <c r="AD235" s="1" t="s">
        <v>81</v>
      </c>
      <c r="AE235" s="1"/>
      <c r="AF235" s="1">
        <v>-50.519444</v>
      </c>
      <c r="AG235" s="1">
        <v>-30.146944</v>
      </c>
      <c r="AH235" s="1" t="s">
        <v>1793</v>
      </c>
      <c r="AI235" s="1"/>
      <c r="AJ235" s="1" t="s">
        <v>405</v>
      </c>
      <c r="AK235" s="1"/>
      <c r="AL235" s="1"/>
      <c r="AM235" s="1" t="s">
        <v>65</v>
      </c>
      <c r="AN235" s="1" t="s">
        <v>1044</v>
      </c>
      <c r="AO235" s="1"/>
      <c r="AP235" s="2" t="s">
        <v>1794</v>
      </c>
      <c r="AQ235" s="1"/>
      <c r="AR235" s="1" t="s">
        <v>1795</v>
      </c>
      <c r="AS235" s="1"/>
      <c r="AT235" s="2" t="s">
        <v>70</v>
      </c>
    </row>
    <row r="236">
      <c r="A236" s="1"/>
      <c r="B236" s="1" t="s">
        <v>46</v>
      </c>
      <c r="C236" s="1" t="s">
        <v>47</v>
      </c>
      <c r="D236" s="1"/>
      <c r="E236" s="1" t="s">
        <v>1796</v>
      </c>
      <c r="F236" s="1"/>
      <c r="G236" s="1" t="s">
        <v>49</v>
      </c>
      <c r="H236" s="1" t="s">
        <v>50</v>
      </c>
      <c r="I236" s="1">
        <v>147060.0</v>
      </c>
      <c r="J236" s="1"/>
      <c r="K236" s="1" t="s">
        <v>92</v>
      </c>
      <c r="L236" s="1"/>
      <c r="M236" s="1" t="s">
        <v>1797</v>
      </c>
      <c r="N236" s="1" t="s">
        <v>74</v>
      </c>
      <c r="O236" s="1" t="s">
        <v>75</v>
      </c>
      <c r="P236" s="2" t="s">
        <v>1798</v>
      </c>
      <c r="Q236" s="1" t="s">
        <v>77</v>
      </c>
      <c r="R236" s="1"/>
      <c r="S236" s="1" t="s">
        <v>400</v>
      </c>
      <c r="T236" s="1">
        <v>4304671.0</v>
      </c>
      <c r="U236" s="1" t="s">
        <v>1755</v>
      </c>
      <c r="V236" s="1" t="s">
        <v>402</v>
      </c>
      <c r="W236" s="1" t="s">
        <v>60</v>
      </c>
      <c r="X236" s="1"/>
      <c r="Y236" s="1"/>
      <c r="Z236" s="1" t="s">
        <v>79</v>
      </c>
      <c r="AA236" s="1" t="s">
        <v>1799</v>
      </c>
      <c r="AB236" s="1" t="str">
        <f>"***403049**"</f>
        <v>***403049**</v>
      </c>
      <c r="AC236" s="1"/>
      <c r="AD236" s="1" t="s">
        <v>62</v>
      </c>
      <c r="AE236" s="1"/>
      <c r="AF236" s="1">
        <v>-50.519167</v>
      </c>
      <c r="AG236" s="1">
        <v>-30.146667</v>
      </c>
      <c r="AH236" s="1" t="s">
        <v>1800</v>
      </c>
      <c r="AI236" s="1"/>
      <c r="AJ236" s="1" t="s">
        <v>405</v>
      </c>
      <c r="AK236" s="1"/>
      <c r="AL236" s="1"/>
      <c r="AM236" s="1" t="s">
        <v>65</v>
      </c>
      <c r="AN236" s="1" t="s">
        <v>1044</v>
      </c>
      <c r="AO236" s="1"/>
      <c r="AP236" s="2" t="s">
        <v>1801</v>
      </c>
      <c r="AQ236" s="1"/>
      <c r="AR236" s="1" t="s">
        <v>502</v>
      </c>
      <c r="AS236" s="1"/>
      <c r="AT236" s="2" t="s">
        <v>70</v>
      </c>
    </row>
    <row r="237">
      <c r="A237" s="1"/>
      <c r="B237" s="1" t="s">
        <v>46</v>
      </c>
      <c r="C237" s="1" t="s">
        <v>47</v>
      </c>
      <c r="D237" s="1"/>
      <c r="E237" s="1" t="s">
        <v>1802</v>
      </c>
      <c r="F237" s="1"/>
      <c r="G237" s="1" t="s">
        <v>49</v>
      </c>
      <c r="H237" s="1" t="s">
        <v>72</v>
      </c>
      <c r="I237" s="1">
        <v>164300.0</v>
      </c>
      <c r="J237" s="1"/>
      <c r="K237" s="1"/>
      <c r="L237" s="1"/>
      <c r="M237" s="1" t="s">
        <v>1803</v>
      </c>
      <c r="N237" s="1" t="s">
        <v>74</v>
      </c>
      <c r="O237" s="1" t="s">
        <v>75</v>
      </c>
      <c r="P237" s="2" t="s">
        <v>1804</v>
      </c>
      <c r="Q237" s="1" t="s">
        <v>77</v>
      </c>
      <c r="R237" s="1"/>
      <c r="S237" s="1" t="s">
        <v>400</v>
      </c>
      <c r="T237" s="1">
        <v>4315602.0</v>
      </c>
      <c r="U237" s="1" t="s">
        <v>1042</v>
      </c>
      <c r="V237" s="1" t="s">
        <v>402</v>
      </c>
      <c r="W237" s="1" t="s">
        <v>60</v>
      </c>
      <c r="X237" s="1"/>
      <c r="Y237" s="1"/>
      <c r="Z237" s="1" t="s">
        <v>79</v>
      </c>
      <c r="AA237" s="1" t="s">
        <v>1805</v>
      </c>
      <c r="AB237" s="1" t="str">
        <f>"***213469**"</f>
        <v>***213469**</v>
      </c>
      <c r="AC237" s="1"/>
      <c r="AD237" s="1" t="s">
        <v>81</v>
      </c>
      <c r="AE237" s="1"/>
      <c r="AF237" s="1">
        <v>-52.122778</v>
      </c>
      <c r="AG237" s="1">
        <v>-32.051667</v>
      </c>
      <c r="AH237" s="1" t="s">
        <v>1806</v>
      </c>
      <c r="AI237" s="1"/>
      <c r="AJ237" s="1" t="s">
        <v>405</v>
      </c>
      <c r="AK237" s="1"/>
      <c r="AL237" s="1"/>
      <c r="AM237" s="1" t="s">
        <v>65</v>
      </c>
      <c r="AN237" s="1" t="s">
        <v>83</v>
      </c>
      <c r="AO237" s="1"/>
      <c r="AP237" s="2" t="s">
        <v>1807</v>
      </c>
      <c r="AQ237" s="1"/>
      <c r="AR237" s="1" t="s">
        <v>502</v>
      </c>
      <c r="AS237" s="1"/>
      <c r="AT237" s="2" t="s">
        <v>70</v>
      </c>
    </row>
    <row r="238">
      <c r="A238" s="1">
        <v>2043542.0</v>
      </c>
      <c r="B238" s="1" t="s">
        <v>116</v>
      </c>
      <c r="C238" s="1" t="s">
        <v>117</v>
      </c>
      <c r="D238" s="1" t="s">
        <v>46</v>
      </c>
      <c r="E238" s="1" t="s">
        <v>1808</v>
      </c>
      <c r="F238" s="1"/>
      <c r="G238" s="1" t="s">
        <v>119</v>
      </c>
      <c r="H238" s="1" t="s">
        <v>50</v>
      </c>
      <c r="I238" s="1">
        <v>1000.0</v>
      </c>
      <c r="J238" s="1"/>
      <c r="K238" s="1"/>
      <c r="L238" s="1" t="s">
        <v>226</v>
      </c>
      <c r="M238" s="1" t="s">
        <v>1490</v>
      </c>
      <c r="N238" s="1" t="s">
        <v>257</v>
      </c>
      <c r="O238" s="1" t="s">
        <v>258</v>
      </c>
      <c r="P238" s="2" t="s">
        <v>1809</v>
      </c>
      <c r="Q238" s="1" t="s">
        <v>56</v>
      </c>
      <c r="R238" s="1"/>
      <c r="S238" s="1" t="s">
        <v>784</v>
      </c>
      <c r="T238" s="1">
        <v>4204202.0</v>
      </c>
      <c r="U238" s="1" t="s">
        <v>1492</v>
      </c>
      <c r="V238" s="1" t="s">
        <v>222</v>
      </c>
      <c r="W238" s="1" t="s">
        <v>78</v>
      </c>
      <c r="X238" s="1"/>
      <c r="Y238" s="1" t="str">
        <f>"02026000460202116"</f>
        <v>02026000460202116</v>
      </c>
      <c r="Z238" s="1" t="s">
        <v>260</v>
      </c>
      <c r="AA238" s="1" t="s">
        <v>1810</v>
      </c>
      <c r="AB238" s="1" t="str">
        <f>"***731989**"</f>
        <v>***731989**</v>
      </c>
      <c r="AC238" s="1"/>
      <c r="AD238" s="1"/>
      <c r="AE238" s="1"/>
      <c r="AF238" s="1">
        <v>-52.610833</v>
      </c>
      <c r="AG238" s="1">
        <v>-27.100278</v>
      </c>
      <c r="AH238" s="1" t="s">
        <v>1811</v>
      </c>
      <c r="AI238" s="1"/>
      <c r="AJ238" s="1" t="s">
        <v>226</v>
      </c>
      <c r="AK238" s="1"/>
      <c r="AL238" s="1" t="s">
        <v>128</v>
      </c>
      <c r="AM238" s="1" t="s">
        <v>65</v>
      </c>
      <c r="AN238" s="1" t="s">
        <v>788</v>
      </c>
      <c r="AO238" s="2" t="s">
        <v>1643</v>
      </c>
      <c r="AP238" s="2" t="s">
        <v>1812</v>
      </c>
      <c r="AQ238" s="1" t="s">
        <v>132</v>
      </c>
      <c r="AR238" s="1" t="s">
        <v>693</v>
      </c>
      <c r="AS238" s="1" t="s">
        <v>1813</v>
      </c>
      <c r="AT238" s="2" t="s">
        <v>70</v>
      </c>
    </row>
    <row r="239">
      <c r="A239" s="1">
        <v>2043545.0</v>
      </c>
      <c r="B239" s="1" t="s">
        <v>116</v>
      </c>
      <c r="C239" s="1" t="s">
        <v>117</v>
      </c>
      <c r="D239" s="1" t="s">
        <v>46</v>
      </c>
      <c r="E239" s="1" t="s">
        <v>1814</v>
      </c>
      <c r="F239" s="1"/>
      <c r="G239" s="1" t="s">
        <v>119</v>
      </c>
      <c r="H239" s="1" t="s">
        <v>50</v>
      </c>
      <c r="I239" s="1">
        <v>1000.0</v>
      </c>
      <c r="J239" s="1"/>
      <c r="K239" s="1"/>
      <c r="L239" s="1" t="s">
        <v>226</v>
      </c>
      <c r="M239" s="1" t="s">
        <v>1490</v>
      </c>
      <c r="N239" s="1" t="s">
        <v>257</v>
      </c>
      <c r="O239" s="1" t="s">
        <v>258</v>
      </c>
      <c r="P239" s="2" t="s">
        <v>1809</v>
      </c>
      <c r="Q239" s="1" t="s">
        <v>56</v>
      </c>
      <c r="R239" s="1"/>
      <c r="S239" s="1" t="s">
        <v>784</v>
      </c>
      <c r="T239" s="1">
        <v>4204202.0</v>
      </c>
      <c r="U239" s="1" t="s">
        <v>1492</v>
      </c>
      <c r="V239" s="1" t="s">
        <v>222</v>
      </c>
      <c r="W239" s="1" t="s">
        <v>78</v>
      </c>
      <c r="X239" s="1"/>
      <c r="Y239" s="1" t="str">
        <f>"02026000461202152"</f>
        <v>02026000461202152</v>
      </c>
      <c r="Z239" s="1" t="s">
        <v>260</v>
      </c>
      <c r="AA239" s="1" t="s">
        <v>1815</v>
      </c>
      <c r="AB239" s="1" t="str">
        <f>"***608237**"</f>
        <v>***608237**</v>
      </c>
      <c r="AC239" s="1"/>
      <c r="AD239" s="1"/>
      <c r="AE239" s="1"/>
      <c r="AF239" s="1">
        <v>-52.610833</v>
      </c>
      <c r="AG239" s="1">
        <v>-27.100278</v>
      </c>
      <c r="AH239" s="1" t="s">
        <v>1811</v>
      </c>
      <c r="AI239" s="1"/>
      <c r="AJ239" s="1" t="s">
        <v>226</v>
      </c>
      <c r="AK239" s="1"/>
      <c r="AL239" s="1" t="s">
        <v>128</v>
      </c>
      <c r="AM239" s="1" t="s">
        <v>65</v>
      </c>
      <c r="AN239" s="1" t="s">
        <v>788</v>
      </c>
      <c r="AO239" s="2" t="s">
        <v>1643</v>
      </c>
      <c r="AP239" s="2" t="s">
        <v>1816</v>
      </c>
      <c r="AQ239" s="1" t="s">
        <v>132</v>
      </c>
      <c r="AR239" s="1" t="s">
        <v>693</v>
      </c>
      <c r="AS239" s="1" t="s">
        <v>1813</v>
      </c>
      <c r="AT239" s="2" t="s">
        <v>70</v>
      </c>
    </row>
    <row r="240">
      <c r="A240" s="1">
        <v>2043563.0</v>
      </c>
      <c r="B240" s="1" t="s">
        <v>116</v>
      </c>
      <c r="C240" s="1" t="s">
        <v>117</v>
      </c>
      <c r="D240" s="1" t="s">
        <v>46</v>
      </c>
      <c r="E240" s="1" t="s">
        <v>1817</v>
      </c>
      <c r="F240" s="1"/>
      <c r="G240" s="1" t="s">
        <v>119</v>
      </c>
      <c r="H240" s="1" t="s">
        <v>50</v>
      </c>
      <c r="I240" s="1">
        <v>1000.0</v>
      </c>
      <c r="J240" s="1"/>
      <c r="K240" s="1"/>
      <c r="L240" s="1" t="s">
        <v>226</v>
      </c>
      <c r="M240" s="1" t="s">
        <v>1490</v>
      </c>
      <c r="N240" s="1" t="s">
        <v>257</v>
      </c>
      <c r="O240" s="1" t="s">
        <v>258</v>
      </c>
      <c r="P240" s="2" t="s">
        <v>1809</v>
      </c>
      <c r="Q240" s="1" t="s">
        <v>56</v>
      </c>
      <c r="R240" s="1"/>
      <c r="S240" s="1" t="s">
        <v>784</v>
      </c>
      <c r="T240" s="1">
        <v>4204202.0</v>
      </c>
      <c r="U240" s="1" t="s">
        <v>1492</v>
      </c>
      <c r="V240" s="1" t="s">
        <v>222</v>
      </c>
      <c r="W240" s="1" t="s">
        <v>78</v>
      </c>
      <c r="X240" s="1"/>
      <c r="Y240" s="1" t="str">
        <f>"02026000474202121"</f>
        <v>02026000474202121</v>
      </c>
      <c r="Z240" s="1" t="s">
        <v>260</v>
      </c>
      <c r="AA240" s="1" t="s">
        <v>1818</v>
      </c>
      <c r="AB240" s="1" t="str">
        <f>"***458406**"</f>
        <v>***458406**</v>
      </c>
      <c r="AC240" s="1"/>
      <c r="AD240" s="1"/>
      <c r="AE240" s="1"/>
      <c r="AF240" s="1">
        <v>-52.610833</v>
      </c>
      <c r="AG240" s="1">
        <v>-27.100278</v>
      </c>
      <c r="AH240" s="1" t="s">
        <v>1811</v>
      </c>
      <c r="AI240" s="1"/>
      <c r="AJ240" s="1" t="s">
        <v>226</v>
      </c>
      <c r="AK240" s="1"/>
      <c r="AL240" s="1" t="s">
        <v>128</v>
      </c>
      <c r="AM240" s="1" t="s">
        <v>65</v>
      </c>
      <c r="AN240" s="1" t="s">
        <v>788</v>
      </c>
      <c r="AO240" s="2" t="s">
        <v>1371</v>
      </c>
      <c r="AP240" s="2" t="s">
        <v>1819</v>
      </c>
      <c r="AQ240" s="1" t="s">
        <v>132</v>
      </c>
      <c r="AR240" s="1" t="s">
        <v>693</v>
      </c>
      <c r="AS240" s="1" t="s">
        <v>1813</v>
      </c>
      <c r="AT240" s="2" t="s">
        <v>70</v>
      </c>
    </row>
    <row r="241">
      <c r="A241" s="1">
        <v>2043564.0</v>
      </c>
      <c r="B241" s="1" t="s">
        <v>116</v>
      </c>
      <c r="C241" s="1" t="s">
        <v>117</v>
      </c>
      <c r="D241" s="1" t="s">
        <v>46</v>
      </c>
      <c r="E241" s="1" t="s">
        <v>1820</v>
      </c>
      <c r="F241" s="1"/>
      <c r="G241" s="1" t="s">
        <v>119</v>
      </c>
      <c r="H241" s="1" t="s">
        <v>50</v>
      </c>
      <c r="I241" s="1">
        <v>1000.0</v>
      </c>
      <c r="J241" s="1"/>
      <c r="K241" s="1"/>
      <c r="L241" s="1" t="s">
        <v>226</v>
      </c>
      <c r="M241" s="1" t="s">
        <v>1490</v>
      </c>
      <c r="N241" s="1" t="s">
        <v>257</v>
      </c>
      <c r="O241" s="1" t="s">
        <v>258</v>
      </c>
      <c r="P241" s="2" t="s">
        <v>1809</v>
      </c>
      <c r="Q241" s="1" t="s">
        <v>56</v>
      </c>
      <c r="R241" s="1"/>
      <c r="S241" s="1" t="s">
        <v>784</v>
      </c>
      <c r="T241" s="1">
        <v>4204202.0</v>
      </c>
      <c r="U241" s="1" t="s">
        <v>1492</v>
      </c>
      <c r="V241" s="1" t="s">
        <v>222</v>
      </c>
      <c r="W241" s="1" t="s">
        <v>78</v>
      </c>
      <c r="X241" s="1"/>
      <c r="Y241" s="1" t="str">
        <f>"02026000475202176"</f>
        <v>02026000475202176</v>
      </c>
      <c r="Z241" s="1" t="s">
        <v>260</v>
      </c>
      <c r="AA241" s="1" t="s">
        <v>1821</v>
      </c>
      <c r="AB241" s="1" t="str">
        <f>"***050319**"</f>
        <v>***050319**</v>
      </c>
      <c r="AC241" s="1"/>
      <c r="AD241" s="1"/>
      <c r="AE241" s="1"/>
      <c r="AF241" s="1">
        <v>-52.610833</v>
      </c>
      <c r="AG241" s="1">
        <v>-27.100278</v>
      </c>
      <c r="AH241" s="1" t="s">
        <v>1769</v>
      </c>
      <c r="AI241" s="1"/>
      <c r="AJ241" s="1" t="s">
        <v>226</v>
      </c>
      <c r="AK241" s="1"/>
      <c r="AL241" s="1" t="s">
        <v>128</v>
      </c>
      <c r="AM241" s="1" t="s">
        <v>65</v>
      </c>
      <c r="AN241" s="1" t="s">
        <v>788</v>
      </c>
      <c r="AO241" s="2" t="s">
        <v>1371</v>
      </c>
      <c r="AP241" s="2" t="s">
        <v>1822</v>
      </c>
      <c r="AQ241" s="1" t="s">
        <v>132</v>
      </c>
      <c r="AR241" s="1" t="s">
        <v>693</v>
      </c>
      <c r="AS241" s="1" t="s">
        <v>1771</v>
      </c>
      <c r="AT241" s="2" t="s">
        <v>70</v>
      </c>
    </row>
    <row r="242">
      <c r="A242" s="1">
        <v>2043566.0</v>
      </c>
      <c r="B242" s="1" t="s">
        <v>116</v>
      </c>
      <c r="C242" s="1" t="s">
        <v>117</v>
      </c>
      <c r="D242" s="1" t="s">
        <v>46</v>
      </c>
      <c r="E242" s="1" t="s">
        <v>1823</v>
      </c>
      <c r="F242" s="1"/>
      <c r="G242" s="1" t="s">
        <v>119</v>
      </c>
      <c r="H242" s="1" t="s">
        <v>50</v>
      </c>
      <c r="I242" s="1">
        <v>1000.0</v>
      </c>
      <c r="J242" s="1"/>
      <c r="K242" s="1"/>
      <c r="L242" s="1" t="s">
        <v>226</v>
      </c>
      <c r="M242" s="1" t="s">
        <v>1490</v>
      </c>
      <c r="N242" s="1" t="s">
        <v>257</v>
      </c>
      <c r="O242" s="1" t="s">
        <v>258</v>
      </c>
      <c r="P242" s="2" t="s">
        <v>1809</v>
      </c>
      <c r="Q242" s="1" t="s">
        <v>56</v>
      </c>
      <c r="R242" s="1"/>
      <c r="S242" s="1" t="s">
        <v>784</v>
      </c>
      <c r="T242" s="1">
        <v>4204202.0</v>
      </c>
      <c r="U242" s="1" t="s">
        <v>1492</v>
      </c>
      <c r="V242" s="1" t="s">
        <v>222</v>
      </c>
      <c r="W242" s="1" t="s">
        <v>78</v>
      </c>
      <c r="X242" s="1"/>
      <c r="Y242" s="1" t="str">
        <f>"02026000477202165"</f>
        <v>02026000477202165</v>
      </c>
      <c r="Z242" s="1" t="s">
        <v>260</v>
      </c>
      <c r="AA242" s="1" t="s">
        <v>1824</v>
      </c>
      <c r="AB242" s="1" t="str">
        <f>"***891259**"</f>
        <v>***891259**</v>
      </c>
      <c r="AC242" s="1"/>
      <c r="AD242" s="1"/>
      <c r="AE242" s="1"/>
      <c r="AF242" s="1">
        <v>-52.610833</v>
      </c>
      <c r="AG242" s="1">
        <v>-27.100278</v>
      </c>
      <c r="AH242" s="1" t="s">
        <v>1769</v>
      </c>
      <c r="AI242" s="1"/>
      <c r="AJ242" s="1" t="s">
        <v>226</v>
      </c>
      <c r="AK242" s="1"/>
      <c r="AL242" s="1" t="s">
        <v>128</v>
      </c>
      <c r="AM242" s="1" t="s">
        <v>65</v>
      </c>
      <c r="AN242" s="1" t="s">
        <v>788</v>
      </c>
      <c r="AO242" s="2" t="s">
        <v>1371</v>
      </c>
      <c r="AP242" s="2" t="s">
        <v>1825</v>
      </c>
      <c r="AQ242" s="1" t="s">
        <v>132</v>
      </c>
      <c r="AR242" s="1" t="s">
        <v>693</v>
      </c>
      <c r="AS242" s="1" t="s">
        <v>1813</v>
      </c>
      <c r="AT242" s="2" t="s">
        <v>70</v>
      </c>
    </row>
    <row r="243">
      <c r="A243" s="1">
        <v>2043744.0</v>
      </c>
      <c r="B243" s="1" t="s">
        <v>116</v>
      </c>
      <c r="C243" s="1" t="s">
        <v>117</v>
      </c>
      <c r="D243" s="1" t="s">
        <v>46</v>
      </c>
      <c r="E243" s="1" t="s">
        <v>1826</v>
      </c>
      <c r="F243" s="1"/>
      <c r="G243" s="1" t="s">
        <v>119</v>
      </c>
      <c r="H243" s="1" t="s">
        <v>50</v>
      </c>
      <c r="I243" s="1">
        <v>200000.0</v>
      </c>
      <c r="J243" s="1"/>
      <c r="K243" s="1"/>
      <c r="L243" s="1" t="s">
        <v>1737</v>
      </c>
      <c r="M243" s="1" t="s">
        <v>1827</v>
      </c>
      <c r="N243" s="1" t="s">
        <v>53</v>
      </c>
      <c r="O243" s="1" t="s">
        <v>54</v>
      </c>
      <c r="P243" s="2" t="s">
        <v>1809</v>
      </c>
      <c r="Q243" s="1" t="s">
        <v>56</v>
      </c>
      <c r="R243" s="2" t="s">
        <v>1749</v>
      </c>
      <c r="S243" s="1" t="s">
        <v>220</v>
      </c>
      <c r="T243" s="1">
        <v>3304557.0</v>
      </c>
      <c r="U243" s="1" t="s">
        <v>1740</v>
      </c>
      <c r="V243" s="1" t="s">
        <v>1741</v>
      </c>
      <c r="W243" s="1" t="s">
        <v>60</v>
      </c>
      <c r="X243" s="1"/>
      <c r="Y243" s="1"/>
      <c r="Z243" s="1" t="s">
        <v>223</v>
      </c>
      <c r="AA243" s="1" t="s">
        <v>61</v>
      </c>
      <c r="AB243" s="1" t="str">
        <f t="shared" ref="AB243:AB244" si="17">"33000167000101"</f>
        <v>33000167000101</v>
      </c>
      <c r="AC243" s="1"/>
      <c r="AD243" s="1"/>
      <c r="AE243" s="1"/>
      <c r="AF243" s="1">
        <v>-39.966389</v>
      </c>
      <c r="AG243" s="1">
        <v>-22.13</v>
      </c>
      <c r="AH243" s="1" t="s">
        <v>1828</v>
      </c>
      <c r="AI243" s="1"/>
      <c r="AJ243" s="1" t="s">
        <v>1737</v>
      </c>
      <c r="AK243" s="1"/>
      <c r="AL243" s="1" t="s">
        <v>128</v>
      </c>
      <c r="AM243" s="1" t="s">
        <v>65</v>
      </c>
      <c r="AN243" s="1" t="s">
        <v>1743</v>
      </c>
      <c r="AO243" s="2" t="s">
        <v>691</v>
      </c>
      <c r="AP243" s="2" t="s">
        <v>1829</v>
      </c>
      <c r="AQ243" s="1" t="s">
        <v>132</v>
      </c>
      <c r="AR243" s="1" t="s">
        <v>1745</v>
      </c>
      <c r="AS243" s="1" t="s">
        <v>1746</v>
      </c>
      <c r="AT243" s="2" t="s">
        <v>70</v>
      </c>
    </row>
    <row r="244">
      <c r="A244" s="1">
        <v>2043747.0</v>
      </c>
      <c r="B244" s="1" t="s">
        <v>116</v>
      </c>
      <c r="C244" s="1" t="s">
        <v>117</v>
      </c>
      <c r="D244" s="1" t="s">
        <v>46</v>
      </c>
      <c r="E244" s="1" t="s">
        <v>1830</v>
      </c>
      <c r="F244" s="1"/>
      <c r="G244" s="1" t="s">
        <v>119</v>
      </c>
      <c r="H244" s="1" t="s">
        <v>50</v>
      </c>
      <c r="I244" s="1">
        <v>100000.0</v>
      </c>
      <c r="J244" s="1"/>
      <c r="K244" s="1"/>
      <c r="L244" s="1" t="s">
        <v>1737</v>
      </c>
      <c r="M244" s="1" t="s">
        <v>1831</v>
      </c>
      <c r="N244" s="1" t="s">
        <v>53</v>
      </c>
      <c r="O244" s="1" t="s">
        <v>54</v>
      </c>
      <c r="P244" s="2" t="s">
        <v>1809</v>
      </c>
      <c r="Q244" s="1" t="s">
        <v>56</v>
      </c>
      <c r="R244" s="2" t="s">
        <v>1749</v>
      </c>
      <c r="S244" s="1" t="s">
        <v>220</v>
      </c>
      <c r="T244" s="1">
        <v>3304557.0</v>
      </c>
      <c r="U244" s="1" t="s">
        <v>1740</v>
      </c>
      <c r="V244" s="1" t="s">
        <v>1741</v>
      </c>
      <c r="W244" s="1" t="s">
        <v>60</v>
      </c>
      <c r="X244" s="1"/>
      <c r="Y244" s="1"/>
      <c r="Z244" s="1" t="s">
        <v>223</v>
      </c>
      <c r="AA244" s="1" t="s">
        <v>61</v>
      </c>
      <c r="AB244" s="1" t="str">
        <f t="shared" si="17"/>
        <v>33000167000101</v>
      </c>
      <c r="AC244" s="1"/>
      <c r="AD244" s="1"/>
      <c r="AE244" s="1"/>
      <c r="AF244" s="1">
        <v>-39.966389</v>
      </c>
      <c r="AG244" s="1">
        <v>-22.13</v>
      </c>
      <c r="AH244" s="1" t="s">
        <v>1832</v>
      </c>
      <c r="AI244" s="1"/>
      <c r="AJ244" s="1" t="s">
        <v>1737</v>
      </c>
      <c r="AK244" s="1"/>
      <c r="AL244" s="1" t="s">
        <v>128</v>
      </c>
      <c r="AM244" s="1" t="s">
        <v>65</v>
      </c>
      <c r="AN244" s="1" t="s">
        <v>1743</v>
      </c>
      <c r="AO244" s="2" t="s">
        <v>691</v>
      </c>
      <c r="AP244" s="2" t="s">
        <v>1833</v>
      </c>
      <c r="AQ244" s="1" t="s">
        <v>132</v>
      </c>
      <c r="AR244" s="1" t="s">
        <v>1745</v>
      </c>
      <c r="AS244" s="1" t="s">
        <v>1746</v>
      </c>
      <c r="AT244" s="2" t="s">
        <v>70</v>
      </c>
    </row>
    <row r="245">
      <c r="A245" s="1"/>
      <c r="B245" s="1" t="s">
        <v>46</v>
      </c>
      <c r="C245" s="1" t="s">
        <v>47</v>
      </c>
      <c r="D245" s="1"/>
      <c r="E245" s="1" t="s">
        <v>1834</v>
      </c>
      <c r="F245" s="1"/>
      <c r="G245" s="1" t="s">
        <v>49</v>
      </c>
      <c r="H245" s="1" t="s">
        <v>72</v>
      </c>
      <c r="I245" s="1">
        <v>16707.0</v>
      </c>
      <c r="J245" s="1"/>
      <c r="K245" s="1"/>
      <c r="L245" s="1"/>
      <c r="M245" s="1" t="s">
        <v>1835</v>
      </c>
      <c r="N245" s="1" t="s">
        <v>109</v>
      </c>
      <c r="O245" s="1" t="s">
        <v>110</v>
      </c>
      <c r="P245" s="2" t="s">
        <v>1836</v>
      </c>
      <c r="Q245" s="1" t="s">
        <v>56</v>
      </c>
      <c r="R245" s="1"/>
      <c r="S245" s="1" t="s">
        <v>220</v>
      </c>
      <c r="T245" s="1">
        <v>3548500.0</v>
      </c>
      <c r="U245" s="1" t="s">
        <v>360</v>
      </c>
      <c r="V245" s="1" t="s">
        <v>139</v>
      </c>
      <c r="W245" s="1" t="s">
        <v>78</v>
      </c>
      <c r="X245" s="1"/>
      <c r="Y245" s="1"/>
      <c r="Z245" s="1" t="s">
        <v>112</v>
      </c>
      <c r="AA245" s="1" t="s">
        <v>893</v>
      </c>
      <c r="AB245" s="1" t="str">
        <f t="shared" ref="AB245:AB246" si="18">"20334805000189"</f>
        <v>20334805000189</v>
      </c>
      <c r="AC245" s="1"/>
      <c r="AD245" s="1" t="s">
        <v>81</v>
      </c>
      <c r="AE245" s="1"/>
      <c r="AF245" s="1">
        <v>-46.305</v>
      </c>
      <c r="AG245" s="1">
        <v>-23.980278</v>
      </c>
      <c r="AH245" s="1" t="s">
        <v>1837</v>
      </c>
      <c r="AI245" s="1"/>
      <c r="AJ245" s="1" t="s">
        <v>142</v>
      </c>
      <c r="AK245" s="1"/>
      <c r="AL245" s="1"/>
      <c r="AM245" s="1" t="s">
        <v>65</v>
      </c>
      <c r="AN245" s="1" t="s">
        <v>274</v>
      </c>
      <c r="AO245" s="1"/>
      <c r="AP245" s="2" t="s">
        <v>1838</v>
      </c>
      <c r="AQ245" s="1"/>
      <c r="AR245" s="1" t="s">
        <v>115</v>
      </c>
      <c r="AS245" s="1" t="s">
        <v>1839</v>
      </c>
      <c r="AT245" s="2" t="s">
        <v>70</v>
      </c>
    </row>
    <row r="246">
      <c r="A246" s="1"/>
      <c r="B246" s="1" t="s">
        <v>46</v>
      </c>
      <c r="C246" s="1" t="s">
        <v>47</v>
      </c>
      <c r="D246" s="1"/>
      <c r="E246" s="1" t="s">
        <v>1840</v>
      </c>
      <c r="F246" s="1"/>
      <c r="G246" s="1" t="s">
        <v>49</v>
      </c>
      <c r="H246" s="1" t="s">
        <v>72</v>
      </c>
      <c r="I246" s="1">
        <v>34131.0</v>
      </c>
      <c r="J246" s="1"/>
      <c r="K246" s="1"/>
      <c r="L246" s="1"/>
      <c r="M246" s="1" t="s">
        <v>1841</v>
      </c>
      <c r="N246" s="1" t="s">
        <v>109</v>
      </c>
      <c r="O246" s="1" t="s">
        <v>110</v>
      </c>
      <c r="P246" s="2" t="s">
        <v>1842</v>
      </c>
      <c r="Q246" s="1" t="s">
        <v>56</v>
      </c>
      <c r="R246" s="1"/>
      <c r="S246" s="1" t="s">
        <v>220</v>
      </c>
      <c r="T246" s="1">
        <v>3548500.0</v>
      </c>
      <c r="U246" s="1" t="s">
        <v>360</v>
      </c>
      <c r="V246" s="1" t="s">
        <v>139</v>
      </c>
      <c r="W246" s="1" t="s">
        <v>78</v>
      </c>
      <c r="X246" s="1"/>
      <c r="Y246" s="1"/>
      <c r="Z246" s="1" t="s">
        <v>112</v>
      </c>
      <c r="AA246" s="1" t="s">
        <v>893</v>
      </c>
      <c r="AB246" s="1" t="str">
        <f t="shared" si="18"/>
        <v>20334805000189</v>
      </c>
      <c r="AC246" s="1"/>
      <c r="AD246" s="1" t="s">
        <v>81</v>
      </c>
      <c r="AE246" s="1"/>
      <c r="AF246" s="1">
        <v>-46.305</v>
      </c>
      <c r="AG246" s="1">
        <v>-23.980278</v>
      </c>
      <c r="AH246" s="1" t="s">
        <v>1843</v>
      </c>
      <c r="AI246" s="1"/>
      <c r="AJ246" s="1" t="s">
        <v>142</v>
      </c>
      <c r="AK246" s="1"/>
      <c r="AL246" s="1"/>
      <c r="AM246" s="1" t="s">
        <v>65</v>
      </c>
      <c r="AN246" s="1" t="s">
        <v>274</v>
      </c>
      <c r="AO246" s="1"/>
      <c r="AP246" s="2" t="s">
        <v>1844</v>
      </c>
      <c r="AQ246" s="1"/>
      <c r="AR246" s="1" t="s">
        <v>115</v>
      </c>
      <c r="AS246" s="1" t="s">
        <v>1839</v>
      </c>
      <c r="AT246" s="2" t="s">
        <v>70</v>
      </c>
    </row>
    <row r="247">
      <c r="A247" s="1"/>
      <c r="B247" s="1" t="s">
        <v>46</v>
      </c>
      <c r="C247" s="1" t="s">
        <v>47</v>
      </c>
      <c r="D247" s="1"/>
      <c r="E247" s="1" t="s">
        <v>1845</v>
      </c>
      <c r="F247" s="1"/>
      <c r="G247" s="1" t="s">
        <v>49</v>
      </c>
      <c r="H247" s="1" t="s">
        <v>50</v>
      </c>
      <c r="I247" s="1">
        <v>300000.0</v>
      </c>
      <c r="J247" s="1"/>
      <c r="K247" s="1" t="s">
        <v>92</v>
      </c>
      <c r="L247" s="1"/>
      <c r="M247" s="1" t="s">
        <v>1846</v>
      </c>
      <c r="N247" s="1" t="s">
        <v>53</v>
      </c>
      <c r="O247" s="1" t="s">
        <v>54</v>
      </c>
      <c r="P247" s="2" t="s">
        <v>1847</v>
      </c>
      <c r="Q247" s="1" t="s">
        <v>56</v>
      </c>
      <c r="R247" s="1"/>
      <c r="S247" s="1" t="s">
        <v>220</v>
      </c>
      <c r="T247" s="1">
        <v>3304557.0</v>
      </c>
      <c r="U247" s="1" t="s">
        <v>1740</v>
      </c>
      <c r="V247" s="1" t="s">
        <v>1741</v>
      </c>
      <c r="W247" s="1" t="s">
        <v>60</v>
      </c>
      <c r="X247" s="1"/>
      <c r="Y247" s="1"/>
      <c r="Z247" s="1"/>
      <c r="AA247" s="1" t="s">
        <v>1762</v>
      </c>
      <c r="AB247" s="1" t="str">
        <f>"33000167000101"</f>
        <v>33000167000101</v>
      </c>
      <c r="AC247" s="1"/>
      <c r="AD247" s="1" t="s">
        <v>62</v>
      </c>
      <c r="AE247" s="1"/>
      <c r="AF247" s="1">
        <v>-40.095278</v>
      </c>
      <c r="AG247" s="1">
        <v>-22.633056</v>
      </c>
      <c r="AH247" s="1" t="s">
        <v>1848</v>
      </c>
      <c r="AI247" s="1"/>
      <c r="AJ247" s="1" t="s">
        <v>1763</v>
      </c>
      <c r="AK247" s="1"/>
      <c r="AL247" s="1"/>
      <c r="AM247" s="1" t="s">
        <v>65</v>
      </c>
      <c r="AN247" s="1" t="s">
        <v>1743</v>
      </c>
      <c r="AO247" s="1"/>
      <c r="AP247" s="2" t="s">
        <v>1849</v>
      </c>
      <c r="AQ247" s="1"/>
      <c r="AR247" s="1" t="s">
        <v>1765</v>
      </c>
      <c r="AS247" s="1" t="s">
        <v>1850</v>
      </c>
      <c r="AT247" s="2" t="s">
        <v>70</v>
      </c>
    </row>
    <row r="248">
      <c r="A248" s="1"/>
      <c r="B248" s="1" t="s">
        <v>46</v>
      </c>
      <c r="C248" s="1" t="s">
        <v>47</v>
      </c>
      <c r="D248" s="1"/>
      <c r="E248" s="1" t="s">
        <v>1851</v>
      </c>
      <c r="F248" s="1"/>
      <c r="G248" s="1" t="s">
        <v>49</v>
      </c>
      <c r="H248" s="1" t="s">
        <v>72</v>
      </c>
      <c r="I248" s="1">
        <v>16616.1</v>
      </c>
      <c r="J248" s="1"/>
      <c r="K248" s="1"/>
      <c r="L248" s="1"/>
      <c r="M248" s="1" t="s">
        <v>1852</v>
      </c>
      <c r="N248" s="1" t="s">
        <v>109</v>
      </c>
      <c r="O248" s="1" t="s">
        <v>110</v>
      </c>
      <c r="P248" s="2" t="s">
        <v>1853</v>
      </c>
      <c r="Q248" s="1" t="s">
        <v>56</v>
      </c>
      <c r="R248" s="1"/>
      <c r="S248" s="1" t="s">
        <v>220</v>
      </c>
      <c r="T248" s="1">
        <v>3548500.0</v>
      </c>
      <c r="U248" s="1" t="s">
        <v>360</v>
      </c>
      <c r="V248" s="1" t="s">
        <v>139</v>
      </c>
      <c r="W248" s="1" t="s">
        <v>78</v>
      </c>
      <c r="X248" s="1"/>
      <c r="Y248" s="1"/>
      <c r="Z248" s="1" t="s">
        <v>112</v>
      </c>
      <c r="AA248" s="1" t="s">
        <v>893</v>
      </c>
      <c r="AB248" s="1" t="str">
        <f>"20334805000189"</f>
        <v>20334805000189</v>
      </c>
      <c r="AC248" s="1"/>
      <c r="AD248" s="1" t="s">
        <v>81</v>
      </c>
      <c r="AE248" s="1"/>
      <c r="AF248" s="1">
        <v>-46.305</v>
      </c>
      <c r="AG248" s="1">
        <v>-23.980278</v>
      </c>
      <c r="AH248" s="1" t="s">
        <v>1854</v>
      </c>
      <c r="AI248" s="1"/>
      <c r="AJ248" s="1" t="s">
        <v>142</v>
      </c>
      <c r="AK248" s="1"/>
      <c r="AL248" s="1"/>
      <c r="AM248" s="1" t="s">
        <v>65</v>
      </c>
      <c r="AN248" s="1" t="s">
        <v>274</v>
      </c>
      <c r="AO248" s="1"/>
      <c r="AP248" s="2" t="s">
        <v>1855</v>
      </c>
      <c r="AQ248" s="1"/>
      <c r="AR248" s="1" t="s">
        <v>115</v>
      </c>
      <c r="AS248" s="1" t="s">
        <v>1839</v>
      </c>
      <c r="AT248" s="2" t="s">
        <v>70</v>
      </c>
    </row>
    <row r="249">
      <c r="A249" s="1"/>
      <c r="B249" s="1" t="s">
        <v>46</v>
      </c>
      <c r="C249" s="1" t="s">
        <v>47</v>
      </c>
      <c r="D249" s="1"/>
      <c r="E249" s="1" t="s">
        <v>1856</v>
      </c>
      <c r="F249" s="1"/>
      <c r="G249" s="1" t="s">
        <v>49</v>
      </c>
      <c r="H249" s="1" t="s">
        <v>50</v>
      </c>
      <c r="I249" s="1">
        <v>100000.0</v>
      </c>
      <c r="J249" s="1"/>
      <c r="K249" s="1" t="s">
        <v>92</v>
      </c>
      <c r="L249" s="1"/>
      <c r="M249" s="1" t="s">
        <v>1857</v>
      </c>
      <c r="N249" s="1" t="s">
        <v>53</v>
      </c>
      <c r="O249" s="1" t="s">
        <v>54</v>
      </c>
      <c r="P249" s="2" t="s">
        <v>1858</v>
      </c>
      <c r="Q249" s="1" t="s">
        <v>56</v>
      </c>
      <c r="R249" s="1"/>
      <c r="S249" s="1" t="s">
        <v>220</v>
      </c>
      <c r="T249" s="1">
        <v>3304557.0</v>
      </c>
      <c r="U249" s="1" t="s">
        <v>1740</v>
      </c>
      <c r="V249" s="1" t="s">
        <v>1741</v>
      </c>
      <c r="W249" s="1" t="s">
        <v>60</v>
      </c>
      <c r="X249" s="1"/>
      <c r="Y249" s="1"/>
      <c r="Z249" s="1"/>
      <c r="AA249" s="1" t="s">
        <v>1762</v>
      </c>
      <c r="AB249" s="1" t="str">
        <f>"33000167000101"</f>
        <v>33000167000101</v>
      </c>
      <c r="AC249" s="1"/>
      <c r="AD249" s="1" t="s">
        <v>62</v>
      </c>
      <c r="AE249" s="1"/>
      <c r="AF249" s="1">
        <v>-40.24</v>
      </c>
      <c r="AG249" s="1">
        <v>-22.663611</v>
      </c>
      <c r="AH249" s="1" t="s">
        <v>1859</v>
      </c>
      <c r="AI249" s="1"/>
      <c r="AJ249" s="1" t="s">
        <v>1763</v>
      </c>
      <c r="AK249" s="1"/>
      <c r="AL249" s="1"/>
      <c r="AM249" s="1" t="s">
        <v>65</v>
      </c>
      <c r="AN249" s="1" t="s">
        <v>1743</v>
      </c>
      <c r="AO249" s="1"/>
      <c r="AP249" s="2" t="s">
        <v>1860</v>
      </c>
      <c r="AQ249" s="1"/>
      <c r="AR249" s="1" t="s">
        <v>1765</v>
      </c>
      <c r="AS249" s="1" t="s">
        <v>1861</v>
      </c>
      <c r="AT249" s="2" t="s">
        <v>70</v>
      </c>
    </row>
    <row r="250">
      <c r="A250" s="1"/>
      <c r="B250" s="1" t="s">
        <v>46</v>
      </c>
      <c r="C250" s="1" t="s">
        <v>47</v>
      </c>
      <c r="D250" s="1"/>
      <c r="E250" s="1" t="s">
        <v>1862</v>
      </c>
      <c r="F250" s="1"/>
      <c r="G250" s="1" t="s">
        <v>49</v>
      </c>
      <c r="H250" s="1" t="s">
        <v>50</v>
      </c>
      <c r="I250" s="1">
        <v>160820.0</v>
      </c>
      <c r="J250" s="1"/>
      <c r="K250" s="1" t="s">
        <v>92</v>
      </c>
      <c r="L250" s="1"/>
      <c r="M250" s="1" t="s">
        <v>1863</v>
      </c>
      <c r="N250" s="1" t="s">
        <v>74</v>
      </c>
      <c r="O250" s="1" t="s">
        <v>75</v>
      </c>
      <c r="P250" s="2" t="s">
        <v>1864</v>
      </c>
      <c r="Q250" s="1" t="s">
        <v>77</v>
      </c>
      <c r="R250" s="1"/>
      <c r="S250" s="1" t="s">
        <v>400</v>
      </c>
      <c r="T250" s="1">
        <v>4304671.0</v>
      </c>
      <c r="U250" s="1" t="s">
        <v>1755</v>
      </c>
      <c r="V250" s="1" t="s">
        <v>402</v>
      </c>
      <c r="W250" s="1" t="s">
        <v>60</v>
      </c>
      <c r="X250" s="1"/>
      <c r="Y250" s="1"/>
      <c r="Z250" s="1" t="s">
        <v>79</v>
      </c>
      <c r="AA250" s="1" t="s">
        <v>1155</v>
      </c>
      <c r="AB250" s="1" t="str">
        <f>"26746882000203"</f>
        <v>26746882000203</v>
      </c>
      <c r="AC250" s="1"/>
      <c r="AD250" s="1" t="s">
        <v>62</v>
      </c>
      <c r="AE250" s="1"/>
      <c r="AF250" s="1">
        <v>-50.519167</v>
      </c>
      <c r="AG250" s="1">
        <v>-30.146667</v>
      </c>
      <c r="AH250" s="1" t="s">
        <v>1865</v>
      </c>
      <c r="AI250" s="1"/>
      <c r="AJ250" s="1" t="s">
        <v>405</v>
      </c>
      <c r="AK250" s="1"/>
      <c r="AL250" s="1"/>
      <c r="AM250" s="1" t="s">
        <v>65</v>
      </c>
      <c r="AN250" s="1" t="s">
        <v>1044</v>
      </c>
      <c r="AO250" s="1"/>
      <c r="AP250" s="2" t="s">
        <v>1866</v>
      </c>
      <c r="AQ250" s="1"/>
      <c r="AR250" s="1" t="s">
        <v>502</v>
      </c>
      <c r="AS250" s="1"/>
      <c r="AT250" s="2" t="s">
        <v>70</v>
      </c>
    </row>
    <row r="251">
      <c r="A251" s="1">
        <v>2043536.0</v>
      </c>
      <c r="B251" s="1" t="s">
        <v>116</v>
      </c>
      <c r="C251" s="1" t="s">
        <v>117</v>
      </c>
      <c r="D251" s="1" t="s">
        <v>46</v>
      </c>
      <c r="E251" s="1" t="s">
        <v>1867</v>
      </c>
      <c r="F251" s="1"/>
      <c r="G251" s="1" t="s">
        <v>119</v>
      </c>
      <c r="H251" s="1" t="s">
        <v>50</v>
      </c>
      <c r="I251" s="1">
        <v>1000.0</v>
      </c>
      <c r="J251" s="1"/>
      <c r="K251" s="1"/>
      <c r="L251" s="1" t="s">
        <v>226</v>
      </c>
      <c r="M251" s="1" t="s">
        <v>1490</v>
      </c>
      <c r="N251" s="1" t="s">
        <v>257</v>
      </c>
      <c r="O251" s="1" t="s">
        <v>258</v>
      </c>
      <c r="P251" s="2" t="s">
        <v>1868</v>
      </c>
      <c r="Q251" s="1" t="s">
        <v>56</v>
      </c>
      <c r="R251" s="1"/>
      <c r="S251" s="1" t="s">
        <v>784</v>
      </c>
      <c r="T251" s="1">
        <v>4204202.0</v>
      </c>
      <c r="U251" s="1" t="s">
        <v>1492</v>
      </c>
      <c r="V251" s="1" t="s">
        <v>222</v>
      </c>
      <c r="W251" s="1" t="s">
        <v>78</v>
      </c>
      <c r="X251" s="1"/>
      <c r="Y251" s="1" t="str">
        <f>"02026000454202151"</f>
        <v>02026000454202151</v>
      </c>
      <c r="Z251" s="1" t="s">
        <v>260</v>
      </c>
      <c r="AA251" s="1" t="s">
        <v>1869</v>
      </c>
      <c r="AB251" s="1" t="str">
        <f>"***990419**"</f>
        <v>***990419**</v>
      </c>
      <c r="AC251" s="1"/>
      <c r="AD251" s="1"/>
      <c r="AE251" s="1"/>
      <c r="AF251" s="1">
        <v>-52.610833</v>
      </c>
      <c r="AG251" s="1">
        <v>-27.100278</v>
      </c>
      <c r="AH251" s="1" t="s">
        <v>1811</v>
      </c>
      <c r="AI251" s="1"/>
      <c r="AJ251" s="1" t="s">
        <v>226</v>
      </c>
      <c r="AK251" s="1"/>
      <c r="AL251" s="1" t="s">
        <v>128</v>
      </c>
      <c r="AM251" s="1" t="s">
        <v>65</v>
      </c>
      <c r="AN251" s="1" t="s">
        <v>788</v>
      </c>
      <c r="AO251" s="2" t="s">
        <v>1643</v>
      </c>
      <c r="AP251" s="2" t="s">
        <v>1870</v>
      </c>
      <c r="AQ251" s="1" t="s">
        <v>132</v>
      </c>
      <c r="AR251" s="1" t="s">
        <v>693</v>
      </c>
      <c r="AS251" s="1" t="s">
        <v>1871</v>
      </c>
      <c r="AT251" s="2" t="s">
        <v>70</v>
      </c>
    </row>
    <row r="252">
      <c r="A252" s="1">
        <v>2043537.0</v>
      </c>
      <c r="B252" s="1" t="s">
        <v>116</v>
      </c>
      <c r="C252" s="1" t="s">
        <v>117</v>
      </c>
      <c r="D252" s="1" t="s">
        <v>46</v>
      </c>
      <c r="E252" s="1" t="s">
        <v>1872</v>
      </c>
      <c r="F252" s="1"/>
      <c r="G252" s="1" t="s">
        <v>119</v>
      </c>
      <c r="H252" s="1" t="s">
        <v>50</v>
      </c>
      <c r="I252" s="1">
        <v>1000.0</v>
      </c>
      <c r="J252" s="1"/>
      <c r="K252" s="1"/>
      <c r="L252" s="1" t="s">
        <v>226</v>
      </c>
      <c r="M252" s="1" t="s">
        <v>1490</v>
      </c>
      <c r="N252" s="1" t="s">
        <v>257</v>
      </c>
      <c r="O252" s="1" t="s">
        <v>258</v>
      </c>
      <c r="P252" s="2" t="s">
        <v>1868</v>
      </c>
      <c r="Q252" s="1" t="s">
        <v>56</v>
      </c>
      <c r="R252" s="1"/>
      <c r="S252" s="1" t="s">
        <v>784</v>
      </c>
      <c r="T252" s="1">
        <v>4204202.0</v>
      </c>
      <c r="U252" s="1" t="s">
        <v>1492</v>
      </c>
      <c r="V252" s="1" t="s">
        <v>222</v>
      </c>
      <c r="W252" s="1" t="s">
        <v>78</v>
      </c>
      <c r="X252" s="1"/>
      <c r="Y252" s="1" t="str">
        <f>"02026000455202103"</f>
        <v>02026000455202103</v>
      </c>
      <c r="Z252" s="1" t="s">
        <v>260</v>
      </c>
      <c r="AA252" s="1" t="s">
        <v>1873</v>
      </c>
      <c r="AB252" s="1" t="str">
        <f>"***659819**"</f>
        <v>***659819**</v>
      </c>
      <c r="AC252" s="1"/>
      <c r="AD252" s="1"/>
      <c r="AE252" s="1"/>
      <c r="AF252" s="1">
        <v>-52.610833</v>
      </c>
      <c r="AG252" s="1">
        <v>-27.100278</v>
      </c>
      <c r="AH252" s="1" t="s">
        <v>1811</v>
      </c>
      <c r="AI252" s="1"/>
      <c r="AJ252" s="1" t="s">
        <v>226</v>
      </c>
      <c r="AK252" s="1"/>
      <c r="AL252" s="1" t="s">
        <v>128</v>
      </c>
      <c r="AM252" s="1" t="s">
        <v>65</v>
      </c>
      <c r="AN252" s="1" t="s">
        <v>788</v>
      </c>
      <c r="AO252" s="2" t="s">
        <v>1643</v>
      </c>
      <c r="AP252" s="2" t="s">
        <v>1874</v>
      </c>
      <c r="AQ252" s="1" t="s">
        <v>132</v>
      </c>
      <c r="AR252" s="1" t="s">
        <v>693</v>
      </c>
      <c r="AS252" s="1" t="s">
        <v>1813</v>
      </c>
      <c r="AT252" s="2" t="s">
        <v>70</v>
      </c>
    </row>
    <row r="253">
      <c r="A253" s="1">
        <v>2043538.0</v>
      </c>
      <c r="B253" s="1" t="s">
        <v>116</v>
      </c>
      <c r="C253" s="1" t="s">
        <v>117</v>
      </c>
      <c r="D253" s="1" t="s">
        <v>46</v>
      </c>
      <c r="E253" s="1" t="s">
        <v>1875</v>
      </c>
      <c r="F253" s="1"/>
      <c r="G253" s="1" t="s">
        <v>119</v>
      </c>
      <c r="H253" s="1" t="s">
        <v>50</v>
      </c>
      <c r="I253" s="1">
        <v>1000.0</v>
      </c>
      <c r="J253" s="1"/>
      <c r="K253" s="1"/>
      <c r="L253" s="1" t="s">
        <v>226</v>
      </c>
      <c r="M253" s="1" t="s">
        <v>1490</v>
      </c>
      <c r="N253" s="1" t="s">
        <v>257</v>
      </c>
      <c r="O253" s="1" t="s">
        <v>258</v>
      </c>
      <c r="P253" s="2" t="s">
        <v>1868</v>
      </c>
      <c r="Q253" s="1" t="s">
        <v>56</v>
      </c>
      <c r="R253" s="1"/>
      <c r="S253" s="1" t="s">
        <v>784</v>
      </c>
      <c r="T253" s="1">
        <v>4204202.0</v>
      </c>
      <c r="U253" s="1" t="s">
        <v>1492</v>
      </c>
      <c r="V253" s="1" t="s">
        <v>222</v>
      </c>
      <c r="W253" s="1" t="s">
        <v>78</v>
      </c>
      <c r="X253" s="1"/>
      <c r="Y253" s="1" t="str">
        <f>"02026000456202140"</f>
        <v>02026000456202140</v>
      </c>
      <c r="Z253" s="1" t="s">
        <v>260</v>
      </c>
      <c r="AA253" s="1" t="s">
        <v>1876</v>
      </c>
      <c r="AB253" s="1" t="str">
        <f>"***984599**"</f>
        <v>***984599**</v>
      </c>
      <c r="AC253" s="1"/>
      <c r="AD253" s="1"/>
      <c r="AE253" s="1"/>
      <c r="AF253" s="1">
        <v>-52.610833</v>
      </c>
      <c r="AG253" s="1">
        <v>-27.100278</v>
      </c>
      <c r="AH253" s="1" t="s">
        <v>1811</v>
      </c>
      <c r="AI253" s="1"/>
      <c r="AJ253" s="1" t="s">
        <v>226</v>
      </c>
      <c r="AK253" s="1"/>
      <c r="AL253" s="1" t="s">
        <v>128</v>
      </c>
      <c r="AM253" s="1" t="s">
        <v>65</v>
      </c>
      <c r="AN253" s="1" t="s">
        <v>788</v>
      </c>
      <c r="AO253" s="2" t="s">
        <v>1643</v>
      </c>
      <c r="AP253" s="2" t="s">
        <v>1877</v>
      </c>
      <c r="AQ253" s="1" t="s">
        <v>132</v>
      </c>
      <c r="AR253" s="1" t="s">
        <v>693</v>
      </c>
      <c r="AS253" s="1" t="s">
        <v>1813</v>
      </c>
      <c r="AT253" s="2" t="s">
        <v>70</v>
      </c>
    </row>
    <row r="254">
      <c r="A254" s="1">
        <v>2043539.0</v>
      </c>
      <c r="B254" s="1" t="s">
        <v>116</v>
      </c>
      <c r="C254" s="1" t="s">
        <v>117</v>
      </c>
      <c r="D254" s="1" t="s">
        <v>46</v>
      </c>
      <c r="E254" s="1" t="s">
        <v>1878</v>
      </c>
      <c r="F254" s="1"/>
      <c r="G254" s="1" t="s">
        <v>119</v>
      </c>
      <c r="H254" s="1" t="s">
        <v>50</v>
      </c>
      <c r="I254" s="1">
        <v>1000.0</v>
      </c>
      <c r="J254" s="1"/>
      <c r="K254" s="1"/>
      <c r="L254" s="1" t="s">
        <v>226</v>
      </c>
      <c r="M254" s="1" t="s">
        <v>1490</v>
      </c>
      <c r="N254" s="1" t="s">
        <v>257</v>
      </c>
      <c r="O254" s="1" t="s">
        <v>258</v>
      </c>
      <c r="P254" s="2" t="s">
        <v>1868</v>
      </c>
      <c r="Q254" s="1" t="s">
        <v>56</v>
      </c>
      <c r="R254" s="1"/>
      <c r="S254" s="1" t="s">
        <v>784</v>
      </c>
      <c r="T254" s="1">
        <v>4204202.0</v>
      </c>
      <c r="U254" s="1" t="s">
        <v>1492</v>
      </c>
      <c r="V254" s="1" t="s">
        <v>222</v>
      </c>
      <c r="W254" s="1" t="s">
        <v>78</v>
      </c>
      <c r="X254" s="1"/>
      <c r="Y254" s="1" t="str">
        <f>"02026000457202194"</f>
        <v>02026000457202194</v>
      </c>
      <c r="Z254" s="1" t="s">
        <v>260</v>
      </c>
      <c r="AA254" s="1" t="s">
        <v>1879</v>
      </c>
      <c r="AB254" s="1" t="str">
        <f>"***926649**"</f>
        <v>***926649**</v>
      </c>
      <c r="AC254" s="1"/>
      <c r="AD254" s="1"/>
      <c r="AE254" s="1"/>
      <c r="AF254" s="1">
        <v>-52.610833</v>
      </c>
      <c r="AG254" s="1">
        <v>-27.100278</v>
      </c>
      <c r="AH254" s="1" t="s">
        <v>1811</v>
      </c>
      <c r="AI254" s="1"/>
      <c r="AJ254" s="1" t="s">
        <v>226</v>
      </c>
      <c r="AK254" s="1"/>
      <c r="AL254" s="1" t="s">
        <v>128</v>
      </c>
      <c r="AM254" s="1" t="s">
        <v>65</v>
      </c>
      <c r="AN254" s="1" t="s">
        <v>788</v>
      </c>
      <c r="AO254" s="2" t="s">
        <v>1643</v>
      </c>
      <c r="AP254" s="2" t="s">
        <v>1880</v>
      </c>
      <c r="AQ254" s="1" t="s">
        <v>132</v>
      </c>
      <c r="AR254" s="1" t="s">
        <v>693</v>
      </c>
      <c r="AS254" s="1" t="s">
        <v>1813</v>
      </c>
      <c r="AT254" s="2" t="s">
        <v>70</v>
      </c>
    </row>
    <row r="255">
      <c r="A255" s="1">
        <v>2043540.0</v>
      </c>
      <c r="B255" s="1" t="s">
        <v>116</v>
      </c>
      <c r="C255" s="1" t="s">
        <v>117</v>
      </c>
      <c r="D255" s="1" t="s">
        <v>46</v>
      </c>
      <c r="E255" s="1" t="s">
        <v>1881</v>
      </c>
      <c r="F255" s="1"/>
      <c r="G255" s="1" t="s">
        <v>119</v>
      </c>
      <c r="H255" s="1" t="s">
        <v>50</v>
      </c>
      <c r="I255" s="1">
        <v>1000.0</v>
      </c>
      <c r="J255" s="1"/>
      <c r="K255" s="1"/>
      <c r="L255" s="1" t="s">
        <v>226</v>
      </c>
      <c r="M255" s="1" t="s">
        <v>1490</v>
      </c>
      <c r="N255" s="1" t="s">
        <v>257</v>
      </c>
      <c r="O255" s="1" t="s">
        <v>258</v>
      </c>
      <c r="P255" s="2" t="s">
        <v>1868</v>
      </c>
      <c r="Q255" s="1" t="s">
        <v>56</v>
      </c>
      <c r="R255" s="1"/>
      <c r="S255" s="1" t="s">
        <v>784</v>
      </c>
      <c r="T255" s="1">
        <v>4204202.0</v>
      </c>
      <c r="U255" s="1" t="s">
        <v>1492</v>
      </c>
      <c r="V255" s="1" t="s">
        <v>222</v>
      </c>
      <c r="W255" s="1" t="s">
        <v>78</v>
      </c>
      <c r="X255" s="1"/>
      <c r="Y255" s="1" t="str">
        <f>"02026000458202139"</f>
        <v>02026000458202139</v>
      </c>
      <c r="Z255" s="1" t="s">
        <v>260</v>
      </c>
      <c r="AA255" s="1" t="s">
        <v>1882</v>
      </c>
      <c r="AB255" s="1" t="str">
        <f>"***800919**"</f>
        <v>***800919**</v>
      </c>
      <c r="AC255" s="1"/>
      <c r="AD255" s="1"/>
      <c r="AE255" s="1"/>
      <c r="AF255" s="1">
        <v>-52.610833</v>
      </c>
      <c r="AG255" s="1">
        <v>-27.100278</v>
      </c>
      <c r="AH255" s="1" t="s">
        <v>1811</v>
      </c>
      <c r="AI255" s="1"/>
      <c r="AJ255" s="1" t="s">
        <v>226</v>
      </c>
      <c r="AK255" s="1"/>
      <c r="AL255" s="1" t="s">
        <v>128</v>
      </c>
      <c r="AM255" s="1" t="s">
        <v>65</v>
      </c>
      <c r="AN255" s="1" t="s">
        <v>788</v>
      </c>
      <c r="AO255" s="2" t="s">
        <v>1643</v>
      </c>
      <c r="AP255" s="2" t="s">
        <v>1883</v>
      </c>
      <c r="AQ255" s="1" t="s">
        <v>132</v>
      </c>
      <c r="AR255" s="1" t="s">
        <v>693</v>
      </c>
      <c r="AS255" s="1" t="s">
        <v>1813</v>
      </c>
      <c r="AT255" s="2" t="s">
        <v>70</v>
      </c>
    </row>
    <row r="256">
      <c r="A256" s="1">
        <v>2043541.0</v>
      </c>
      <c r="B256" s="1" t="s">
        <v>116</v>
      </c>
      <c r="C256" s="1" t="s">
        <v>117</v>
      </c>
      <c r="D256" s="1" t="s">
        <v>46</v>
      </c>
      <c r="E256" s="1" t="s">
        <v>1884</v>
      </c>
      <c r="F256" s="1"/>
      <c r="G256" s="1" t="s">
        <v>119</v>
      </c>
      <c r="H256" s="1" t="s">
        <v>50</v>
      </c>
      <c r="I256" s="1">
        <v>1000.0</v>
      </c>
      <c r="J256" s="1"/>
      <c r="K256" s="1"/>
      <c r="L256" s="1" t="s">
        <v>226</v>
      </c>
      <c r="M256" s="1" t="s">
        <v>1490</v>
      </c>
      <c r="N256" s="1" t="s">
        <v>257</v>
      </c>
      <c r="O256" s="1" t="s">
        <v>258</v>
      </c>
      <c r="P256" s="2" t="s">
        <v>1868</v>
      </c>
      <c r="Q256" s="1" t="s">
        <v>56</v>
      </c>
      <c r="R256" s="1"/>
      <c r="S256" s="1" t="s">
        <v>784</v>
      </c>
      <c r="T256" s="1">
        <v>4204202.0</v>
      </c>
      <c r="U256" s="1" t="s">
        <v>1492</v>
      </c>
      <c r="V256" s="1" t="s">
        <v>222</v>
      </c>
      <c r="W256" s="1" t="s">
        <v>78</v>
      </c>
      <c r="X256" s="1"/>
      <c r="Y256" s="1" t="str">
        <f>"02026000459202183"</f>
        <v>02026000459202183</v>
      </c>
      <c r="Z256" s="1" t="s">
        <v>260</v>
      </c>
      <c r="AA256" s="1" t="s">
        <v>1885</v>
      </c>
      <c r="AB256" s="1" t="str">
        <f>"***652009**"</f>
        <v>***652009**</v>
      </c>
      <c r="AC256" s="1"/>
      <c r="AD256" s="1"/>
      <c r="AE256" s="1"/>
      <c r="AF256" s="1">
        <v>-52.610833</v>
      </c>
      <c r="AG256" s="1">
        <v>-27.100278</v>
      </c>
      <c r="AH256" s="1" t="s">
        <v>1811</v>
      </c>
      <c r="AI256" s="1"/>
      <c r="AJ256" s="1" t="s">
        <v>226</v>
      </c>
      <c r="AK256" s="1"/>
      <c r="AL256" s="1" t="s">
        <v>128</v>
      </c>
      <c r="AM256" s="1" t="s">
        <v>65</v>
      </c>
      <c r="AN256" s="1" t="s">
        <v>788</v>
      </c>
      <c r="AO256" s="2" t="s">
        <v>1643</v>
      </c>
      <c r="AP256" s="2" t="s">
        <v>1886</v>
      </c>
      <c r="AQ256" s="1" t="s">
        <v>132</v>
      </c>
      <c r="AR256" s="1" t="s">
        <v>693</v>
      </c>
      <c r="AS256" s="1" t="s">
        <v>1813</v>
      </c>
      <c r="AT256" s="2" t="s">
        <v>70</v>
      </c>
    </row>
    <row r="257">
      <c r="A257" s="1">
        <v>2043593.0</v>
      </c>
      <c r="B257" s="1" t="s">
        <v>116</v>
      </c>
      <c r="C257" s="1" t="s">
        <v>117</v>
      </c>
      <c r="D257" s="1" t="s">
        <v>46</v>
      </c>
      <c r="E257" s="1" t="s">
        <v>1887</v>
      </c>
      <c r="F257" s="1"/>
      <c r="G257" s="1" t="s">
        <v>119</v>
      </c>
      <c r="H257" s="1" t="s">
        <v>50</v>
      </c>
      <c r="I257" s="1">
        <v>200000.0</v>
      </c>
      <c r="J257" s="1"/>
      <c r="K257" s="1"/>
      <c r="L257" s="1" t="s">
        <v>1737</v>
      </c>
      <c r="M257" s="1" t="s">
        <v>1888</v>
      </c>
      <c r="N257" s="1" t="s">
        <v>53</v>
      </c>
      <c r="O257" s="1" t="s">
        <v>54</v>
      </c>
      <c r="P257" s="2" t="s">
        <v>1868</v>
      </c>
      <c r="Q257" s="1" t="s">
        <v>56</v>
      </c>
      <c r="R257" s="2" t="s">
        <v>1749</v>
      </c>
      <c r="S257" s="1" t="s">
        <v>169</v>
      </c>
      <c r="T257" s="1">
        <v>5300108.0</v>
      </c>
      <c r="U257" s="1" t="s">
        <v>304</v>
      </c>
      <c r="V257" s="1" t="s">
        <v>305</v>
      </c>
      <c r="W257" s="1" t="s">
        <v>60</v>
      </c>
      <c r="X257" s="1"/>
      <c r="Y257" s="1"/>
      <c r="Z257" s="1" t="s">
        <v>223</v>
      </c>
      <c r="AA257" s="1" t="s">
        <v>61</v>
      </c>
      <c r="AB257" s="1" t="str">
        <f t="shared" ref="AB257:AB259" si="19">"33000167000101"</f>
        <v>33000167000101</v>
      </c>
      <c r="AC257" s="1"/>
      <c r="AD257" s="1"/>
      <c r="AE257" s="1"/>
      <c r="AF257" s="1">
        <v>-47.861667</v>
      </c>
      <c r="AG257" s="1">
        <v>-15.764167</v>
      </c>
      <c r="AH257" s="1" t="s">
        <v>1889</v>
      </c>
      <c r="AI257" s="1"/>
      <c r="AJ257" s="1" t="s">
        <v>1737</v>
      </c>
      <c r="AK257" s="1"/>
      <c r="AL257" s="1" t="s">
        <v>128</v>
      </c>
      <c r="AM257" s="1" t="s">
        <v>65</v>
      </c>
      <c r="AN257" s="1" t="s">
        <v>1743</v>
      </c>
      <c r="AO257" s="2" t="s">
        <v>1371</v>
      </c>
      <c r="AP257" s="2" t="s">
        <v>1890</v>
      </c>
      <c r="AQ257" s="1" t="s">
        <v>132</v>
      </c>
      <c r="AR257" s="1" t="s">
        <v>1745</v>
      </c>
      <c r="AS257" s="1" t="s">
        <v>1891</v>
      </c>
      <c r="AT257" s="2" t="s">
        <v>70</v>
      </c>
    </row>
    <row r="258">
      <c r="A258" s="1">
        <v>2043753.0</v>
      </c>
      <c r="B258" s="1" t="s">
        <v>116</v>
      </c>
      <c r="C258" s="1" t="s">
        <v>117</v>
      </c>
      <c r="D258" s="1" t="s">
        <v>46</v>
      </c>
      <c r="E258" s="1" t="s">
        <v>1892</v>
      </c>
      <c r="F258" s="1"/>
      <c r="G258" s="1" t="s">
        <v>119</v>
      </c>
      <c r="H258" s="1" t="s">
        <v>50</v>
      </c>
      <c r="I258" s="1">
        <v>400000.0</v>
      </c>
      <c r="J258" s="1"/>
      <c r="K258" s="1"/>
      <c r="L258" s="1" t="s">
        <v>1737</v>
      </c>
      <c r="M258" s="1" t="s">
        <v>1893</v>
      </c>
      <c r="N258" s="1" t="s">
        <v>53</v>
      </c>
      <c r="O258" s="1" t="s">
        <v>54</v>
      </c>
      <c r="P258" s="2" t="s">
        <v>1868</v>
      </c>
      <c r="Q258" s="1" t="s">
        <v>56</v>
      </c>
      <c r="R258" s="2" t="s">
        <v>1749</v>
      </c>
      <c r="S258" s="1" t="s">
        <v>220</v>
      </c>
      <c r="T258" s="1">
        <v>3548500.0</v>
      </c>
      <c r="U258" s="1" t="s">
        <v>360</v>
      </c>
      <c r="V258" s="1" t="s">
        <v>139</v>
      </c>
      <c r="W258" s="1" t="s">
        <v>60</v>
      </c>
      <c r="X258" s="1"/>
      <c r="Y258" s="1"/>
      <c r="Z258" s="1" t="s">
        <v>223</v>
      </c>
      <c r="AA258" s="1" t="s">
        <v>61</v>
      </c>
      <c r="AB258" s="1" t="str">
        <f t="shared" si="19"/>
        <v>33000167000101</v>
      </c>
      <c r="AC258" s="1"/>
      <c r="AD258" s="1"/>
      <c r="AE258" s="1"/>
      <c r="AF258" s="1">
        <v>-46.528611</v>
      </c>
      <c r="AG258" s="1">
        <v>-26.466389</v>
      </c>
      <c r="AH258" s="1" t="s">
        <v>1894</v>
      </c>
      <c r="AI258" s="1"/>
      <c r="AJ258" s="1" t="s">
        <v>1737</v>
      </c>
      <c r="AK258" s="1"/>
      <c r="AL258" s="1" t="s">
        <v>128</v>
      </c>
      <c r="AM258" s="1" t="s">
        <v>65</v>
      </c>
      <c r="AN258" s="1" t="s">
        <v>1743</v>
      </c>
      <c r="AO258" s="2" t="s">
        <v>691</v>
      </c>
      <c r="AP258" s="2" t="s">
        <v>1895</v>
      </c>
      <c r="AQ258" s="1" t="s">
        <v>132</v>
      </c>
      <c r="AR258" s="1" t="s">
        <v>1745</v>
      </c>
      <c r="AS258" s="1" t="s">
        <v>1896</v>
      </c>
      <c r="AT258" s="2" t="s">
        <v>70</v>
      </c>
    </row>
    <row r="259">
      <c r="A259" s="1"/>
      <c r="B259" s="1" t="s">
        <v>46</v>
      </c>
      <c r="C259" s="1" t="s">
        <v>47</v>
      </c>
      <c r="D259" s="1"/>
      <c r="E259" s="1" t="s">
        <v>1897</v>
      </c>
      <c r="F259" s="1"/>
      <c r="G259" s="1" t="s">
        <v>49</v>
      </c>
      <c r="H259" s="1" t="s">
        <v>50</v>
      </c>
      <c r="I259" s="1">
        <v>500000.0</v>
      </c>
      <c r="J259" s="1"/>
      <c r="K259" s="1" t="s">
        <v>92</v>
      </c>
      <c r="L259" s="1"/>
      <c r="M259" s="1" t="s">
        <v>1898</v>
      </c>
      <c r="N259" s="1" t="s">
        <v>53</v>
      </c>
      <c r="O259" s="1" t="s">
        <v>54</v>
      </c>
      <c r="P259" s="2" t="s">
        <v>1899</v>
      </c>
      <c r="Q259" s="1" t="s">
        <v>56</v>
      </c>
      <c r="R259" s="1"/>
      <c r="S259" s="1" t="s">
        <v>220</v>
      </c>
      <c r="T259" s="1">
        <v>3304557.0</v>
      </c>
      <c r="U259" s="1" t="s">
        <v>1740</v>
      </c>
      <c r="V259" s="1" t="s">
        <v>1741</v>
      </c>
      <c r="W259" s="1" t="s">
        <v>60</v>
      </c>
      <c r="X259" s="1"/>
      <c r="Y259" s="1"/>
      <c r="Z259" s="1"/>
      <c r="AA259" s="1" t="s">
        <v>1762</v>
      </c>
      <c r="AB259" s="1" t="str">
        <f t="shared" si="19"/>
        <v>33000167000101</v>
      </c>
      <c r="AC259" s="1"/>
      <c r="AD259" s="1" t="s">
        <v>62</v>
      </c>
      <c r="AE259" s="1"/>
      <c r="AF259" s="1">
        <v>-40.095278</v>
      </c>
      <c r="AG259" s="1">
        <v>-22.633056</v>
      </c>
      <c r="AH259" s="1" t="s">
        <v>1900</v>
      </c>
      <c r="AI259" s="1"/>
      <c r="AJ259" s="1" t="s">
        <v>1763</v>
      </c>
      <c r="AK259" s="1"/>
      <c r="AL259" s="1"/>
      <c r="AM259" s="1" t="s">
        <v>65</v>
      </c>
      <c r="AN259" s="1" t="s">
        <v>1743</v>
      </c>
      <c r="AO259" s="1"/>
      <c r="AP259" s="2" t="s">
        <v>1901</v>
      </c>
      <c r="AQ259" s="1"/>
      <c r="AR259" s="1" t="s">
        <v>1765</v>
      </c>
      <c r="AS259" s="1" t="s">
        <v>1902</v>
      </c>
      <c r="AT259" s="2" t="s">
        <v>70</v>
      </c>
    </row>
    <row r="260">
      <c r="A260" s="1"/>
      <c r="B260" s="1" t="s">
        <v>46</v>
      </c>
      <c r="C260" s="1" t="s">
        <v>47</v>
      </c>
      <c r="D260" s="1"/>
      <c r="E260" s="1" t="s">
        <v>1903</v>
      </c>
      <c r="F260" s="1"/>
      <c r="G260" s="1" t="s">
        <v>49</v>
      </c>
      <c r="H260" s="1" t="s">
        <v>72</v>
      </c>
      <c r="I260" s="1">
        <v>17068.8</v>
      </c>
      <c r="J260" s="1"/>
      <c r="K260" s="1"/>
      <c r="L260" s="1"/>
      <c r="M260" s="1" t="s">
        <v>1904</v>
      </c>
      <c r="N260" s="1" t="s">
        <v>109</v>
      </c>
      <c r="O260" s="1" t="s">
        <v>110</v>
      </c>
      <c r="P260" s="2" t="s">
        <v>1905</v>
      </c>
      <c r="Q260" s="1" t="s">
        <v>56</v>
      </c>
      <c r="R260" s="1"/>
      <c r="S260" s="1" t="s">
        <v>220</v>
      </c>
      <c r="T260" s="1">
        <v>3548500.0</v>
      </c>
      <c r="U260" s="1" t="s">
        <v>360</v>
      </c>
      <c r="V260" s="1" t="s">
        <v>139</v>
      </c>
      <c r="W260" s="1" t="s">
        <v>78</v>
      </c>
      <c r="X260" s="1"/>
      <c r="Y260" s="1"/>
      <c r="Z260" s="1" t="s">
        <v>112</v>
      </c>
      <c r="AA260" s="1" t="s">
        <v>893</v>
      </c>
      <c r="AB260" s="1" t="str">
        <f>"20334805000189"</f>
        <v>20334805000189</v>
      </c>
      <c r="AC260" s="1"/>
      <c r="AD260" s="1" t="s">
        <v>81</v>
      </c>
      <c r="AE260" s="1"/>
      <c r="AF260" s="1">
        <v>-46.305</v>
      </c>
      <c r="AG260" s="1">
        <v>-23.980278</v>
      </c>
      <c r="AH260" s="1" t="s">
        <v>1843</v>
      </c>
      <c r="AI260" s="1"/>
      <c r="AJ260" s="1" t="s">
        <v>142</v>
      </c>
      <c r="AK260" s="1"/>
      <c r="AL260" s="1"/>
      <c r="AM260" s="1" t="s">
        <v>65</v>
      </c>
      <c r="AN260" s="1" t="s">
        <v>274</v>
      </c>
      <c r="AO260" s="1"/>
      <c r="AP260" s="2" t="s">
        <v>1906</v>
      </c>
      <c r="AQ260" s="1"/>
      <c r="AR260" s="1" t="s">
        <v>115</v>
      </c>
      <c r="AS260" s="1" t="s">
        <v>1839</v>
      </c>
      <c r="AT260" s="2" t="s">
        <v>70</v>
      </c>
    </row>
    <row r="261">
      <c r="A261" s="1"/>
      <c r="B261" s="1" t="s">
        <v>46</v>
      </c>
      <c r="C261" s="1" t="s">
        <v>47</v>
      </c>
      <c r="D261" s="1"/>
      <c r="E261" s="1" t="s">
        <v>1907</v>
      </c>
      <c r="F261" s="1"/>
      <c r="G261" s="1" t="s">
        <v>49</v>
      </c>
      <c r="H261" s="1" t="s">
        <v>50</v>
      </c>
      <c r="I261" s="1">
        <v>1000000.0</v>
      </c>
      <c r="J261" s="1"/>
      <c r="K261" s="1" t="s">
        <v>92</v>
      </c>
      <c r="L261" s="1"/>
      <c r="M261" s="1" t="s">
        <v>1908</v>
      </c>
      <c r="N261" s="1" t="s">
        <v>53</v>
      </c>
      <c r="O261" s="1" t="s">
        <v>54</v>
      </c>
      <c r="P261" s="2" t="s">
        <v>1909</v>
      </c>
      <c r="Q261" s="1" t="s">
        <v>56</v>
      </c>
      <c r="R261" s="1"/>
      <c r="S261" s="1" t="s">
        <v>220</v>
      </c>
      <c r="T261" s="1">
        <v>3548500.0</v>
      </c>
      <c r="U261" s="1" t="s">
        <v>360</v>
      </c>
      <c r="V261" s="1" t="s">
        <v>139</v>
      </c>
      <c r="W261" s="1" t="s">
        <v>60</v>
      </c>
      <c r="X261" s="1"/>
      <c r="Y261" s="1"/>
      <c r="Z261" s="1"/>
      <c r="AA261" s="1" t="s">
        <v>1762</v>
      </c>
      <c r="AB261" s="1" t="str">
        <f>"33000167000101"</f>
        <v>33000167000101</v>
      </c>
      <c r="AC261" s="1"/>
      <c r="AD261" s="1" t="s">
        <v>62</v>
      </c>
      <c r="AE261" s="1"/>
      <c r="AF261" s="1">
        <v>-46.528611</v>
      </c>
      <c r="AG261" s="1">
        <v>-26.466389</v>
      </c>
      <c r="AH261" s="1" t="s">
        <v>1910</v>
      </c>
      <c r="AI261" s="1"/>
      <c r="AJ261" s="1" t="s">
        <v>1763</v>
      </c>
      <c r="AK261" s="1"/>
      <c r="AL261" s="1"/>
      <c r="AM261" s="1" t="s">
        <v>65</v>
      </c>
      <c r="AN261" s="1" t="s">
        <v>1743</v>
      </c>
      <c r="AO261" s="1"/>
      <c r="AP261" s="2" t="s">
        <v>1911</v>
      </c>
      <c r="AQ261" s="1"/>
      <c r="AR261" s="1" t="s">
        <v>1765</v>
      </c>
      <c r="AS261" s="1" t="s">
        <v>1912</v>
      </c>
      <c r="AT261" s="2" t="s">
        <v>70</v>
      </c>
    </row>
    <row r="262">
      <c r="A262" s="1"/>
      <c r="B262" s="1" t="s">
        <v>46</v>
      </c>
      <c r="C262" s="1" t="s">
        <v>47</v>
      </c>
      <c r="D262" s="1"/>
      <c r="E262" s="1" t="s">
        <v>1913</v>
      </c>
      <c r="F262" s="1"/>
      <c r="G262" s="1" t="s">
        <v>49</v>
      </c>
      <c r="H262" s="1" t="s">
        <v>50</v>
      </c>
      <c r="I262" s="1">
        <v>10700.0</v>
      </c>
      <c r="J262" s="1"/>
      <c r="K262" s="1" t="s">
        <v>51</v>
      </c>
      <c r="L262" s="1"/>
      <c r="M262" s="1" t="s">
        <v>1914</v>
      </c>
      <c r="N262" s="1" t="s">
        <v>74</v>
      </c>
      <c r="O262" s="1" t="s">
        <v>75</v>
      </c>
      <c r="P262" s="2" t="s">
        <v>1915</v>
      </c>
      <c r="Q262" s="1" t="s">
        <v>77</v>
      </c>
      <c r="R262" s="1"/>
      <c r="S262" s="1" t="s">
        <v>400</v>
      </c>
      <c r="T262" s="1">
        <v>4304671.0</v>
      </c>
      <c r="U262" s="1" t="s">
        <v>1755</v>
      </c>
      <c r="V262" s="1" t="s">
        <v>402</v>
      </c>
      <c r="W262" s="1" t="s">
        <v>60</v>
      </c>
      <c r="X262" s="1"/>
      <c r="Y262" s="1"/>
      <c r="Z262" s="1" t="s">
        <v>79</v>
      </c>
      <c r="AA262" s="1" t="s">
        <v>1916</v>
      </c>
      <c r="AB262" s="1" t="str">
        <f>"***535640**"</f>
        <v>***535640**</v>
      </c>
      <c r="AC262" s="1"/>
      <c r="AD262" s="1" t="s">
        <v>62</v>
      </c>
      <c r="AE262" s="1"/>
      <c r="AF262" s="1">
        <v>-50.519444</v>
      </c>
      <c r="AG262" s="1">
        <v>-30.146944</v>
      </c>
      <c r="AH262" s="1" t="s">
        <v>1917</v>
      </c>
      <c r="AI262" s="1"/>
      <c r="AJ262" s="1" t="s">
        <v>405</v>
      </c>
      <c r="AK262" s="1"/>
      <c r="AL262" s="1"/>
      <c r="AM262" s="1" t="s">
        <v>65</v>
      </c>
      <c r="AN262" s="1" t="s">
        <v>1044</v>
      </c>
      <c r="AO262" s="1"/>
      <c r="AP262" s="2" t="s">
        <v>1918</v>
      </c>
      <c r="AQ262" s="1"/>
      <c r="AR262" s="1" t="s">
        <v>1795</v>
      </c>
      <c r="AS262" s="1"/>
      <c r="AT262" s="2" t="s">
        <v>70</v>
      </c>
    </row>
    <row r="263">
      <c r="A263" s="1"/>
      <c r="B263" s="1" t="s">
        <v>46</v>
      </c>
      <c r="C263" s="1" t="s">
        <v>47</v>
      </c>
      <c r="D263" s="1"/>
      <c r="E263" s="1" t="s">
        <v>1919</v>
      </c>
      <c r="F263" s="1"/>
      <c r="G263" s="1" t="s">
        <v>49</v>
      </c>
      <c r="H263" s="1" t="s">
        <v>72</v>
      </c>
      <c r="I263" s="1">
        <v>17068.8</v>
      </c>
      <c r="J263" s="1"/>
      <c r="K263" s="1"/>
      <c r="L263" s="1"/>
      <c r="M263" s="1" t="s">
        <v>1920</v>
      </c>
      <c r="N263" s="1" t="s">
        <v>109</v>
      </c>
      <c r="O263" s="1" t="s">
        <v>110</v>
      </c>
      <c r="P263" s="2" t="s">
        <v>1921</v>
      </c>
      <c r="Q263" s="1" t="s">
        <v>56</v>
      </c>
      <c r="R263" s="1"/>
      <c r="S263" s="1" t="s">
        <v>220</v>
      </c>
      <c r="T263" s="1">
        <v>3548500.0</v>
      </c>
      <c r="U263" s="1" t="s">
        <v>360</v>
      </c>
      <c r="V263" s="1" t="s">
        <v>139</v>
      </c>
      <c r="W263" s="1" t="s">
        <v>78</v>
      </c>
      <c r="X263" s="1"/>
      <c r="Y263" s="1"/>
      <c r="Z263" s="1" t="s">
        <v>112</v>
      </c>
      <c r="AA263" s="1" t="s">
        <v>893</v>
      </c>
      <c r="AB263" s="1" t="str">
        <f>"20334805000189"</f>
        <v>20334805000189</v>
      </c>
      <c r="AC263" s="1"/>
      <c r="AD263" s="1" t="s">
        <v>81</v>
      </c>
      <c r="AE263" s="1"/>
      <c r="AF263" s="1">
        <v>-46.305</v>
      </c>
      <c r="AG263" s="1">
        <v>-23.980278</v>
      </c>
      <c r="AH263" s="1" t="s">
        <v>1922</v>
      </c>
      <c r="AI263" s="1"/>
      <c r="AJ263" s="1" t="s">
        <v>142</v>
      </c>
      <c r="AK263" s="1"/>
      <c r="AL263" s="1"/>
      <c r="AM263" s="1" t="s">
        <v>65</v>
      </c>
      <c r="AN263" s="1" t="s">
        <v>274</v>
      </c>
      <c r="AO263" s="1"/>
      <c r="AP263" s="2" t="s">
        <v>1923</v>
      </c>
      <c r="AQ263" s="1"/>
      <c r="AR263" s="1" t="s">
        <v>115</v>
      </c>
      <c r="AS263" s="1" t="s">
        <v>1839</v>
      </c>
      <c r="AT263" s="2" t="s">
        <v>70</v>
      </c>
    </row>
    <row r="264">
      <c r="A264" s="1"/>
      <c r="B264" s="1" t="s">
        <v>46</v>
      </c>
      <c r="C264" s="1" t="s">
        <v>571</v>
      </c>
      <c r="D264" s="1" t="s">
        <v>116</v>
      </c>
      <c r="E264" s="1" t="s">
        <v>1924</v>
      </c>
      <c r="F264" s="1"/>
      <c r="G264" s="1" t="s">
        <v>49</v>
      </c>
      <c r="H264" s="1" t="s">
        <v>72</v>
      </c>
      <c r="I264" s="1">
        <v>8404.2</v>
      </c>
      <c r="J264" s="1"/>
      <c r="K264" s="1"/>
      <c r="L264" s="1"/>
      <c r="M264" s="1"/>
      <c r="N264" s="1" t="s">
        <v>109</v>
      </c>
      <c r="O264" s="1" t="s">
        <v>110</v>
      </c>
      <c r="P264" s="2" t="s">
        <v>1925</v>
      </c>
      <c r="Q264" s="1" t="s">
        <v>56</v>
      </c>
      <c r="R264" s="1"/>
      <c r="S264" s="1" t="s">
        <v>582</v>
      </c>
      <c r="T264" s="1">
        <v>1400100.0</v>
      </c>
      <c r="U264" s="1" t="s">
        <v>1123</v>
      </c>
      <c r="V264" s="1" t="s">
        <v>584</v>
      </c>
      <c r="W264" s="1" t="s">
        <v>100</v>
      </c>
      <c r="X264" s="1"/>
      <c r="Y264" s="1"/>
      <c r="Z264" s="1" t="s">
        <v>112</v>
      </c>
      <c r="AA264" s="1" t="s">
        <v>1926</v>
      </c>
      <c r="AB264" s="1" t="str">
        <f>"26452626000122"</f>
        <v>26452626000122</v>
      </c>
      <c r="AC264" s="1"/>
      <c r="AD264" s="1" t="s">
        <v>81</v>
      </c>
      <c r="AE264" s="1"/>
      <c r="AF264" s="1">
        <v>-60.75</v>
      </c>
      <c r="AG264" s="1">
        <v>2.843333</v>
      </c>
      <c r="AH264" s="1" t="s">
        <v>1927</v>
      </c>
      <c r="AI264" s="1"/>
      <c r="AJ264" s="1" t="s">
        <v>587</v>
      </c>
      <c r="AK264" s="1"/>
      <c r="AL264" s="1"/>
      <c r="AM264" s="1" t="s">
        <v>65</v>
      </c>
      <c r="AN264" s="1"/>
      <c r="AO264" s="1"/>
      <c r="AP264" s="2" t="s">
        <v>1928</v>
      </c>
      <c r="AQ264" s="1"/>
      <c r="AR264" s="1" t="s">
        <v>115</v>
      </c>
      <c r="AS264" s="1" t="s">
        <v>1735</v>
      </c>
      <c r="AT264" s="2" t="s">
        <v>70</v>
      </c>
    </row>
    <row r="265">
      <c r="A265" s="1">
        <v>2043560.0</v>
      </c>
      <c r="B265" s="1" t="s">
        <v>116</v>
      </c>
      <c r="C265" s="1" t="s">
        <v>117</v>
      </c>
      <c r="D265" s="1" t="s">
        <v>46</v>
      </c>
      <c r="E265" s="1" t="s">
        <v>1929</v>
      </c>
      <c r="F265" s="1"/>
      <c r="G265" s="1" t="s">
        <v>119</v>
      </c>
      <c r="H265" s="1" t="s">
        <v>50</v>
      </c>
      <c r="I265" s="1">
        <v>1000.0</v>
      </c>
      <c r="J265" s="1"/>
      <c r="K265" s="1"/>
      <c r="L265" s="1" t="s">
        <v>226</v>
      </c>
      <c r="M265" s="1" t="s">
        <v>1490</v>
      </c>
      <c r="N265" s="1" t="s">
        <v>257</v>
      </c>
      <c r="O265" s="1" t="s">
        <v>258</v>
      </c>
      <c r="P265" s="2" t="s">
        <v>1930</v>
      </c>
      <c r="Q265" s="1" t="s">
        <v>56</v>
      </c>
      <c r="R265" s="1"/>
      <c r="S265" s="1" t="s">
        <v>784</v>
      </c>
      <c r="T265" s="1">
        <v>4204202.0</v>
      </c>
      <c r="U265" s="1" t="s">
        <v>1492</v>
      </c>
      <c r="V265" s="1" t="s">
        <v>222</v>
      </c>
      <c r="W265" s="1" t="s">
        <v>78</v>
      </c>
      <c r="X265" s="1"/>
      <c r="Y265" s="1" t="str">
        <f>"02026000472202132"</f>
        <v>02026000472202132</v>
      </c>
      <c r="Z265" s="1" t="s">
        <v>260</v>
      </c>
      <c r="AA265" s="1" t="s">
        <v>1931</v>
      </c>
      <c r="AB265" s="1" t="str">
        <f>"***921049**"</f>
        <v>***921049**</v>
      </c>
      <c r="AC265" s="1"/>
      <c r="AD265" s="1"/>
      <c r="AE265" s="1"/>
      <c r="AF265" s="1">
        <v>-52.611111</v>
      </c>
      <c r="AG265" s="1">
        <v>-27.1</v>
      </c>
      <c r="AH265" s="1" t="s">
        <v>1494</v>
      </c>
      <c r="AI265" s="1"/>
      <c r="AJ265" s="1" t="s">
        <v>226</v>
      </c>
      <c r="AK265" s="1"/>
      <c r="AL265" s="1" t="s">
        <v>128</v>
      </c>
      <c r="AM265" s="1" t="s">
        <v>65</v>
      </c>
      <c r="AN265" s="1" t="s">
        <v>788</v>
      </c>
      <c r="AO265" s="2" t="s">
        <v>1371</v>
      </c>
      <c r="AP265" s="2" t="s">
        <v>1932</v>
      </c>
      <c r="AQ265" s="1" t="s">
        <v>132</v>
      </c>
      <c r="AR265" s="1" t="s">
        <v>693</v>
      </c>
      <c r="AS265" s="1" t="s">
        <v>1933</v>
      </c>
      <c r="AT265" s="2" t="s">
        <v>70</v>
      </c>
    </row>
    <row r="266">
      <c r="A266" s="1">
        <v>2043561.0</v>
      </c>
      <c r="B266" s="1" t="s">
        <v>116</v>
      </c>
      <c r="C266" s="1" t="s">
        <v>117</v>
      </c>
      <c r="D266" s="1" t="s">
        <v>46</v>
      </c>
      <c r="E266" s="1" t="s">
        <v>1934</v>
      </c>
      <c r="F266" s="1"/>
      <c r="G266" s="1" t="s">
        <v>119</v>
      </c>
      <c r="H266" s="1" t="s">
        <v>50</v>
      </c>
      <c r="I266" s="1">
        <v>1000.0</v>
      </c>
      <c r="J266" s="1"/>
      <c r="K266" s="1"/>
      <c r="L266" s="1" t="s">
        <v>226</v>
      </c>
      <c r="M266" s="1" t="s">
        <v>1490</v>
      </c>
      <c r="N266" s="1" t="s">
        <v>257</v>
      </c>
      <c r="O266" s="1" t="s">
        <v>258</v>
      </c>
      <c r="P266" s="2" t="s">
        <v>1930</v>
      </c>
      <c r="Q266" s="1" t="s">
        <v>56</v>
      </c>
      <c r="R266" s="1"/>
      <c r="S266" s="1" t="s">
        <v>784</v>
      </c>
      <c r="T266" s="1">
        <v>4204202.0</v>
      </c>
      <c r="U266" s="1" t="s">
        <v>1492</v>
      </c>
      <c r="V266" s="1" t="s">
        <v>222</v>
      </c>
      <c r="W266" s="1" t="s">
        <v>78</v>
      </c>
      <c r="X266" s="1"/>
      <c r="Y266" s="1" t="str">
        <f>"02026000473202187"</f>
        <v>02026000473202187</v>
      </c>
      <c r="Z266" s="1" t="s">
        <v>260</v>
      </c>
      <c r="AA266" s="1" t="s">
        <v>1935</v>
      </c>
      <c r="AB266" s="1" t="str">
        <f>"***527359**"</f>
        <v>***527359**</v>
      </c>
      <c r="AC266" s="1"/>
      <c r="AD266" s="1"/>
      <c r="AE266" s="1"/>
      <c r="AF266" s="1">
        <v>-52.611111</v>
      </c>
      <c r="AG266" s="1">
        <v>-27.1</v>
      </c>
      <c r="AH266" s="1" t="s">
        <v>1494</v>
      </c>
      <c r="AI266" s="1"/>
      <c r="AJ266" s="1" t="s">
        <v>226</v>
      </c>
      <c r="AK266" s="1"/>
      <c r="AL266" s="1" t="s">
        <v>128</v>
      </c>
      <c r="AM266" s="1" t="s">
        <v>65</v>
      </c>
      <c r="AN266" s="1" t="s">
        <v>788</v>
      </c>
      <c r="AO266" s="2" t="s">
        <v>1371</v>
      </c>
      <c r="AP266" s="2" t="s">
        <v>1936</v>
      </c>
      <c r="AQ266" s="1" t="s">
        <v>132</v>
      </c>
      <c r="AR266" s="1" t="s">
        <v>693</v>
      </c>
      <c r="AS266" s="1" t="s">
        <v>1933</v>
      </c>
      <c r="AT266" s="2" t="s">
        <v>70</v>
      </c>
    </row>
    <row r="267">
      <c r="A267" s="1">
        <v>2043570.0</v>
      </c>
      <c r="B267" s="1" t="s">
        <v>116</v>
      </c>
      <c r="C267" s="1" t="s">
        <v>117</v>
      </c>
      <c r="D267" s="1" t="s">
        <v>46</v>
      </c>
      <c r="E267" s="1" t="s">
        <v>1937</v>
      </c>
      <c r="F267" s="1"/>
      <c r="G267" s="1" t="s">
        <v>119</v>
      </c>
      <c r="H267" s="1" t="s">
        <v>50</v>
      </c>
      <c r="I267" s="1">
        <v>1000.0</v>
      </c>
      <c r="J267" s="1"/>
      <c r="K267" s="1"/>
      <c r="L267" s="1" t="s">
        <v>226</v>
      </c>
      <c r="M267" s="1" t="s">
        <v>1490</v>
      </c>
      <c r="N267" s="1" t="s">
        <v>257</v>
      </c>
      <c r="O267" s="1" t="s">
        <v>258</v>
      </c>
      <c r="P267" s="2" t="s">
        <v>1930</v>
      </c>
      <c r="Q267" s="1" t="s">
        <v>56</v>
      </c>
      <c r="R267" s="1"/>
      <c r="S267" s="1" t="s">
        <v>784</v>
      </c>
      <c r="T267" s="1">
        <v>4204202.0</v>
      </c>
      <c r="U267" s="1" t="s">
        <v>1492</v>
      </c>
      <c r="V267" s="1" t="s">
        <v>222</v>
      </c>
      <c r="W267" s="1" t="s">
        <v>78</v>
      </c>
      <c r="X267" s="1"/>
      <c r="Y267" s="1" t="str">
        <f>"02026000481202123"</f>
        <v>02026000481202123</v>
      </c>
      <c r="Z267" s="1" t="s">
        <v>260</v>
      </c>
      <c r="AA267" s="1" t="s">
        <v>1938</v>
      </c>
      <c r="AB267" s="1" t="str">
        <f>"***721709**"</f>
        <v>***721709**</v>
      </c>
      <c r="AC267" s="1"/>
      <c r="AD267" s="1"/>
      <c r="AE267" s="1"/>
      <c r="AF267" s="1">
        <v>-52.611111</v>
      </c>
      <c r="AG267" s="1">
        <v>-27.1</v>
      </c>
      <c r="AH267" s="1" t="s">
        <v>1494</v>
      </c>
      <c r="AI267" s="1"/>
      <c r="AJ267" s="1" t="s">
        <v>226</v>
      </c>
      <c r="AK267" s="1"/>
      <c r="AL267" s="1" t="s">
        <v>128</v>
      </c>
      <c r="AM267" s="1" t="s">
        <v>65</v>
      </c>
      <c r="AN267" s="1" t="s">
        <v>788</v>
      </c>
      <c r="AO267" s="2" t="s">
        <v>1371</v>
      </c>
      <c r="AP267" s="2" t="s">
        <v>1939</v>
      </c>
      <c r="AQ267" s="1" t="s">
        <v>132</v>
      </c>
      <c r="AR267" s="1" t="s">
        <v>693</v>
      </c>
      <c r="AS267" s="1" t="s">
        <v>1933</v>
      </c>
      <c r="AT267" s="2" t="s">
        <v>70</v>
      </c>
    </row>
    <row r="268">
      <c r="A268" s="1">
        <v>2043667.0</v>
      </c>
      <c r="B268" s="1" t="s">
        <v>116</v>
      </c>
      <c r="C268" s="1" t="s">
        <v>117</v>
      </c>
      <c r="D268" s="1" t="s">
        <v>46</v>
      </c>
      <c r="E268" s="1" t="s">
        <v>1940</v>
      </c>
      <c r="F268" s="1"/>
      <c r="G268" s="1" t="s">
        <v>119</v>
      </c>
      <c r="H268" s="1" t="s">
        <v>72</v>
      </c>
      <c r="I268" s="1">
        <v>6060.0</v>
      </c>
      <c r="J268" s="1"/>
      <c r="K268" s="1"/>
      <c r="L268" s="1" t="s">
        <v>587</v>
      </c>
      <c r="M268" s="1" t="s">
        <v>1941</v>
      </c>
      <c r="N268" s="1" t="s">
        <v>109</v>
      </c>
      <c r="O268" s="1" t="s">
        <v>110</v>
      </c>
      <c r="P268" s="2" t="s">
        <v>1930</v>
      </c>
      <c r="Q268" s="1" t="s">
        <v>56</v>
      </c>
      <c r="R268" s="1"/>
      <c r="S268" s="1" t="s">
        <v>582</v>
      </c>
      <c r="T268" s="1">
        <v>1400100.0</v>
      </c>
      <c r="U268" s="1" t="s">
        <v>1123</v>
      </c>
      <c r="V268" s="1" t="s">
        <v>584</v>
      </c>
      <c r="W268" s="1" t="s">
        <v>100</v>
      </c>
      <c r="X268" s="1"/>
      <c r="Y268" s="1" t="str">
        <f>"02025000180202118"</f>
        <v>02025000180202118</v>
      </c>
      <c r="Z268" s="1" t="s">
        <v>112</v>
      </c>
      <c r="AA268" s="1" t="s">
        <v>1731</v>
      </c>
      <c r="AB268" s="1" t="str">
        <f>"26452626000122"</f>
        <v>26452626000122</v>
      </c>
      <c r="AC268" s="1"/>
      <c r="AD268" s="1"/>
      <c r="AE268" s="1"/>
      <c r="AF268" s="1">
        <v>-60.75</v>
      </c>
      <c r="AG268" s="1">
        <v>2.843333</v>
      </c>
      <c r="AH268" s="1" t="s">
        <v>1942</v>
      </c>
      <c r="AI268" s="1"/>
      <c r="AJ268" s="1" t="s">
        <v>587</v>
      </c>
      <c r="AK268" s="1"/>
      <c r="AL268" s="1" t="s">
        <v>128</v>
      </c>
      <c r="AM268" s="1" t="s">
        <v>65</v>
      </c>
      <c r="AN268" s="1"/>
      <c r="AO268" s="2" t="s">
        <v>1733</v>
      </c>
      <c r="AP268" s="2" t="s">
        <v>1943</v>
      </c>
      <c r="AQ268" s="1" t="s">
        <v>132</v>
      </c>
      <c r="AR268" s="1" t="s">
        <v>133</v>
      </c>
      <c r="AS268" s="1" t="s">
        <v>1944</v>
      </c>
      <c r="AT268" s="2" t="s">
        <v>70</v>
      </c>
    </row>
    <row r="269">
      <c r="A269" s="1">
        <v>2043839.0</v>
      </c>
      <c r="B269" s="1" t="s">
        <v>116</v>
      </c>
      <c r="C269" s="1" t="s">
        <v>117</v>
      </c>
      <c r="D269" s="1" t="s">
        <v>46</v>
      </c>
      <c r="E269" s="1" t="s">
        <v>1945</v>
      </c>
      <c r="F269" s="1"/>
      <c r="G269" s="1" t="s">
        <v>119</v>
      </c>
      <c r="H269" s="1" t="s">
        <v>50</v>
      </c>
      <c r="I269" s="1">
        <v>73200.0</v>
      </c>
      <c r="J269" s="1"/>
      <c r="K269" s="1"/>
      <c r="L269" s="1" t="s">
        <v>405</v>
      </c>
      <c r="M269" s="1" t="s">
        <v>1946</v>
      </c>
      <c r="N269" s="1" t="s">
        <v>74</v>
      </c>
      <c r="O269" s="1" t="s">
        <v>75</v>
      </c>
      <c r="P269" s="2" t="s">
        <v>1930</v>
      </c>
      <c r="Q269" s="1" t="s">
        <v>77</v>
      </c>
      <c r="R269" s="2" t="s">
        <v>1749</v>
      </c>
      <c r="S269" s="1" t="s">
        <v>400</v>
      </c>
      <c r="T269" s="1">
        <v>4306767.0</v>
      </c>
      <c r="U269" s="1" t="s">
        <v>1947</v>
      </c>
      <c r="V269" s="1" t="s">
        <v>402</v>
      </c>
      <c r="W269" s="1" t="s">
        <v>78</v>
      </c>
      <c r="X269" s="1"/>
      <c r="Y269" s="1"/>
      <c r="Z269" s="1" t="s">
        <v>79</v>
      </c>
      <c r="AA269" s="1" t="s">
        <v>1948</v>
      </c>
      <c r="AB269" s="1" t="str">
        <f>"***551809**"</f>
        <v>***551809**</v>
      </c>
      <c r="AC269" s="1"/>
      <c r="AD269" s="1"/>
      <c r="AE269" s="1"/>
      <c r="AF269" s="1">
        <v>-51.3275</v>
      </c>
      <c r="AG269" s="1">
        <v>-30.036111</v>
      </c>
      <c r="AH269" s="1" t="s">
        <v>1949</v>
      </c>
      <c r="AI269" s="1"/>
      <c r="AJ269" s="1" t="s">
        <v>405</v>
      </c>
      <c r="AK269" s="1"/>
      <c r="AL269" s="1" t="s">
        <v>128</v>
      </c>
      <c r="AM269" s="1" t="s">
        <v>65</v>
      </c>
      <c r="AN269" s="1" t="s">
        <v>1044</v>
      </c>
      <c r="AO269" s="2" t="s">
        <v>245</v>
      </c>
      <c r="AP269" s="2" t="s">
        <v>1950</v>
      </c>
      <c r="AQ269" s="1" t="s">
        <v>132</v>
      </c>
      <c r="AR269" s="1" t="s">
        <v>1046</v>
      </c>
      <c r="AS269" s="1" t="s">
        <v>408</v>
      </c>
      <c r="AT269" s="2" t="s">
        <v>70</v>
      </c>
    </row>
    <row r="270">
      <c r="A270" s="1"/>
      <c r="B270" s="1" t="s">
        <v>46</v>
      </c>
      <c r="C270" s="1" t="s">
        <v>47</v>
      </c>
      <c r="D270" s="1"/>
      <c r="E270" s="1" t="s">
        <v>1951</v>
      </c>
      <c r="F270" s="1"/>
      <c r="G270" s="1" t="s">
        <v>49</v>
      </c>
      <c r="H270" s="1" t="s">
        <v>50</v>
      </c>
      <c r="I270" s="1">
        <v>8200.0</v>
      </c>
      <c r="J270" s="1"/>
      <c r="K270" s="1" t="s">
        <v>51</v>
      </c>
      <c r="L270" s="1"/>
      <c r="M270" s="1" t="s">
        <v>1952</v>
      </c>
      <c r="N270" s="1" t="s">
        <v>74</v>
      </c>
      <c r="O270" s="1" t="s">
        <v>75</v>
      </c>
      <c r="P270" s="2" t="s">
        <v>1953</v>
      </c>
      <c r="Q270" s="1" t="s">
        <v>77</v>
      </c>
      <c r="R270" s="1"/>
      <c r="S270" s="1" t="s">
        <v>400</v>
      </c>
      <c r="T270" s="1">
        <v>4304671.0</v>
      </c>
      <c r="U270" s="1" t="s">
        <v>1755</v>
      </c>
      <c r="V270" s="1" t="s">
        <v>402</v>
      </c>
      <c r="W270" s="1" t="s">
        <v>60</v>
      </c>
      <c r="X270" s="1"/>
      <c r="Y270" s="1"/>
      <c r="Z270" s="1" t="s">
        <v>79</v>
      </c>
      <c r="AA270" s="1" t="s">
        <v>1954</v>
      </c>
      <c r="AB270" s="1" t="str">
        <f>"***067230**"</f>
        <v>***067230**</v>
      </c>
      <c r="AC270" s="1"/>
      <c r="AD270" s="1" t="s">
        <v>81</v>
      </c>
      <c r="AE270" s="1"/>
      <c r="AF270" s="1">
        <v>-50.519444</v>
      </c>
      <c r="AG270" s="1">
        <v>-30.146944</v>
      </c>
      <c r="AH270" s="1" t="s">
        <v>1955</v>
      </c>
      <c r="AI270" s="1"/>
      <c r="AJ270" s="1" t="s">
        <v>405</v>
      </c>
      <c r="AK270" s="1"/>
      <c r="AL270" s="1"/>
      <c r="AM270" s="1" t="s">
        <v>65</v>
      </c>
      <c r="AN270" s="1" t="s">
        <v>1044</v>
      </c>
      <c r="AO270" s="1"/>
      <c r="AP270" s="2" t="s">
        <v>1956</v>
      </c>
      <c r="AQ270" s="1"/>
      <c r="AR270" s="1" t="s">
        <v>1795</v>
      </c>
      <c r="AS270" s="1"/>
      <c r="AT270" s="2" t="s">
        <v>70</v>
      </c>
    </row>
    <row r="271">
      <c r="A271" s="1">
        <v>2043565.0</v>
      </c>
      <c r="B271" s="1" t="s">
        <v>116</v>
      </c>
      <c r="C271" s="1" t="s">
        <v>117</v>
      </c>
      <c r="D271" s="1" t="s">
        <v>46</v>
      </c>
      <c r="E271" s="1" t="s">
        <v>1957</v>
      </c>
      <c r="F271" s="1"/>
      <c r="G271" s="1" t="s">
        <v>119</v>
      </c>
      <c r="H271" s="1" t="s">
        <v>50</v>
      </c>
      <c r="I271" s="1">
        <v>1000.0</v>
      </c>
      <c r="J271" s="1"/>
      <c r="K271" s="1"/>
      <c r="L271" s="1" t="s">
        <v>226</v>
      </c>
      <c r="M271" s="1" t="s">
        <v>1490</v>
      </c>
      <c r="N271" s="1" t="s">
        <v>257</v>
      </c>
      <c r="O271" s="1" t="s">
        <v>258</v>
      </c>
      <c r="P271" s="2" t="s">
        <v>1958</v>
      </c>
      <c r="Q271" s="1" t="s">
        <v>56</v>
      </c>
      <c r="R271" s="1"/>
      <c r="S271" s="1" t="s">
        <v>784</v>
      </c>
      <c r="T271" s="1">
        <v>4204202.0</v>
      </c>
      <c r="U271" s="1" t="s">
        <v>1492</v>
      </c>
      <c r="V271" s="1" t="s">
        <v>222</v>
      </c>
      <c r="W271" s="1" t="s">
        <v>78</v>
      </c>
      <c r="X271" s="1"/>
      <c r="Y271" s="1" t="str">
        <f>"02026000476202111"</f>
        <v>02026000476202111</v>
      </c>
      <c r="Z271" s="1" t="s">
        <v>260</v>
      </c>
      <c r="AA271" s="1" t="s">
        <v>1959</v>
      </c>
      <c r="AB271" s="1" t="str">
        <f>"***707259**"</f>
        <v>***707259**</v>
      </c>
      <c r="AC271" s="1"/>
      <c r="AD271" s="1"/>
      <c r="AE271" s="1"/>
      <c r="AF271" s="1">
        <v>-52.611111</v>
      </c>
      <c r="AG271" s="1">
        <v>-27.100278</v>
      </c>
      <c r="AH271" s="1" t="s">
        <v>1960</v>
      </c>
      <c r="AI271" s="1"/>
      <c r="AJ271" s="1" t="s">
        <v>226</v>
      </c>
      <c r="AK271" s="1"/>
      <c r="AL271" s="1" t="s">
        <v>128</v>
      </c>
      <c r="AM271" s="1" t="s">
        <v>65</v>
      </c>
      <c r="AN271" s="1" t="s">
        <v>788</v>
      </c>
      <c r="AO271" s="2" t="s">
        <v>1371</v>
      </c>
      <c r="AP271" s="2" t="s">
        <v>1961</v>
      </c>
      <c r="AQ271" s="1" t="s">
        <v>132</v>
      </c>
      <c r="AR271" s="1" t="s">
        <v>693</v>
      </c>
      <c r="AS271" s="1" t="s">
        <v>1962</v>
      </c>
      <c r="AT271" s="2" t="s">
        <v>70</v>
      </c>
    </row>
    <row r="272">
      <c r="A272" s="1"/>
      <c r="B272" s="1" t="s">
        <v>46</v>
      </c>
      <c r="C272" s="1" t="s">
        <v>571</v>
      </c>
      <c r="D272" s="1" t="s">
        <v>116</v>
      </c>
      <c r="E272" s="1" t="s">
        <v>1963</v>
      </c>
      <c r="F272" s="1"/>
      <c r="G272" s="1" t="s">
        <v>49</v>
      </c>
      <c r="H272" s="1" t="s">
        <v>50</v>
      </c>
      <c r="I272" s="1">
        <v>1000.0</v>
      </c>
      <c r="J272" s="1"/>
      <c r="K272" s="1" t="s">
        <v>51</v>
      </c>
      <c r="L272" s="1"/>
      <c r="M272" s="1" t="s">
        <v>1490</v>
      </c>
      <c r="N272" s="1" t="s">
        <v>257</v>
      </c>
      <c r="O272" s="1" t="s">
        <v>258</v>
      </c>
      <c r="P272" s="2" t="s">
        <v>1964</v>
      </c>
      <c r="Q272" s="1" t="s">
        <v>56</v>
      </c>
      <c r="R272" s="1"/>
      <c r="S272" s="1" t="s">
        <v>784</v>
      </c>
      <c r="T272" s="1">
        <v>4204202.0</v>
      </c>
      <c r="U272" s="1" t="s">
        <v>1492</v>
      </c>
      <c r="V272" s="1" t="s">
        <v>222</v>
      </c>
      <c r="W272" s="1" t="s">
        <v>78</v>
      </c>
      <c r="X272" s="1"/>
      <c r="Y272" s="1"/>
      <c r="Z272" s="1" t="s">
        <v>260</v>
      </c>
      <c r="AA272" s="1" t="s">
        <v>1938</v>
      </c>
      <c r="AB272" s="1" t="str">
        <f>"***721709**"</f>
        <v>***721709**</v>
      </c>
      <c r="AC272" s="1"/>
      <c r="AD272" s="1" t="s">
        <v>62</v>
      </c>
      <c r="AE272" s="1"/>
      <c r="AF272" s="1">
        <v>-52.611111</v>
      </c>
      <c r="AG272" s="1">
        <v>-27.100278</v>
      </c>
      <c r="AH272" s="1" t="s">
        <v>1965</v>
      </c>
      <c r="AI272" s="1"/>
      <c r="AJ272" s="1" t="s">
        <v>226</v>
      </c>
      <c r="AK272" s="1"/>
      <c r="AL272" s="1"/>
      <c r="AM272" s="1" t="s">
        <v>65</v>
      </c>
      <c r="AN272" s="1" t="s">
        <v>788</v>
      </c>
      <c r="AO272" s="1"/>
      <c r="AP272" s="2" t="s">
        <v>1966</v>
      </c>
      <c r="AQ272" s="1"/>
      <c r="AR272" s="1" t="s">
        <v>318</v>
      </c>
      <c r="AS272" s="1" t="s">
        <v>1967</v>
      </c>
      <c r="AT272" s="2" t="s">
        <v>70</v>
      </c>
    </row>
    <row r="273">
      <c r="A273" s="1">
        <v>2043457.0</v>
      </c>
      <c r="B273" s="1" t="s">
        <v>116</v>
      </c>
      <c r="C273" s="1" t="s">
        <v>117</v>
      </c>
      <c r="D273" s="1" t="s">
        <v>46</v>
      </c>
      <c r="E273" s="1" t="s">
        <v>1968</v>
      </c>
      <c r="F273" s="1"/>
      <c r="G273" s="1" t="s">
        <v>119</v>
      </c>
      <c r="H273" s="1" t="s">
        <v>72</v>
      </c>
      <c r="I273" s="1">
        <v>12322.5</v>
      </c>
      <c r="J273" s="1"/>
      <c r="K273" s="1"/>
      <c r="L273" s="1" t="s">
        <v>1365</v>
      </c>
      <c r="M273" s="1" t="s">
        <v>1969</v>
      </c>
      <c r="N273" s="1" t="s">
        <v>109</v>
      </c>
      <c r="O273" s="1" t="s">
        <v>110</v>
      </c>
      <c r="P273" s="2" t="s">
        <v>1970</v>
      </c>
      <c r="Q273" s="1" t="s">
        <v>56</v>
      </c>
      <c r="R273" s="1"/>
      <c r="S273" s="1" t="s">
        <v>475</v>
      </c>
      <c r="T273" s="1">
        <v>3106200.0</v>
      </c>
      <c r="U273" s="1" t="s">
        <v>1441</v>
      </c>
      <c r="V273" s="1" t="s">
        <v>477</v>
      </c>
      <c r="W273" s="1" t="s">
        <v>78</v>
      </c>
      <c r="X273" s="1"/>
      <c r="Y273" s="1" t="str">
        <f>"02015000440202166"</f>
        <v>02015000440202166</v>
      </c>
      <c r="Z273" s="1" t="s">
        <v>112</v>
      </c>
      <c r="AA273" s="1" t="s">
        <v>1453</v>
      </c>
      <c r="AB273" s="1" t="str">
        <f>"18750612000167"</f>
        <v>18750612000167</v>
      </c>
      <c r="AC273" s="1"/>
      <c r="AD273" s="1"/>
      <c r="AE273" s="1"/>
      <c r="AF273" s="1">
        <v>-43.965833</v>
      </c>
      <c r="AG273" s="1">
        <v>-19.838139</v>
      </c>
      <c r="AH273" s="1" t="s">
        <v>1971</v>
      </c>
      <c r="AI273" s="1"/>
      <c r="AJ273" s="1" t="s">
        <v>1365</v>
      </c>
      <c r="AK273" s="1"/>
      <c r="AL273" s="1" t="s">
        <v>128</v>
      </c>
      <c r="AM273" s="1" t="s">
        <v>65</v>
      </c>
      <c r="AN273" s="1" t="s">
        <v>83</v>
      </c>
      <c r="AO273" s="2" t="s">
        <v>1972</v>
      </c>
      <c r="AP273" s="2" t="s">
        <v>1973</v>
      </c>
      <c r="AQ273" s="1" t="s">
        <v>132</v>
      </c>
      <c r="AR273" s="1" t="s">
        <v>1373</v>
      </c>
      <c r="AS273" s="1"/>
      <c r="AT273" s="2" t="s">
        <v>70</v>
      </c>
    </row>
    <row r="274">
      <c r="A274" s="1">
        <v>2043535.0</v>
      </c>
      <c r="B274" s="1" t="s">
        <v>116</v>
      </c>
      <c r="C274" s="1" t="s">
        <v>117</v>
      </c>
      <c r="D274" s="1" t="s">
        <v>46</v>
      </c>
      <c r="E274" s="1" t="s">
        <v>1974</v>
      </c>
      <c r="F274" s="1"/>
      <c r="G274" s="1" t="s">
        <v>119</v>
      </c>
      <c r="H274" s="1" t="s">
        <v>50</v>
      </c>
      <c r="I274" s="1">
        <v>1000.0</v>
      </c>
      <c r="J274" s="1"/>
      <c r="K274" s="1"/>
      <c r="L274" s="1" t="s">
        <v>226</v>
      </c>
      <c r="M274" s="1" t="s">
        <v>1490</v>
      </c>
      <c r="N274" s="1" t="s">
        <v>257</v>
      </c>
      <c r="O274" s="1" t="s">
        <v>258</v>
      </c>
      <c r="P274" s="2" t="s">
        <v>1970</v>
      </c>
      <c r="Q274" s="1" t="s">
        <v>56</v>
      </c>
      <c r="R274" s="1"/>
      <c r="S274" s="1" t="s">
        <v>784</v>
      </c>
      <c r="T274" s="1">
        <v>4204202.0</v>
      </c>
      <c r="U274" s="1" t="s">
        <v>1492</v>
      </c>
      <c r="V274" s="1" t="s">
        <v>222</v>
      </c>
      <c r="W274" s="1" t="s">
        <v>78</v>
      </c>
      <c r="X274" s="1"/>
      <c r="Y274" s="1" t="str">
        <f>"02026000453202114"</f>
        <v>02026000453202114</v>
      </c>
      <c r="Z274" s="1" t="s">
        <v>260</v>
      </c>
      <c r="AA274" s="1" t="s">
        <v>1975</v>
      </c>
      <c r="AB274" s="1" t="str">
        <f>"***077969**"</f>
        <v>***077969**</v>
      </c>
      <c r="AC274" s="1"/>
      <c r="AD274" s="1"/>
      <c r="AE274" s="1"/>
      <c r="AF274" s="1">
        <v>-52.610833</v>
      </c>
      <c r="AG274" s="1">
        <v>-27.100278</v>
      </c>
      <c r="AH274" s="1" t="s">
        <v>1811</v>
      </c>
      <c r="AI274" s="1"/>
      <c r="AJ274" s="1" t="s">
        <v>226</v>
      </c>
      <c r="AK274" s="1"/>
      <c r="AL274" s="1" t="s">
        <v>128</v>
      </c>
      <c r="AM274" s="1" t="s">
        <v>65</v>
      </c>
      <c r="AN274" s="1" t="s">
        <v>788</v>
      </c>
      <c r="AO274" s="2" t="s">
        <v>1643</v>
      </c>
      <c r="AP274" s="2" t="s">
        <v>1976</v>
      </c>
      <c r="AQ274" s="1" t="s">
        <v>132</v>
      </c>
      <c r="AR274" s="1" t="s">
        <v>693</v>
      </c>
      <c r="AS274" s="1" t="s">
        <v>1813</v>
      </c>
      <c r="AT274" s="2" t="s">
        <v>70</v>
      </c>
    </row>
    <row r="275">
      <c r="A275" s="1"/>
      <c r="B275" s="1" t="s">
        <v>46</v>
      </c>
      <c r="C275" s="1" t="s">
        <v>47</v>
      </c>
      <c r="D275" s="1"/>
      <c r="E275" s="1" t="s">
        <v>1977</v>
      </c>
      <c r="F275" s="1"/>
      <c r="G275" s="1" t="s">
        <v>49</v>
      </c>
      <c r="H275" s="1" t="s">
        <v>72</v>
      </c>
      <c r="I275" s="1">
        <v>17068.8</v>
      </c>
      <c r="J275" s="1"/>
      <c r="K275" s="1"/>
      <c r="L275" s="1"/>
      <c r="M275" s="1" t="s">
        <v>1978</v>
      </c>
      <c r="N275" s="1" t="s">
        <v>109</v>
      </c>
      <c r="O275" s="1" t="s">
        <v>110</v>
      </c>
      <c r="P275" s="2" t="s">
        <v>1979</v>
      </c>
      <c r="Q275" s="1" t="s">
        <v>56</v>
      </c>
      <c r="R275" s="1"/>
      <c r="S275" s="1" t="s">
        <v>220</v>
      </c>
      <c r="T275" s="1">
        <v>3548500.0</v>
      </c>
      <c r="U275" s="1" t="s">
        <v>360</v>
      </c>
      <c r="V275" s="1" t="s">
        <v>139</v>
      </c>
      <c r="W275" s="1" t="s">
        <v>78</v>
      </c>
      <c r="X275" s="1"/>
      <c r="Y275" s="1"/>
      <c r="Z275" s="1" t="s">
        <v>112</v>
      </c>
      <c r="AA275" s="1" t="s">
        <v>893</v>
      </c>
      <c r="AB275" s="1" t="str">
        <f>"20334805000189"</f>
        <v>20334805000189</v>
      </c>
      <c r="AC275" s="1"/>
      <c r="AD275" s="1" t="s">
        <v>81</v>
      </c>
      <c r="AE275" s="1"/>
      <c r="AF275" s="1">
        <v>-46.305</v>
      </c>
      <c r="AG275" s="1">
        <v>-23.980278</v>
      </c>
      <c r="AH275" s="1" t="s">
        <v>1980</v>
      </c>
      <c r="AI275" s="1"/>
      <c r="AJ275" s="1" t="s">
        <v>142</v>
      </c>
      <c r="AK275" s="1"/>
      <c r="AL275" s="1"/>
      <c r="AM275" s="1" t="s">
        <v>65</v>
      </c>
      <c r="AN275" s="1" t="s">
        <v>274</v>
      </c>
      <c r="AO275" s="1"/>
      <c r="AP275" s="2" t="s">
        <v>1981</v>
      </c>
      <c r="AQ275" s="1"/>
      <c r="AR275" s="1" t="s">
        <v>115</v>
      </c>
      <c r="AS275" s="1" t="s">
        <v>1982</v>
      </c>
      <c r="AT275" s="2" t="s">
        <v>70</v>
      </c>
    </row>
    <row r="276">
      <c r="A276" s="1">
        <v>2043649.0</v>
      </c>
      <c r="B276" s="1" t="s">
        <v>116</v>
      </c>
      <c r="C276" s="1" t="s">
        <v>117</v>
      </c>
      <c r="D276" s="1" t="s">
        <v>46</v>
      </c>
      <c r="E276" s="1" t="s">
        <v>1983</v>
      </c>
      <c r="F276" s="1"/>
      <c r="G276" s="1" t="s">
        <v>119</v>
      </c>
      <c r="H276" s="1" t="s">
        <v>50</v>
      </c>
      <c r="I276" s="1">
        <v>1100.0</v>
      </c>
      <c r="J276" s="1"/>
      <c r="K276" s="1"/>
      <c r="L276" s="1" t="s">
        <v>485</v>
      </c>
      <c r="M276" s="1" t="s">
        <v>1984</v>
      </c>
      <c r="N276" s="1" t="s">
        <v>285</v>
      </c>
      <c r="O276" s="1" t="s">
        <v>286</v>
      </c>
      <c r="P276" s="2" t="s">
        <v>1985</v>
      </c>
      <c r="Q276" s="1" t="s">
        <v>56</v>
      </c>
      <c r="R276" s="2" t="s">
        <v>1749</v>
      </c>
      <c r="S276" s="1" t="s">
        <v>488</v>
      </c>
      <c r="T276" s="1">
        <v>1711902.0</v>
      </c>
      <c r="U276" s="1" t="s">
        <v>1986</v>
      </c>
      <c r="V276" s="1" t="s">
        <v>490</v>
      </c>
      <c r="W276" s="1" t="s">
        <v>172</v>
      </c>
      <c r="X276" s="1"/>
      <c r="Y276" s="1" t="str">
        <f>"02029000169202118"</f>
        <v>02029000169202118</v>
      </c>
      <c r="Z276" s="1" t="s">
        <v>292</v>
      </c>
      <c r="AA276" s="1" t="s">
        <v>1987</v>
      </c>
      <c r="AB276" s="1" t="str">
        <f>"09443980000171"</f>
        <v>09443980000171</v>
      </c>
      <c r="AC276" s="1"/>
      <c r="AD276" s="1"/>
      <c r="AE276" s="1"/>
      <c r="AF276" s="1">
        <v>-48.332778</v>
      </c>
      <c r="AG276" s="1">
        <v>-10.208889</v>
      </c>
      <c r="AH276" s="1" t="s">
        <v>1988</v>
      </c>
      <c r="AI276" s="1"/>
      <c r="AJ276" s="1" t="s">
        <v>485</v>
      </c>
      <c r="AK276" s="1"/>
      <c r="AL276" s="1" t="s">
        <v>128</v>
      </c>
      <c r="AM276" s="1" t="s">
        <v>65</v>
      </c>
      <c r="AN276" s="1" t="s">
        <v>296</v>
      </c>
      <c r="AO276" s="2" t="s">
        <v>1205</v>
      </c>
      <c r="AP276" s="2" t="s">
        <v>1989</v>
      </c>
      <c r="AQ276" s="1" t="s">
        <v>132</v>
      </c>
      <c r="AR276" s="1" t="s">
        <v>531</v>
      </c>
      <c r="AS276" s="1"/>
      <c r="AT276" s="2" t="s">
        <v>70</v>
      </c>
    </row>
    <row r="277">
      <c r="A277" s="1"/>
      <c r="B277" s="1" t="s">
        <v>46</v>
      </c>
      <c r="C277" s="1" t="s">
        <v>47</v>
      </c>
      <c r="D277" s="1"/>
      <c r="E277" s="1" t="s">
        <v>1990</v>
      </c>
      <c r="F277" s="1"/>
      <c r="G277" s="1" t="s">
        <v>49</v>
      </c>
      <c r="H277" s="1" t="s">
        <v>72</v>
      </c>
      <c r="I277" s="1">
        <v>16623.0</v>
      </c>
      <c r="J277" s="1"/>
      <c r="K277" s="1"/>
      <c r="L277" s="1"/>
      <c r="M277" s="1" t="s">
        <v>1991</v>
      </c>
      <c r="N277" s="1" t="s">
        <v>109</v>
      </c>
      <c r="O277" s="1" t="s">
        <v>110</v>
      </c>
      <c r="P277" s="2" t="s">
        <v>1992</v>
      </c>
      <c r="Q277" s="1" t="s">
        <v>56</v>
      </c>
      <c r="R277" s="1"/>
      <c r="S277" s="1" t="s">
        <v>220</v>
      </c>
      <c r="T277" s="1">
        <v>3548500.0</v>
      </c>
      <c r="U277" s="1" t="s">
        <v>360</v>
      </c>
      <c r="V277" s="1" t="s">
        <v>139</v>
      </c>
      <c r="W277" s="1" t="s">
        <v>78</v>
      </c>
      <c r="X277" s="1"/>
      <c r="Y277" s="1"/>
      <c r="Z277" s="1" t="s">
        <v>112</v>
      </c>
      <c r="AA277" s="1" t="s">
        <v>893</v>
      </c>
      <c r="AB277" s="1" t="str">
        <f>"20334805000189"</f>
        <v>20334805000189</v>
      </c>
      <c r="AC277" s="1"/>
      <c r="AD277" s="1" t="s">
        <v>81</v>
      </c>
      <c r="AE277" s="1"/>
      <c r="AF277" s="1">
        <v>-46.305</v>
      </c>
      <c r="AG277" s="1">
        <v>-23.980278</v>
      </c>
      <c r="AH277" s="1" t="s">
        <v>1993</v>
      </c>
      <c r="AI277" s="1"/>
      <c r="AJ277" s="1" t="s">
        <v>142</v>
      </c>
      <c r="AK277" s="1"/>
      <c r="AL277" s="1"/>
      <c r="AM277" s="1" t="s">
        <v>65</v>
      </c>
      <c r="AN277" s="1" t="s">
        <v>274</v>
      </c>
      <c r="AO277" s="1"/>
      <c r="AP277" s="2" t="s">
        <v>1994</v>
      </c>
      <c r="AQ277" s="1"/>
      <c r="AR277" s="1" t="s">
        <v>115</v>
      </c>
      <c r="AS277" s="1" t="s">
        <v>1839</v>
      </c>
      <c r="AT277" s="2" t="s">
        <v>70</v>
      </c>
    </row>
    <row r="278">
      <c r="A278" s="1"/>
      <c r="B278" s="1" t="s">
        <v>46</v>
      </c>
      <c r="C278" s="1" t="s">
        <v>47</v>
      </c>
      <c r="D278" s="1"/>
      <c r="E278" s="1" t="s">
        <v>1995</v>
      </c>
      <c r="F278" s="1"/>
      <c r="G278" s="1" t="s">
        <v>49</v>
      </c>
      <c r="H278" s="1" t="s">
        <v>72</v>
      </c>
      <c r="I278" s="1">
        <v>12942.0</v>
      </c>
      <c r="J278" s="1"/>
      <c r="K278" s="1"/>
      <c r="L278" s="1"/>
      <c r="M278" s="1" t="s">
        <v>1996</v>
      </c>
      <c r="N278" s="1" t="s">
        <v>109</v>
      </c>
      <c r="O278" s="1" t="s">
        <v>110</v>
      </c>
      <c r="P278" s="2" t="s">
        <v>1997</v>
      </c>
      <c r="Q278" s="1" t="s">
        <v>56</v>
      </c>
      <c r="R278" s="2" t="s">
        <v>1064</v>
      </c>
      <c r="S278" s="1" t="s">
        <v>447</v>
      </c>
      <c r="T278" s="1">
        <v>2100600.0</v>
      </c>
      <c r="U278" s="1" t="s">
        <v>1998</v>
      </c>
      <c r="V278" s="1" t="s">
        <v>449</v>
      </c>
      <c r="W278" s="1" t="s">
        <v>100</v>
      </c>
      <c r="X278" s="1"/>
      <c r="Y278" s="1"/>
      <c r="Z278" s="1" t="s">
        <v>112</v>
      </c>
      <c r="AA278" s="1" t="s">
        <v>1999</v>
      </c>
      <c r="AB278" s="1" t="str">
        <f>"***418463**"</f>
        <v>***418463**</v>
      </c>
      <c r="AC278" s="1"/>
      <c r="AD278" s="1" t="s">
        <v>81</v>
      </c>
      <c r="AE278" s="1"/>
      <c r="AF278" s="1">
        <v>-46.798167</v>
      </c>
      <c r="AG278" s="1">
        <v>-5.057917</v>
      </c>
      <c r="AH278" s="1" t="s">
        <v>2000</v>
      </c>
      <c r="AI278" s="1"/>
      <c r="AJ278" s="1" t="s">
        <v>452</v>
      </c>
      <c r="AK278" s="1"/>
      <c r="AL278" s="1"/>
      <c r="AM278" s="1" t="s">
        <v>65</v>
      </c>
      <c r="AN278" s="1" t="s">
        <v>2001</v>
      </c>
      <c r="AO278" s="1"/>
      <c r="AP278" s="2" t="s">
        <v>2002</v>
      </c>
      <c r="AQ278" s="1"/>
      <c r="AR278" s="1" t="s">
        <v>2003</v>
      </c>
      <c r="AS278" s="1"/>
      <c r="AT278" s="2" t="s">
        <v>70</v>
      </c>
    </row>
    <row r="279">
      <c r="A279" s="1">
        <v>2043803.0</v>
      </c>
      <c r="B279" s="1" t="s">
        <v>116</v>
      </c>
      <c r="C279" s="1" t="s">
        <v>117</v>
      </c>
      <c r="D279" s="1" t="s">
        <v>46</v>
      </c>
      <c r="E279" s="1" t="s">
        <v>2004</v>
      </c>
      <c r="F279" s="1"/>
      <c r="G279" s="1" t="s">
        <v>119</v>
      </c>
      <c r="H279" s="1" t="s">
        <v>72</v>
      </c>
      <c r="I279" s="1">
        <v>5904.0</v>
      </c>
      <c r="J279" s="1"/>
      <c r="K279" s="1"/>
      <c r="L279" s="1" t="s">
        <v>175</v>
      </c>
      <c r="M279" s="1" t="s">
        <v>2005</v>
      </c>
      <c r="N279" s="1" t="s">
        <v>109</v>
      </c>
      <c r="O279" s="1" t="s">
        <v>110</v>
      </c>
      <c r="P279" s="2" t="s">
        <v>2006</v>
      </c>
      <c r="Q279" s="1" t="s">
        <v>137</v>
      </c>
      <c r="R279" s="1"/>
      <c r="S279" s="1" t="s">
        <v>220</v>
      </c>
      <c r="T279" s="1">
        <v>5201108.0</v>
      </c>
      <c r="U279" s="1" t="s">
        <v>2007</v>
      </c>
      <c r="V279" s="1" t="s">
        <v>171</v>
      </c>
      <c r="W279" s="1" t="s">
        <v>172</v>
      </c>
      <c r="X279" s="1"/>
      <c r="Y279" s="1" t="str">
        <f>"02010000308202102"</f>
        <v>02010000308202102</v>
      </c>
      <c r="Z279" s="1" t="s">
        <v>112</v>
      </c>
      <c r="AA279" s="1" t="s">
        <v>2008</v>
      </c>
      <c r="AB279" s="1" t="str">
        <f>"***428181**"</f>
        <v>***428181**</v>
      </c>
      <c r="AC279" s="1"/>
      <c r="AD279" s="1"/>
      <c r="AE279" s="1"/>
      <c r="AF279" s="1">
        <v>-48.943056</v>
      </c>
      <c r="AG279" s="1">
        <v>-16.306667</v>
      </c>
      <c r="AH279" s="1" t="s">
        <v>2009</v>
      </c>
      <c r="AI279" s="1"/>
      <c r="AJ279" s="1" t="s">
        <v>175</v>
      </c>
      <c r="AK279" s="1"/>
      <c r="AL279" s="1" t="s">
        <v>128</v>
      </c>
      <c r="AM279" s="1" t="s">
        <v>65</v>
      </c>
      <c r="AN279" s="1" t="s">
        <v>83</v>
      </c>
      <c r="AO279" s="2" t="s">
        <v>468</v>
      </c>
      <c r="AP279" s="2" t="s">
        <v>2010</v>
      </c>
      <c r="AQ279" s="1" t="s">
        <v>132</v>
      </c>
      <c r="AR279" s="1" t="s">
        <v>470</v>
      </c>
      <c r="AS279" s="1" t="s">
        <v>2011</v>
      </c>
      <c r="AT279" s="2" t="s">
        <v>70</v>
      </c>
    </row>
    <row r="280">
      <c r="A280" s="1">
        <v>2043862.0</v>
      </c>
      <c r="B280" s="1" t="s">
        <v>116</v>
      </c>
      <c r="C280" s="1" t="s">
        <v>117</v>
      </c>
      <c r="D280" s="1" t="s">
        <v>46</v>
      </c>
      <c r="E280" s="1" t="s">
        <v>2012</v>
      </c>
      <c r="F280" s="1"/>
      <c r="G280" s="1" t="s">
        <v>119</v>
      </c>
      <c r="H280" s="1" t="s">
        <v>72</v>
      </c>
      <c r="I280" s="1">
        <v>5706.0</v>
      </c>
      <c r="J280" s="1"/>
      <c r="K280" s="1"/>
      <c r="L280" s="1" t="s">
        <v>442</v>
      </c>
      <c r="M280" s="1" t="s">
        <v>2013</v>
      </c>
      <c r="N280" s="1" t="s">
        <v>109</v>
      </c>
      <c r="O280" s="1" t="s">
        <v>110</v>
      </c>
      <c r="P280" s="2" t="s">
        <v>2014</v>
      </c>
      <c r="Q280" s="1" t="s">
        <v>77</v>
      </c>
      <c r="R280" s="2" t="s">
        <v>2015</v>
      </c>
      <c r="S280" s="1" t="s">
        <v>437</v>
      </c>
      <c r="T280" s="1">
        <v>2303709.0</v>
      </c>
      <c r="U280" s="1" t="s">
        <v>438</v>
      </c>
      <c r="V280" s="1" t="s">
        <v>439</v>
      </c>
      <c r="W280" s="1" t="s">
        <v>100</v>
      </c>
      <c r="X280" s="1"/>
      <c r="Y280" s="1" t="str">
        <f>"02007000613202145"</f>
        <v>02007000613202145</v>
      </c>
      <c r="Z280" s="1" t="s">
        <v>112</v>
      </c>
      <c r="AA280" s="1" t="s">
        <v>2016</v>
      </c>
      <c r="AB280" s="1" t="str">
        <f>"35246800000171"</f>
        <v>35246800000171</v>
      </c>
      <c r="AC280" s="1"/>
      <c r="AD280" s="1"/>
      <c r="AE280" s="1"/>
      <c r="AF280" s="1">
        <v>-38.616389</v>
      </c>
      <c r="AG280" s="1">
        <v>-3.76</v>
      </c>
      <c r="AH280" s="1" t="s">
        <v>2017</v>
      </c>
      <c r="AI280" s="1"/>
      <c r="AJ280" s="1" t="s">
        <v>442</v>
      </c>
      <c r="AK280" s="1"/>
      <c r="AL280" s="1" t="s">
        <v>128</v>
      </c>
      <c r="AM280" s="1" t="s">
        <v>65</v>
      </c>
      <c r="AN280" s="1" t="s">
        <v>159</v>
      </c>
      <c r="AO280" s="2" t="s">
        <v>999</v>
      </c>
      <c r="AP280" s="2" t="s">
        <v>2018</v>
      </c>
      <c r="AQ280" s="1" t="s">
        <v>132</v>
      </c>
      <c r="AR280" s="1" t="s">
        <v>1236</v>
      </c>
      <c r="AS280" s="1"/>
      <c r="AT280" s="2" t="s">
        <v>70</v>
      </c>
    </row>
    <row r="281">
      <c r="A281" s="1"/>
      <c r="B281" s="1" t="s">
        <v>46</v>
      </c>
      <c r="C281" s="1" t="s">
        <v>47</v>
      </c>
      <c r="D281" s="1"/>
      <c r="E281" s="1" t="s">
        <v>2019</v>
      </c>
      <c r="F281" s="1"/>
      <c r="G281" s="1" t="s">
        <v>49</v>
      </c>
      <c r="H281" s="1" t="s">
        <v>50</v>
      </c>
      <c r="I281" s="1">
        <v>4500.0</v>
      </c>
      <c r="J281" s="1"/>
      <c r="K281" s="1" t="s">
        <v>51</v>
      </c>
      <c r="L281" s="1"/>
      <c r="M281" s="1" t="s">
        <v>2020</v>
      </c>
      <c r="N281" s="1" t="s">
        <v>109</v>
      </c>
      <c r="O281" s="1" t="s">
        <v>110</v>
      </c>
      <c r="P281" s="2" t="s">
        <v>2021</v>
      </c>
      <c r="Q281" s="1" t="s">
        <v>56</v>
      </c>
      <c r="R281" s="1"/>
      <c r="S281" s="1" t="s">
        <v>2022</v>
      </c>
      <c r="T281" s="1">
        <v>3300308.0</v>
      </c>
      <c r="U281" s="1" t="s">
        <v>2023</v>
      </c>
      <c r="V281" s="1" t="s">
        <v>1741</v>
      </c>
      <c r="W281" s="1" t="s">
        <v>78</v>
      </c>
      <c r="X281" s="1"/>
      <c r="Y281" s="1"/>
      <c r="Z281" s="1" t="s">
        <v>112</v>
      </c>
      <c r="AA281" s="1" t="s">
        <v>2024</v>
      </c>
      <c r="AB281" s="1" t="str">
        <f>"01417222000509"</f>
        <v>01417222000509</v>
      </c>
      <c r="AC281" s="1"/>
      <c r="AD281" s="1" t="s">
        <v>81</v>
      </c>
      <c r="AE281" s="1"/>
      <c r="AF281" s="1">
        <v>-47.861667</v>
      </c>
      <c r="AG281" s="1">
        <v>-15.766667</v>
      </c>
      <c r="AH281" s="1" t="s">
        <v>2025</v>
      </c>
      <c r="AI281" s="1"/>
      <c r="AJ281" s="1" t="s">
        <v>120</v>
      </c>
      <c r="AK281" s="1"/>
      <c r="AL281" s="1"/>
      <c r="AM281" s="1" t="s">
        <v>65</v>
      </c>
      <c r="AN281" s="1" t="s">
        <v>274</v>
      </c>
      <c r="AO281" s="1"/>
      <c r="AP281" s="2" t="s">
        <v>2026</v>
      </c>
      <c r="AQ281" s="1"/>
      <c r="AR281" s="1" t="s">
        <v>106</v>
      </c>
      <c r="AS281" s="1"/>
      <c r="AT281" s="2" t="s">
        <v>70</v>
      </c>
    </row>
    <row r="282">
      <c r="A282" s="1">
        <v>2043587.0</v>
      </c>
      <c r="B282" s="1" t="s">
        <v>116</v>
      </c>
      <c r="C282" s="1" t="s">
        <v>117</v>
      </c>
      <c r="D282" s="1" t="s">
        <v>46</v>
      </c>
      <c r="E282" s="1" t="s">
        <v>2027</v>
      </c>
      <c r="F282" s="1"/>
      <c r="G282" s="1" t="s">
        <v>119</v>
      </c>
      <c r="H282" s="1" t="s">
        <v>50</v>
      </c>
      <c r="I282" s="1">
        <v>10000.0</v>
      </c>
      <c r="J282" s="1"/>
      <c r="K282" s="1"/>
      <c r="L282" s="1" t="s">
        <v>442</v>
      </c>
      <c r="M282" s="1" t="s">
        <v>2028</v>
      </c>
      <c r="N282" s="1" t="s">
        <v>109</v>
      </c>
      <c r="O282" s="1" t="s">
        <v>110</v>
      </c>
      <c r="P282" s="2" t="s">
        <v>2029</v>
      </c>
      <c r="Q282" s="1" t="s">
        <v>56</v>
      </c>
      <c r="R282" s="2" t="s">
        <v>2015</v>
      </c>
      <c r="S282" s="1" t="s">
        <v>437</v>
      </c>
      <c r="T282" s="1">
        <v>2310209.0</v>
      </c>
      <c r="U282" s="1" t="s">
        <v>2030</v>
      </c>
      <c r="V282" s="1" t="s">
        <v>439</v>
      </c>
      <c r="W282" s="1" t="s">
        <v>60</v>
      </c>
      <c r="X282" s="1"/>
      <c r="Y282" s="1" t="str">
        <f>"02007000525202143"</f>
        <v>02007000525202143</v>
      </c>
      <c r="Z282" s="1" t="s">
        <v>112</v>
      </c>
      <c r="AA282" s="1" t="s">
        <v>2031</v>
      </c>
      <c r="AB282" s="1" t="str">
        <f>"***350547**"</f>
        <v>***350547**</v>
      </c>
      <c r="AC282" s="1"/>
      <c r="AD282" s="1"/>
      <c r="AE282" s="1"/>
      <c r="AF282" s="1">
        <v>-39.046667</v>
      </c>
      <c r="AG282" s="1">
        <v>-3.413056</v>
      </c>
      <c r="AH282" s="1" t="s">
        <v>2032</v>
      </c>
      <c r="AI282" s="1"/>
      <c r="AJ282" s="1" t="s">
        <v>442</v>
      </c>
      <c r="AK282" s="1"/>
      <c r="AL282" s="1" t="s">
        <v>128</v>
      </c>
      <c r="AM282" s="1" t="s">
        <v>65</v>
      </c>
      <c r="AN282" s="1" t="s">
        <v>159</v>
      </c>
      <c r="AO282" s="2" t="s">
        <v>1371</v>
      </c>
      <c r="AP282" s="2" t="s">
        <v>2033</v>
      </c>
      <c r="AQ282" s="1" t="s">
        <v>132</v>
      </c>
      <c r="AR282" s="1" t="s">
        <v>494</v>
      </c>
      <c r="AS282" s="1"/>
      <c r="AT282" s="2" t="s">
        <v>70</v>
      </c>
    </row>
    <row r="283">
      <c r="A283" s="1">
        <v>2043487.0</v>
      </c>
      <c r="B283" s="1" t="s">
        <v>116</v>
      </c>
      <c r="C283" s="1" t="s">
        <v>117</v>
      </c>
      <c r="D283" s="1" t="s">
        <v>46</v>
      </c>
      <c r="E283" s="1" t="s">
        <v>2034</v>
      </c>
      <c r="F283" s="1"/>
      <c r="G283" s="1" t="s">
        <v>119</v>
      </c>
      <c r="H283" s="1" t="s">
        <v>50</v>
      </c>
      <c r="I283" s="1">
        <v>11000.0</v>
      </c>
      <c r="J283" s="1"/>
      <c r="K283" s="1"/>
      <c r="L283" s="1" t="s">
        <v>64</v>
      </c>
      <c r="M283" s="1" t="s">
        <v>2035</v>
      </c>
      <c r="N283" s="1" t="s">
        <v>186</v>
      </c>
      <c r="O283" s="1" t="s">
        <v>95</v>
      </c>
      <c r="P283" s="2" t="s">
        <v>2036</v>
      </c>
      <c r="Q283" s="1" t="s">
        <v>56</v>
      </c>
      <c r="R283" s="2" t="s">
        <v>1749</v>
      </c>
      <c r="S283" s="1" t="s">
        <v>57</v>
      </c>
      <c r="T283" s="1">
        <v>3205309.0</v>
      </c>
      <c r="U283" s="1" t="s">
        <v>2037</v>
      </c>
      <c r="V283" s="1" t="s">
        <v>59</v>
      </c>
      <c r="W283" s="1" t="s">
        <v>78</v>
      </c>
      <c r="X283" s="1"/>
      <c r="Y283" s="1" t="str">
        <f>"02009000349202120"</f>
        <v>02009000349202120</v>
      </c>
      <c r="Z283" s="1" t="s">
        <v>101</v>
      </c>
      <c r="AA283" s="1" t="s">
        <v>2038</v>
      </c>
      <c r="AB283" s="1" t="str">
        <f>"01471586000135"</f>
        <v>01471586000135</v>
      </c>
      <c r="AC283" s="1"/>
      <c r="AD283" s="1"/>
      <c r="AE283" s="1"/>
      <c r="AF283" s="1">
        <v>-40.305</v>
      </c>
      <c r="AG283" s="1">
        <v>-20.316389</v>
      </c>
      <c r="AH283" s="1" t="s">
        <v>2039</v>
      </c>
      <c r="AI283" s="1"/>
      <c r="AJ283" s="1" t="s">
        <v>64</v>
      </c>
      <c r="AK283" s="1"/>
      <c r="AL283" s="1" t="s">
        <v>128</v>
      </c>
      <c r="AM283" s="1" t="s">
        <v>65</v>
      </c>
      <c r="AN283" s="1" t="s">
        <v>83</v>
      </c>
      <c r="AO283" s="2" t="s">
        <v>1972</v>
      </c>
      <c r="AP283" s="2" t="s">
        <v>2040</v>
      </c>
      <c r="AQ283" s="1" t="s">
        <v>132</v>
      </c>
      <c r="AR283" s="1" t="s">
        <v>494</v>
      </c>
      <c r="AS283" s="1"/>
      <c r="AT283" s="2" t="s">
        <v>70</v>
      </c>
    </row>
    <row r="284">
      <c r="A284" s="1">
        <v>2043559.0</v>
      </c>
      <c r="B284" s="1" t="s">
        <v>116</v>
      </c>
      <c r="C284" s="1" t="s">
        <v>117</v>
      </c>
      <c r="D284" s="1" t="s">
        <v>46</v>
      </c>
      <c r="E284" s="1" t="s">
        <v>2041</v>
      </c>
      <c r="F284" s="1"/>
      <c r="G284" s="1" t="s">
        <v>119</v>
      </c>
      <c r="H284" s="1" t="s">
        <v>50</v>
      </c>
      <c r="I284" s="1">
        <v>1000.0</v>
      </c>
      <c r="J284" s="1"/>
      <c r="K284" s="1"/>
      <c r="L284" s="1" t="s">
        <v>226</v>
      </c>
      <c r="M284" s="1" t="s">
        <v>1490</v>
      </c>
      <c r="N284" s="1" t="s">
        <v>257</v>
      </c>
      <c r="O284" s="1" t="s">
        <v>258</v>
      </c>
      <c r="P284" s="2" t="s">
        <v>2036</v>
      </c>
      <c r="Q284" s="1" t="s">
        <v>56</v>
      </c>
      <c r="R284" s="1"/>
      <c r="S284" s="1" t="s">
        <v>784</v>
      </c>
      <c r="T284" s="1">
        <v>4204202.0</v>
      </c>
      <c r="U284" s="1" t="s">
        <v>1492</v>
      </c>
      <c r="V284" s="1" t="s">
        <v>222</v>
      </c>
      <c r="W284" s="1" t="s">
        <v>78</v>
      </c>
      <c r="X284" s="1"/>
      <c r="Y284" s="1" t="str">
        <f>"02026000471202198"</f>
        <v>02026000471202198</v>
      </c>
      <c r="Z284" s="1" t="s">
        <v>260</v>
      </c>
      <c r="AA284" s="1" t="s">
        <v>2042</v>
      </c>
      <c r="AB284" s="1" t="str">
        <f>"***983429**"</f>
        <v>***983429**</v>
      </c>
      <c r="AC284" s="1"/>
      <c r="AD284" s="1"/>
      <c r="AE284" s="1"/>
      <c r="AF284" s="1">
        <v>-52.611111</v>
      </c>
      <c r="AG284" s="1">
        <v>-27.1</v>
      </c>
      <c r="AH284" s="1" t="s">
        <v>1965</v>
      </c>
      <c r="AI284" s="1"/>
      <c r="AJ284" s="1" t="s">
        <v>226</v>
      </c>
      <c r="AK284" s="1"/>
      <c r="AL284" s="1" t="s">
        <v>128</v>
      </c>
      <c r="AM284" s="1" t="s">
        <v>65</v>
      </c>
      <c r="AN284" s="1" t="s">
        <v>788</v>
      </c>
      <c r="AO284" s="2" t="s">
        <v>1371</v>
      </c>
      <c r="AP284" s="2" t="s">
        <v>2043</v>
      </c>
      <c r="AQ284" s="1" t="s">
        <v>132</v>
      </c>
      <c r="AR284" s="1" t="s">
        <v>693</v>
      </c>
      <c r="AS284" s="1" t="s">
        <v>2044</v>
      </c>
      <c r="AT284" s="2" t="s">
        <v>70</v>
      </c>
    </row>
    <row r="285">
      <c r="A285" s="1"/>
      <c r="B285" s="1" t="s">
        <v>46</v>
      </c>
      <c r="C285" s="1" t="s">
        <v>47</v>
      </c>
      <c r="D285" s="1"/>
      <c r="E285" s="1" t="s">
        <v>2045</v>
      </c>
      <c r="F285" s="1"/>
      <c r="G285" s="1" t="s">
        <v>49</v>
      </c>
      <c r="H285" s="1" t="s">
        <v>72</v>
      </c>
      <c r="I285" s="1">
        <v>32000.0</v>
      </c>
      <c r="J285" s="1"/>
      <c r="K285" s="1"/>
      <c r="L285" s="1"/>
      <c r="M285" s="1" t="s">
        <v>2046</v>
      </c>
      <c r="N285" s="1" t="s">
        <v>257</v>
      </c>
      <c r="O285" s="1" t="s">
        <v>258</v>
      </c>
      <c r="P285" s="2" t="s">
        <v>2047</v>
      </c>
      <c r="Q285" s="1" t="s">
        <v>77</v>
      </c>
      <c r="R285" s="1"/>
      <c r="S285" s="1" t="s">
        <v>2022</v>
      </c>
      <c r="T285" s="1">
        <v>3302502.0</v>
      </c>
      <c r="U285" s="1" t="s">
        <v>2048</v>
      </c>
      <c r="V285" s="1" t="s">
        <v>1741</v>
      </c>
      <c r="W285" s="1" t="s">
        <v>78</v>
      </c>
      <c r="X285" s="1"/>
      <c r="Y285" s="1"/>
      <c r="Z285" s="1" t="s">
        <v>260</v>
      </c>
      <c r="AA285" s="1" t="s">
        <v>2049</v>
      </c>
      <c r="AB285" s="1" t="str">
        <f>"***039957**"</f>
        <v>***039957**</v>
      </c>
      <c r="AC285" s="1"/>
      <c r="AD285" s="1" t="s">
        <v>62</v>
      </c>
      <c r="AE285" s="1"/>
      <c r="AF285" s="1">
        <v>-43.025833</v>
      </c>
      <c r="AG285" s="1">
        <v>-22.633361</v>
      </c>
      <c r="AH285" s="1" t="s">
        <v>2050</v>
      </c>
      <c r="AI285" s="1"/>
      <c r="AJ285" s="1" t="s">
        <v>2051</v>
      </c>
      <c r="AK285" s="1"/>
      <c r="AL285" s="1"/>
      <c r="AM285" s="1" t="s">
        <v>65</v>
      </c>
      <c r="AN285" s="1" t="s">
        <v>83</v>
      </c>
      <c r="AO285" s="1"/>
      <c r="AP285" s="2" t="s">
        <v>2052</v>
      </c>
      <c r="AQ285" s="1"/>
      <c r="AR285" s="1" t="s">
        <v>2053</v>
      </c>
      <c r="AS285" s="1" t="s">
        <v>2054</v>
      </c>
      <c r="AT285" s="2" t="s">
        <v>70</v>
      </c>
    </row>
    <row r="286">
      <c r="A286" s="1"/>
      <c r="B286" s="1" t="s">
        <v>46</v>
      </c>
      <c r="C286" s="1" t="s">
        <v>47</v>
      </c>
      <c r="D286" s="1"/>
      <c r="E286" s="1" t="s">
        <v>2055</v>
      </c>
      <c r="F286" s="1"/>
      <c r="G286" s="1" t="s">
        <v>49</v>
      </c>
      <c r="H286" s="1" t="s">
        <v>72</v>
      </c>
      <c r="I286" s="1">
        <v>31000.0</v>
      </c>
      <c r="J286" s="1"/>
      <c r="K286" s="1"/>
      <c r="L286" s="1"/>
      <c r="M286" s="1" t="s">
        <v>2056</v>
      </c>
      <c r="N286" s="1" t="s">
        <v>257</v>
      </c>
      <c r="O286" s="1" t="s">
        <v>258</v>
      </c>
      <c r="P286" s="2" t="s">
        <v>2057</v>
      </c>
      <c r="Q286" s="1" t="s">
        <v>56</v>
      </c>
      <c r="R286" s="2" t="s">
        <v>2015</v>
      </c>
      <c r="S286" s="1" t="s">
        <v>475</v>
      </c>
      <c r="T286" s="1">
        <v>3136702.0</v>
      </c>
      <c r="U286" s="1" t="s">
        <v>476</v>
      </c>
      <c r="V286" s="1" t="s">
        <v>477</v>
      </c>
      <c r="W286" s="1" t="s">
        <v>78</v>
      </c>
      <c r="X286" s="1"/>
      <c r="Y286" s="1"/>
      <c r="Z286" s="1" t="s">
        <v>260</v>
      </c>
      <c r="AA286" s="1" t="s">
        <v>2058</v>
      </c>
      <c r="AB286" s="1" t="str">
        <f>"***744576**"</f>
        <v>***744576**</v>
      </c>
      <c r="AC286" s="1"/>
      <c r="AD286" s="1" t="s">
        <v>81</v>
      </c>
      <c r="AE286" s="1"/>
      <c r="AF286" s="1">
        <v>-43.381556</v>
      </c>
      <c r="AG286" s="1">
        <v>-21.794556</v>
      </c>
      <c r="AH286" s="1" t="s">
        <v>479</v>
      </c>
      <c r="AI286" s="1"/>
      <c r="AJ286" s="1" t="s">
        <v>480</v>
      </c>
      <c r="AK286" s="1"/>
      <c r="AL286" s="1"/>
      <c r="AM286" s="1" t="s">
        <v>65</v>
      </c>
      <c r="AN286" s="1" t="s">
        <v>83</v>
      </c>
      <c r="AO286" s="1"/>
      <c r="AP286" s="2" t="s">
        <v>2059</v>
      </c>
      <c r="AQ286" s="1"/>
      <c r="AR286" s="1" t="s">
        <v>2060</v>
      </c>
      <c r="AS286" s="1"/>
      <c r="AT286" s="2" t="s">
        <v>70</v>
      </c>
    </row>
    <row r="287">
      <c r="A287" s="1">
        <v>2043714.0</v>
      </c>
      <c r="B287" s="1" t="s">
        <v>116</v>
      </c>
      <c r="C287" s="1" t="s">
        <v>117</v>
      </c>
      <c r="D287" s="1" t="s">
        <v>46</v>
      </c>
      <c r="E287" s="1" t="s">
        <v>2061</v>
      </c>
      <c r="F287" s="1"/>
      <c r="G287" s="1" t="s">
        <v>119</v>
      </c>
      <c r="H287" s="1" t="s">
        <v>72</v>
      </c>
      <c r="I287" s="1">
        <v>85000.0</v>
      </c>
      <c r="J287" s="1"/>
      <c r="K287" s="1"/>
      <c r="L287" s="1" t="s">
        <v>2062</v>
      </c>
      <c r="M287" s="1" t="s">
        <v>2063</v>
      </c>
      <c r="N287" s="1" t="s">
        <v>109</v>
      </c>
      <c r="O287" s="1" t="s">
        <v>110</v>
      </c>
      <c r="P287" s="2" t="s">
        <v>2064</v>
      </c>
      <c r="Q287" s="1" t="s">
        <v>56</v>
      </c>
      <c r="R287" s="1"/>
      <c r="S287" s="1" t="s">
        <v>220</v>
      </c>
      <c r="T287" s="1">
        <v>1100205.0</v>
      </c>
      <c r="U287" s="1" t="s">
        <v>242</v>
      </c>
      <c r="V287" s="1" t="s">
        <v>125</v>
      </c>
      <c r="W287" s="1" t="s">
        <v>100</v>
      </c>
      <c r="X287" s="1"/>
      <c r="Y287" s="1" t="str">
        <f>"02024000513202119"</f>
        <v>02024000513202119</v>
      </c>
      <c r="Z287" s="1" t="s">
        <v>112</v>
      </c>
      <c r="AA287" s="1" t="s">
        <v>2065</v>
      </c>
      <c r="AB287" s="1" t="str">
        <f>"***216252**"</f>
        <v>***216252**</v>
      </c>
      <c r="AC287" s="1"/>
      <c r="AD287" s="1"/>
      <c r="AE287" s="1"/>
      <c r="AF287" s="1">
        <v>-63.890556</v>
      </c>
      <c r="AG287" s="1">
        <v>-8.737778</v>
      </c>
      <c r="AH287" s="1" t="s">
        <v>2066</v>
      </c>
      <c r="AI287" s="1"/>
      <c r="AJ287" s="1" t="s">
        <v>2062</v>
      </c>
      <c r="AK287" s="1"/>
      <c r="AL287" s="1" t="s">
        <v>128</v>
      </c>
      <c r="AM287" s="1" t="s">
        <v>65</v>
      </c>
      <c r="AN287" s="1"/>
      <c r="AO287" s="2" t="s">
        <v>778</v>
      </c>
      <c r="AP287" s="2" t="s">
        <v>2067</v>
      </c>
      <c r="AQ287" s="1" t="s">
        <v>132</v>
      </c>
      <c r="AR287" s="1" t="s">
        <v>2068</v>
      </c>
      <c r="AS287" s="1"/>
      <c r="AT287" s="2" t="s">
        <v>70</v>
      </c>
    </row>
    <row r="288">
      <c r="A288" s="1">
        <v>2043742.0</v>
      </c>
      <c r="B288" s="1" t="s">
        <v>116</v>
      </c>
      <c r="C288" s="1" t="s">
        <v>117</v>
      </c>
      <c r="D288" s="1" t="s">
        <v>46</v>
      </c>
      <c r="E288" s="1" t="s">
        <v>2069</v>
      </c>
      <c r="F288" s="1"/>
      <c r="G288" s="1" t="s">
        <v>119</v>
      </c>
      <c r="H288" s="1" t="s">
        <v>50</v>
      </c>
      <c r="I288" s="1">
        <v>75200.0</v>
      </c>
      <c r="J288" s="1"/>
      <c r="K288" s="1"/>
      <c r="L288" s="1" t="s">
        <v>405</v>
      </c>
      <c r="M288" s="1" t="s">
        <v>2070</v>
      </c>
      <c r="N288" s="1" t="s">
        <v>74</v>
      </c>
      <c r="O288" s="1" t="s">
        <v>75</v>
      </c>
      <c r="P288" s="2" t="s">
        <v>2064</v>
      </c>
      <c r="Q288" s="1" t="s">
        <v>77</v>
      </c>
      <c r="R288" s="2" t="s">
        <v>2015</v>
      </c>
      <c r="S288" s="1" t="s">
        <v>400</v>
      </c>
      <c r="T288" s="1">
        <v>4306056.0</v>
      </c>
      <c r="U288" s="1" t="s">
        <v>2071</v>
      </c>
      <c r="V288" s="1" t="s">
        <v>402</v>
      </c>
      <c r="W288" s="1" t="s">
        <v>78</v>
      </c>
      <c r="X288" s="1"/>
      <c r="Y288" s="1"/>
      <c r="Z288" s="1" t="s">
        <v>79</v>
      </c>
      <c r="AA288" s="1" t="s">
        <v>2072</v>
      </c>
      <c r="AB288" s="1" t="str">
        <f>"22488806000103"</f>
        <v>22488806000103</v>
      </c>
      <c r="AC288" s="1"/>
      <c r="AD288" s="1"/>
      <c r="AE288" s="1"/>
      <c r="AF288" s="1">
        <v>-52.048611</v>
      </c>
      <c r="AG288" s="1">
        <v>-30.997222</v>
      </c>
      <c r="AH288" s="1" t="s">
        <v>2073</v>
      </c>
      <c r="AI288" s="1"/>
      <c r="AJ288" s="1" t="s">
        <v>405</v>
      </c>
      <c r="AK288" s="1"/>
      <c r="AL288" s="1" t="s">
        <v>128</v>
      </c>
      <c r="AM288" s="1"/>
      <c r="AN288" s="1" t="s">
        <v>1044</v>
      </c>
      <c r="AO288" s="2" t="s">
        <v>778</v>
      </c>
      <c r="AP288" s="2" t="s">
        <v>2074</v>
      </c>
      <c r="AQ288" s="1" t="s">
        <v>132</v>
      </c>
      <c r="AR288" s="1" t="s">
        <v>1046</v>
      </c>
      <c r="AS288" s="1" t="s">
        <v>2075</v>
      </c>
      <c r="AT288" s="2" t="s">
        <v>70</v>
      </c>
    </row>
    <row r="289">
      <c r="A289" s="1">
        <v>2043488.0</v>
      </c>
      <c r="B289" s="1" t="s">
        <v>116</v>
      </c>
      <c r="C289" s="1" t="s">
        <v>117</v>
      </c>
      <c r="D289" s="1" t="s">
        <v>46</v>
      </c>
      <c r="E289" s="1" t="s">
        <v>2076</v>
      </c>
      <c r="F289" s="1"/>
      <c r="G289" s="1" t="s">
        <v>119</v>
      </c>
      <c r="H289" s="1" t="s">
        <v>72</v>
      </c>
      <c r="I289" s="1">
        <v>2135000.0</v>
      </c>
      <c r="J289" s="1"/>
      <c r="K289" s="1"/>
      <c r="L289" s="1" t="s">
        <v>64</v>
      </c>
      <c r="M289" s="1" t="s">
        <v>2077</v>
      </c>
      <c r="N289" s="1" t="s">
        <v>109</v>
      </c>
      <c r="O289" s="1" t="s">
        <v>110</v>
      </c>
      <c r="P289" s="2" t="s">
        <v>2078</v>
      </c>
      <c r="Q289" s="1" t="s">
        <v>56</v>
      </c>
      <c r="R289" s="2" t="s">
        <v>2015</v>
      </c>
      <c r="S289" s="1" t="s">
        <v>220</v>
      </c>
      <c r="T289" s="1">
        <v>5103254.0</v>
      </c>
      <c r="U289" s="1" t="s">
        <v>322</v>
      </c>
      <c r="V289" s="1" t="s">
        <v>323</v>
      </c>
      <c r="W289" s="1" t="s">
        <v>100</v>
      </c>
      <c r="X289" s="1"/>
      <c r="Y289" s="1" t="str">
        <f>"02009000350202154"</f>
        <v>02009000350202154</v>
      </c>
      <c r="Z289" s="1" t="s">
        <v>112</v>
      </c>
      <c r="AA289" s="1" t="s">
        <v>2079</v>
      </c>
      <c r="AB289" s="1" t="str">
        <f>"***522981**"</f>
        <v>***522981**</v>
      </c>
      <c r="AC289" s="1"/>
      <c r="AD289" s="1"/>
      <c r="AE289" s="1"/>
      <c r="AF289" s="1">
        <v>-61.444167</v>
      </c>
      <c r="AG289" s="1">
        <v>-9.4075</v>
      </c>
      <c r="AH289" s="1" t="s">
        <v>2080</v>
      </c>
      <c r="AI289" s="1"/>
      <c r="AJ289" s="1" t="s">
        <v>64</v>
      </c>
      <c r="AK289" s="1"/>
      <c r="AL289" s="1" t="s">
        <v>128</v>
      </c>
      <c r="AM289" s="1" t="s">
        <v>65</v>
      </c>
      <c r="AN289" s="1" t="s">
        <v>83</v>
      </c>
      <c r="AO289" s="2" t="s">
        <v>1972</v>
      </c>
      <c r="AP289" s="2" t="s">
        <v>2081</v>
      </c>
      <c r="AQ289" s="1" t="s">
        <v>132</v>
      </c>
      <c r="AR289" s="1" t="s">
        <v>2082</v>
      </c>
      <c r="AS289" s="1"/>
      <c r="AT289" s="2" t="s">
        <v>70</v>
      </c>
    </row>
    <row r="290">
      <c r="A290" s="1">
        <v>2043558.0</v>
      </c>
      <c r="B290" s="1" t="s">
        <v>116</v>
      </c>
      <c r="C290" s="1" t="s">
        <v>117</v>
      </c>
      <c r="D290" s="1" t="s">
        <v>46</v>
      </c>
      <c r="E290" s="1" t="s">
        <v>2083</v>
      </c>
      <c r="F290" s="1"/>
      <c r="G290" s="1" t="s">
        <v>119</v>
      </c>
      <c r="H290" s="1" t="s">
        <v>50</v>
      </c>
      <c r="I290" s="1">
        <v>1000.0</v>
      </c>
      <c r="J290" s="1"/>
      <c r="K290" s="1"/>
      <c r="L290" s="1" t="s">
        <v>226</v>
      </c>
      <c r="M290" s="1" t="s">
        <v>2084</v>
      </c>
      <c r="N290" s="1" t="s">
        <v>257</v>
      </c>
      <c r="O290" s="1" t="s">
        <v>258</v>
      </c>
      <c r="P290" s="2" t="s">
        <v>2078</v>
      </c>
      <c r="Q290" s="1" t="s">
        <v>56</v>
      </c>
      <c r="R290" s="1"/>
      <c r="S290" s="1" t="s">
        <v>784</v>
      </c>
      <c r="T290" s="1">
        <v>4204202.0</v>
      </c>
      <c r="U290" s="1" t="s">
        <v>1492</v>
      </c>
      <c r="V290" s="1" t="s">
        <v>222</v>
      </c>
      <c r="W290" s="1" t="s">
        <v>78</v>
      </c>
      <c r="X290" s="1"/>
      <c r="Y290" s="1" t="str">
        <f>"02026000470202143"</f>
        <v>02026000470202143</v>
      </c>
      <c r="Z290" s="1" t="s">
        <v>260</v>
      </c>
      <c r="AA290" s="1" t="s">
        <v>2085</v>
      </c>
      <c r="AB290" s="1" t="str">
        <f>"***935909**"</f>
        <v>***935909**</v>
      </c>
      <c r="AC290" s="1"/>
      <c r="AD290" s="1"/>
      <c r="AE290" s="1"/>
      <c r="AF290" s="1">
        <v>-52.611111</v>
      </c>
      <c r="AG290" s="1">
        <v>-27.100278</v>
      </c>
      <c r="AH290" s="1" t="s">
        <v>2086</v>
      </c>
      <c r="AI290" s="1"/>
      <c r="AJ290" s="1" t="s">
        <v>226</v>
      </c>
      <c r="AK290" s="1"/>
      <c r="AL290" s="1" t="s">
        <v>128</v>
      </c>
      <c r="AM290" s="1" t="s">
        <v>65</v>
      </c>
      <c r="AN290" s="1" t="s">
        <v>788</v>
      </c>
      <c r="AO290" s="2" t="s">
        <v>1371</v>
      </c>
      <c r="AP290" s="2" t="s">
        <v>2087</v>
      </c>
      <c r="AQ290" s="1" t="s">
        <v>132</v>
      </c>
      <c r="AR290" s="1" t="s">
        <v>693</v>
      </c>
      <c r="AS290" s="1" t="s">
        <v>1813</v>
      </c>
      <c r="AT290" s="2" t="s">
        <v>70</v>
      </c>
    </row>
    <row r="291">
      <c r="A291" s="1">
        <v>2043589.0</v>
      </c>
      <c r="B291" s="1" t="s">
        <v>116</v>
      </c>
      <c r="C291" s="1" t="s">
        <v>117</v>
      </c>
      <c r="D291" s="1" t="s">
        <v>46</v>
      </c>
      <c r="E291" s="1" t="s">
        <v>2088</v>
      </c>
      <c r="F291" s="1"/>
      <c r="G291" s="1" t="s">
        <v>119</v>
      </c>
      <c r="H291" s="1" t="s">
        <v>50</v>
      </c>
      <c r="I291" s="1">
        <v>100000.0</v>
      </c>
      <c r="J291" s="1"/>
      <c r="K291" s="1"/>
      <c r="L291" s="1" t="s">
        <v>1737</v>
      </c>
      <c r="M291" s="1" t="s">
        <v>2089</v>
      </c>
      <c r="N291" s="1" t="s">
        <v>186</v>
      </c>
      <c r="O291" s="1" t="s">
        <v>302</v>
      </c>
      <c r="P291" s="2" t="s">
        <v>2078</v>
      </c>
      <c r="Q291" s="1" t="s">
        <v>56</v>
      </c>
      <c r="R291" s="1"/>
      <c r="S291" s="1" t="s">
        <v>2022</v>
      </c>
      <c r="T291" s="1">
        <v>3304557.0</v>
      </c>
      <c r="U291" s="1" t="s">
        <v>1740</v>
      </c>
      <c r="V291" s="1" t="s">
        <v>1741</v>
      </c>
      <c r="W291" s="1" t="s">
        <v>60</v>
      </c>
      <c r="X291" s="1"/>
      <c r="Y291" s="1"/>
      <c r="Z291" s="1" t="s">
        <v>306</v>
      </c>
      <c r="AA291" s="1" t="s">
        <v>61</v>
      </c>
      <c r="AB291" s="1" t="str">
        <f t="shared" ref="AB291:AB292" si="20">"33000167000101"</f>
        <v>33000167000101</v>
      </c>
      <c r="AC291" s="1"/>
      <c r="AD291" s="1"/>
      <c r="AE291" s="1"/>
      <c r="AF291" s="1">
        <v>-40.676667</v>
      </c>
      <c r="AG291" s="1">
        <v>-22.701111</v>
      </c>
      <c r="AH291" s="1" t="s">
        <v>2090</v>
      </c>
      <c r="AI291" s="1"/>
      <c r="AJ291" s="1" t="s">
        <v>1737</v>
      </c>
      <c r="AK291" s="1"/>
      <c r="AL291" s="1" t="s">
        <v>128</v>
      </c>
      <c r="AM291" s="1" t="s">
        <v>65</v>
      </c>
      <c r="AN291" s="1" t="s">
        <v>1743</v>
      </c>
      <c r="AO291" s="2" t="s">
        <v>1371</v>
      </c>
      <c r="AP291" s="2" t="s">
        <v>2091</v>
      </c>
      <c r="AQ291" s="1" t="s">
        <v>132</v>
      </c>
      <c r="AR291" s="1" t="s">
        <v>1745</v>
      </c>
      <c r="AS291" s="1" t="s">
        <v>2092</v>
      </c>
      <c r="AT291" s="2" t="s">
        <v>70</v>
      </c>
    </row>
    <row r="292">
      <c r="A292" s="1">
        <v>2043592.0</v>
      </c>
      <c r="B292" s="1" t="s">
        <v>116</v>
      </c>
      <c r="C292" s="1" t="s">
        <v>117</v>
      </c>
      <c r="D292" s="1" t="s">
        <v>46</v>
      </c>
      <c r="E292" s="1" t="s">
        <v>2093</v>
      </c>
      <c r="F292" s="1"/>
      <c r="G292" s="1" t="s">
        <v>119</v>
      </c>
      <c r="H292" s="1" t="s">
        <v>50</v>
      </c>
      <c r="I292" s="1">
        <v>1000000.0</v>
      </c>
      <c r="J292" s="1"/>
      <c r="K292" s="1"/>
      <c r="L292" s="1" t="s">
        <v>1737</v>
      </c>
      <c r="M292" s="1" t="s">
        <v>2094</v>
      </c>
      <c r="N292" s="1" t="s">
        <v>186</v>
      </c>
      <c r="O292" s="1" t="s">
        <v>302</v>
      </c>
      <c r="P292" s="2" t="s">
        <v>2078</v>
      </c>
      <c r="Q292" s="1" t="s">
        <v>56</v>
      </c>
      <c r="R292" s="1"/>
      <c r="S292" s="1" t="s">
        <v>241</v>
      </c>
      <c r="T292" s="1">
        <v>3304557.0</v>
      </c>
      <c r="U292" s="1" t="s">
        <v>1740</v>
      </c>
      <c r="V292" s="1" t="s">
        <v>1741</v>
      </c>
      <c r="W292" s="1" t="s">
        <v>60</v>
      </c>
      <c r="X292" s="1"/>
      <c r="Y292" s="1"/>
      <c r="Z292" s="1" t="s">
        <v>306</v>
      </c>
      <c r="AA292" s="1" t="s">
        <v>61</v>
      </c>
      <c r="AB292" s="1" t="str">
        <f t="shared" si="20"/>
        <v>33000167000101</v>
      </c>
      <c r="AC292" s="1"/>
      <c r="AD292" s="1"/>
      <c r="AE292" s="1"/>
      <c r="AF292" s="1">
        <v>-40.676667</v>
      </c>
      <c r="AG292" s="1">
        <v>-22.701111</v>
      </c>
      <c r="AH292" s="1" t="s">
        <v>2095</v>
      </c>
      <c r="AI292" s="1"/>
      <c r="AJ292" s="1" t="s">
        <v>1737</v>
      </c>
      <c r="AK292" s="1"/>
      <c r="AL292" s="1" t="s">
        <v>128</v>
      </c>
      <c r="AM292" s="1" t="s">
        <v>65</v>
      </c>
      <c r="AN292" s="1" t="s">
        <v>1743</v>
      </c>
      <c r="AO292" s="2" t="s">
        <v>1371</v>
      </c>
      <c r="AP292" s="2" t="s">
        <v>2096</v>
      </c>
      <c r="AQ292" s="1" t="s">
        <v>132</v>
      </c>
      <c r="AR292" s="1" t="s">
        <v>1745</v>
      </c>
      <c r="AS292" s="1" t="s">
        <v>2097</v>
      </c>
      <c r="AT292" s="2" t="s">
        <v>70</v>
      </c>
    </row>
    <row r="293">
      <c r="A293" s="1">
        <v>2043861.0</v>
      </c>
      <c r="B293" s="1" t="s">
        <v>116</v>
      </c>
      <c r="C293" s="1" t="s">
        <v>117</v>
      </c>
      <c r="D293" s="1" t="s">
        <v>46</v>
      </c>
      <c r="E293" s="1" t="s">
        <v>2098</v>
      </c>
      <c r="F293" s="1"/>
      <c r="G293" s="1" t="s">
        <v>119</v>
      </c>
      <c r="H293" s="1" t="s">
        <v>72</v>
      </c>
      <c r="I293" s="1">
        <v>1576.68</v>
      </c>
      <c r="J293" s="1"/>
      <c r="K293" s="1"/>
      <c r="L293" s="1" t="s">
        <v>442</v>
      </c>
      <c r="M293" s="1" t="s">
        <v>2099</v>
      </c>
      <c r="N293" s="1" t="s">
        <v>109</v>
      </c>
      <c r="O293" s="1" t="s">
        <v>110</v>
      </c>
      <c r="P293" s="2" t="s">
        <v>2100</v>
      </c>
      <c r="Q293" s="1" t="s">
        <v>77</v>
      </c>
      <c r="R293" s="2" t="s">
        <v>2015</v>
      </c>
      <c r="S293" s="1" t="s">
        <v>437</v>
      </c>
      <c r="T293" s="1">
        <v>2304400.0</v>
      </c>
      <c r="U293" s="1" t="s">
        <v>592</v>
      </c>
      <c r="V293" s="1" t="s">
        <v>439</v>
      </c>
      <c r="W293" s="1" t="s">
        <v>100</v>
      </c>
      <c r="X293" s="1"/>
      <c r="Y293" s="1" t="str">
        <f>"02007000612202109"</f>
        <v>02007000612202109</v>
      </c>
      <c r="Z293" s="1" t="s">
        <v>112</v>
      </c>
      <c r="AA293" s="1" t="s">
        <v>2101</v>
      </c>
      <c r="AB293" s="1" t="str">
        <f>"63354872000178"</f>
        <v>63354872000178</v>
      </c>
      <c r="AC293" s="1"/>
      <c r="AD293" s="1"/>
      <c r="AE293" s="1"/>
      <c r="AF293" s="1">
        <v>-38.583889</v>
      </c>
      <c r="AG293" s="1">
        <v>-3.756389</v>
      </c>
      <c r="AH293" s="1" t="s">
        <v>2102</v>
      </c>
      <c r="AI293" s="1"/>
      <c r="AJ293" s="1" t="s">
        <v>442</v>
      </c>
      <c r="AK293" s="1"/>
      <c r="AL293" s="1" t="s">
        <v>128</v>
      </c>
      <c r="AM293" s="1" t="s">
        <v>65</v>
      </c>
      <c r="AN293" s="1" t="s">
        <v>159</v>
      </c>
      <c r="AO293" s="2" t="s">
        <v>999</v>
      </c>
      <c r="AP293" s="2" t="s">
        <v>2103</v>
      </c>
      <c r="AQ293" s="1" t="s">
        <v>132</v>
      </c>
      <c r="AR293" s="1" t="s">
        <v>1236</v>
      </c>
      <c r="AS293" s="1"/>
      <c r="AT293" s="2" t="s">
        <v>70</v>
      </c>
    </row>
    <row r="294">
      <c r="A294" s="1">
        <v>2043430.0</v>
      </c>
      <c r="B294" s="1" t="s">
        <v>116</v>
      </c>
      <c r="C294" s="1" t="s">
        <v>117</v>
      </c>
      <c r="D294" s="1" t="s">
        <v>46</v>
      </c>
      <c r="E294" s="1" t="s">
        <v>2104</v>
      </c>
      <c r="F294" s="1"/>
      <c r="G294" s="1" t="s">
        <v>119</v>
      </c>
      <c r="H294" s="1" t="s">
        <v>72</v>
      </c>
      <c r="I294" s="1">
        <v>9000.0</v>
      </c>
      <c r="J294" s="1"/>
      <c r="K294" s="1"/>
      <c r="L294" s="1" t="s">
        <v>1336</v>
      </c>
      <c r="M294" s="1" t="s">
        <v>2105</v>
      </c>
      <c r="N294" s="1" t="s">
        <v>285</v>
      </c>
      <c r="O294" s="1" t="s">
        <v>286</v>
      </c>
      <c r="P294" s="2" t="s">
        <v>2106</v>
      </c>
      <c r="Q294" s="1" t="s">
        <v>56</v>
      </c>
      <c r="R294" s="1"/>
      <c r="S294" s="1" t="s">
        <v>280</v>
      </c>
      <c r="T294" s="1">
        <v>3509502.0</v>
      </c>
      <c r="U294" s="1" t="s">
        <v>1339</v>
      </c>
      <c r="V294" s="1" t="s">
        <v>139</v>
      </c>
      <c r="W294" s="1" t="s">
        <v>78</v>
      </c>
      <c r="X294" s="1"/>
      <c r="Y294" s="1" t="str">
        <f>"02285000037202157"</f>
        <v>02285000037202157</v>
      </c>
      <c r="Z294" s="1" t="s">
        <v>292</v>
      </c>
      <c r="AA294" s="1" t="s">
        <v>2107</v>
      </c>
      <c r="AB294" s="1" t="str">
        <f>"07722779000106"</f>
        <v>07722779000106</v>
      </c>
      <c r="AC294" s="1"/>
      <c r="AD294" s="1" t="s">
        <v>325</v>
      </c>
      <c r="AE294" s="1"/>
      <c r="AF294" s="1">
        <v>-47.144444</v>
      </c>
      <c r="AG294" s="1">
        <v>-23.007778</v>
      </c>
      <c r="AH294" s="1" t="s">
        <v>2108</v>
      </c>
      <c r="AI294" s="1"/>
      <c r="AJ294" s="1" t="s">
        <v>1336</v>
      </c>
      <c r="AK294" s="1" t="s">
        <v>1342</v>
      </c>
      <c r="AL294" s="1" t="s">
        <v>128</v>
      </c>
      <c r="AM294" s="1" t="s">
        <v>65</v>
      </c>
      <c r="AN294" s="1" t="s">
        <v>1342</v>
      </c>
      <c r="AO294" s="2" t="s">
        <v>2109</v>
      </c>
      <c r="AP294" s="2" t="s">
        <v>2110</v>
      </c>
      <c r="AQ294" s="1" t="s">
        <v>132</v>
      </c>
      <c r="AR294" s="1" t="s">
        <v>952</v>
      </c>
      <c r="AS294" s="1"/>
      <c r="AT294" s="2" t="s">
        <v>70</v>
      </c>
    </row>
    <row r="295">
      <c r="A295" s="1">
        <v>2043489.0</v>
      </c>
      <c r="B295" s="1" t="s">
        <v>116</v>
      </c>
      <c r="C295" s="1" t="s">
        <v>117</v>
      </c>
      <c r="D295" s="1" t="s">
        <v>46</v>
      </c>
      <c r="E295" s="1" t="s">
        <v>2111</v>
      </c>
      <c r="F295" s="1"/>
      <c r="G295" s="1" t="s">
        <v>119</v>
      </c>
      <c r="H295" s="1" t="s">
        <v>72</v>
      </c>
      <c r="I295" s="1">
        <v>5115000.0</v>
      </c>
      <c r="J295" s="1"/>
      <c r="K295" s="1"/>
      <c r="L295" s="1" t="s">
        <v>64</v>
      </c>
      <c r="M295" s="1" t="s">
        <v>2112</v>
      </c>
      <c r="N295" s="1" t="s">
        <v>109</v>
      </c>
      <c r="O295" s="1" t="s">
        <v>110</v>
      </c>
      <c r="P295" s="2" t="s">
        <v>2106</v>
      </c>
      <c r="Q295" s="1" t="s">
        <v>56</v>
      </c>
      <c r="R295" s="2" t="s">
        <v>2015</v>
      </c>
      <c r="S295" s="1" t="s">
        <v>220</v>
      </c>
      <c r="T295" s="1">
        <v>5103254.0</v>
      </c>
      <c r="U295" s="1" t="s">
        <v>322</v>
      </c>
      <c r="V295" s="1" t="s">
        <v>323</v>
      </c>
      <c r="W295" s="1" t="s">
        <v>100</v>
      </c>
      <c r="X295" s="1"/>
      <c r="Y295" s="1" t="str">
        <f>"02009000351202107"</f>
        <v>02009000351202107</v>
      </c>
      <c r="Z295" s="1" t="s">
        <v>112</v>
      </c>
      <c r="AA295" s="1" t="s">
        <v>2113</v>
      </c>
      <c r="AB295" s="1" t="str">
        <f>"***165029**"</f>
        <v>***165029**</v>
      </c>
      <c r="AC295" s="1"/>
      <c r="AD295" s="1"/>
      <c r="AE295" s="1"/>
      <c r="AF295" s="1">
        <v>-61.458889</v>
      </c>
      <c r="AG295" s="1">
        <v>-9.410833</v>
      </c>
      <c r="AH295" s="1" t="s">
        <v>2080</v>
      </c>
      <c r="AI295" s="1"/>
      <c r="AJ295" s="1" t="s">
        <v>64</v>
      </c>
      <c r="AK295" s="1"/>
      <c r="AL295" s="1" t="s">
        <v>128</v>
      </c>
      <c r="AM295" s="1" t="s">
        <v>65</v>
      </c>
      <c r="AN295" s="1" t="s">
        <v>83</v>
      </c>
      <c r="AO295" s="2" t="s">
        <v>1972</v>
      </c>
      <c r="AP295" s="2" t="s">
        <v>2114</v>
      </c>
      <c r="AQ295" s="1" t="s">
        <v>132</v>
      </c>
      <c r="AR295" s="1" t="s">
        <v>2082</v>
      </c>
      <c r="AS295" s="1"/>
      <c r="AT295" s="2" t="s">
        <v>70</v>
      </c>
    </row>
    <row r="296">
      <c r="A296" s="1">
        <v>2043591.0</v>
      </c>
      <c r="B296" s="1" t="s">
        <v>116</v>
      </c>
      <c r="C296" s="1" t="s">
        <v>117</v>
      </c>
      <c r="D296" s="1" t="s">
        <v>46</v>
      </c>
      <c r="E296" s="1" t="s">
        <v>2115</v>
      </c>
      <c r="F296" s="1"/>
      <c r="G296" s="1" t="s">
        <v>119</v>
      </c>
      <c r="H296" s="1" t="s">
        <v>50</v>
      </c>
      <c r="I296" s="1">
        <v>150000.0</v>
      </c>
      <c r="J296" s="1"/>
      <c r="K296" s="1"/>
      <c r="L296" s="1" t="s">
        <v>1737</v>
      </c>
      <c r="M296" s="1" t="s">
        <v>2116</v>
      </c>
      <c r="N296" s="1" t="s">
        <v>186</v>
      </c>
      <c r="O296" s="1" t="s">
        <v>302</v>
      </c>
      <c r="P296" s="2" t="s">
        <v>2106</v>
      </c>
      <c r="Q296" s="1" t="s">
        <v>56</v>
      </c>
      <c r="R296" s="1"/>
      <c r="S296" s="1" t="s">
        <v>2022</v>
      </c>
      <c r="T296" s="1">
        <v>3304557.0</v>
      </c>
      <c r="U296" s="1" t="s">
        <v>1740</v>
      </c>
      <c r="V296" s="1" t="s">
        <v>1741</v>
      </c>
      <c r="W296" s="1" t="s">
        <v>60</v>
      </c>
      <c r="X296" s="1"/>
      <c r="Y296" s="1"/>
      <c r="Z296" s="1" t="s">
        <v>306</v>
      </c>
      <c r="AA296" s="1" t="s">
        <v>61</v>
      </c>
      <c r="AB296" s="1" t="str">
        <f>"33000167000101"</f>
        <v>33000167000101</v>
      </c>
      <c r="AC296" s="1"/>
      <c r="AD296" s="1"/>
      <c r="AE296" s="1"/>
      <c r="AF296" s="1">
        <v>-40.028333</v>
      </c>
      <c r="AG296" s="1">
        <v>-22.468056</v>
      </c>
      <c r="AH296" s="1" t="s">
        <v>2117</v>
      </c>
      <c r="AI296" s="1"/>
      <c r="AJ296" s="1" t="s">
        <v>1737</v>
      </c>
      <c r="AK296" s="1"/>
      <c r="AL296" s="1" t="s">
        <v>128</v>
      </c>
      <c r="AM296" s="1" t="s">
        <v>65</v>
      </c>
      <c r="AN296" s="1" t="s">
        <v>1743</v>
      </c>
      <c r="AO296" s="2" t="s">
        <v>1371</v>
      </c>
      <c r="AP296" s="2" t="s">
        <v>2118</v>
      </c>
      <c r="AQ296" s="1" t="s">
        <v>132</v>
      </c>
      <c r="AR296" s="1" t="s">
        <v>1745</v>
      </c>
      <c r="AS296" s="1" t="s">
        <v>2119</v>
      </c>
      <c r="AT296" s="2" t="s">
        <v>70</v>
      </c>
    </row>
    <row r="297">
      <c r="A297" s="1"/>
      <c r="B297" s="1" t="s">
        <v>46</v>
      </c>
      <c r="C297" s="1" t="s">
        <v>47</v>
      </c>
      <c r="D297" s="1"/>
      <c r="E297" s="1" t="s">
        <v>2120</v>
      </c>
      <c r="F297" s="1"/>
      <c r="G297" s="1" t="s">
        <v>49</v>
      </c>
      <c r="H297" s="1" t="s">
        <v>72</v>
      </c>
      <c r="I297" s="1">
        <v>7674.0</v>
      </c>
      <c r="J297" s="1"/>
      <c r="K297" s="1"/>
      <c r="L297" s="1"/>
      <c r="M297" s="1" t="s">
        <v>2121</v>
      </c>
      <c r="N297" s="1" t="s">
        <v>109</v>
      </c>
      <c r="O297" s="1" t="s">
        <v>110</v>
      </c>
      <c r="P297" s="2" t="s">
        <v>2122</v>
      </c>
      <c r="Q297" s="1" t="s">
        <v>56</v>
      </c>
      <c r="R297" s="1"/>
      <c r="S297" s="1" t="s">
        <v>475</v>
      </c>
      <c r="T297" s="1">
        <v>3152501.0</v>
      </c>
      <c r="U297" s="1" t="s">
        <v>2123</v>
      </c>
      <c r="V297" s="1" t="s">
        <v>477</v>
      </c>
      <c r="W297" s="1" t="s">
        <v>78</v>
      </c>
      <c r="X297" s="1"/>
      <c r="Y297" s="1"/>
      <c r="Z297" s="1" t="s">
        <v>112</v>
      </c>
      <c r="AA297" s="1" t="s">
        <v>2124</v>
      </c>
      <c r="AB297" s="1" t="str">
        <f>"23956808000142"</f>
        <v>23956808000142</v>
      </c>
      <c r="AC297" s="1"/>
      <c r="AD297" s="1" t="s">
        <v>81</v>
      </c>
      <c r="AE297" s="1"/>
      <c r="AF297" s="1">
        <v>-45.960861</v>
      </c>
      <c r="AG297" s="1">
        <v>-22.237333</v>
      </c>
      <c r="AH297" s="1" t="s">
        <v>2125</v>
      </c>
      <c r="AI297" s="1"/>
      <c r="AJ297" s="1" t="s">
        <v>2126</v>
      </c>
      <c r="AK297" s="1"/>
      <c r="AL297" s="1"/>
      <c r="AM297" s="1" t="s">
        <v>65</v>
      </c>
      <c r="AN297" s="1"/>
      <c r="AO297" s="1"/>
      <c r="AP297" s="2" t="s">
        <v>2127</v>
      </c>
      <c r="AQ297" s="1"/>
      <c r="AR297" s="1" t="s">
        <v>115</v>
      </c>
      <c r="AS297" s="1"/>
      <c r="AT297" s="2" t="s">
        <v>70</v>
      </c>
    </row>
    <row r="298">
      <c r="A298" s="1"/>
      <c r="B298" s="1" t="s">
        <v>46</v>
      </c>
      <c r="C298" s="1" t="s">
        <v>47</v>
      </c>
      <c r="D298" s="1"/>
      <c r="E298" s="1" t="s">
        <v>2128</v>
      </c>
      <c r="F298" s="1"/>
      <c r="G298" s="1" t="s">
        <v>49</v>
      </c>
      <c r="H298" s="1" t="s">
        <v>72</v>
      </c>
      <c r="I298" s="1">
        <v>3023.4</v>
      </c>
      <c r="J298" s="1"/>
      <c r="K298" s="1"/>
      <c r="L298" s="1"/>
      <c r="M298" s="1" t="s">
        <v>2129</v>
      </c>
      <c r="N298" s="1" t="s">
        <v>109</v>
      </c>
      <c r="O298" s="1" t="s">
        <v>110</v>
      </c>
      <c r="P298" s="2" t="s">
        <v>2130</v>
      </c>
      <c r="Q298" s="1" t="s">
        <v>56</v>
      </c>
      <c r="R298" s="1"/>
      <c r="S298" s="1" t="s">
        <v>475</v>
      </c>
      <c r="T298" s="1">
        <v>3138203.0</v>
      </c>
      <c r="U298" s="1" t="s">
        <v>2131</v>
      </c>
      <c r="V298" s="1" t="s">
        <v>477</v>
      </c>
      <c r="W298" s="1" t="s">
        <v>78</v>
      </c>
      <c r="X298" s="1"/>
      <c r="Y298" s="1"/>
      <c r="Z298" s="1" t="s">
        <v>112</v>
      </c>
      <c r="AA298" s="1" t="s">
        <v>2132</v>
      </c>
      <c r="AB298" s="1" t="str">
        <f>"08362497000108"</f>
        <v>08362497000108</v>
      </c>
      <c r="AC298" s="1"/>
      <c r="AD298" s="1" t="s">
        <v>81</v>
      </c>
      <c r="AE298" s="1"/>
      <c r="AF298" s="1">
        <v>-44.987417</v>
      </c>
      <c r="AG298" s="1">
        <v>-21.263278</v>
      </c>
      <c r="AH298" s="1" t="s">
        <v>2133</v>
      </c>
      <c r="AI298" s="1"/>
      <c r="AJ298" s="1" t="s">
        <v>2126</v>
      </c>
      <c r="AK298" s="1"/>
      <c r="AL298" s="1"/>
      <c r="AM298" s="1" t="s">
        <v>65</v>
      </c>
      <c r="AN298" s="1"/>
      <c r="AO298" s="1"/>
      <c r="AP298" s="2" t="s">
        <v>2134</v>
      </c>
      <c r="AQ298" s="1"/>
      <c r="AR298" s="1" t="s">
        <v>115</v>
      </c>
      <c r="AS298" s="1"/>
      <c r="AT298" s="2" t="s">
        <v>70</v>
      </c>
    </row>
    <row r="299">
      <c r="A299" s="1">
        <v>2043427.0</v>
      </c>
      <c r="B299" s="1" t="s">
        <v>116</v>
      </c>
      <c r="C299" s="1" t="s">
        <v>117</v>
      </c>
      <c r="D299" s="1" t="s">
        <v>46</v>
      </c>
      <c r="E299" s="1" t="s">
        <v>2135</v>
      </c>
      <c r="F299" s="1"/>
      <c r="G299" s="1" t="s">
        <v>119</v>
      </c>
      <c r="H299" s="1" t="s">
        <v>50</v>
      </c>
      <c r="I299" s="1">
        <v>1000.0</v>
      </c>
      <c r="J299" s="1"/>
      <c r="K299" s="1"/>
      <c r="L299" s="1" t="s">
        <v>64</v>
      </c>
      <c r="M299" s="1" t="s">
        <v>2136</v>
      </c>
      <c r="N299" s="1" t="s">
        <v>186</v>
      </c>
      <c r="O299" s="1" t="s">
        <v>95</v>
      </c>
      <c r="P299" s="2" t="s">
        <v>2137</v>
      </c>
      <c r="Q299" s="1" t="s">
        <v>56</v>
      </c>
      <c r="R299" s="2" t="s">
        <v>2015</v>
      </c>
      <c r="S299" s="1" t="s">
        <v>57</v>
      </c>
      <c r="T299" s="1">
        <v>3205309.0</v>
      </c>
      <c r="U299" s="1" t="s">
        <v>2037</v>
      </c>
      <c r="V299" s="1" t="s">
        <v>59</v>
      </c>
      <c r="W299" s="1" t="s">
        <v>78</v>
      </c>
      <c r="X299" s="1"/>
      <c r="Y299" s="1" t="str">
        <f>"02009000338202140"</f>
        <v>02009000338202140</v>
      </c>
      <c r="Z299" s="1" t="s">
        <v>101</v>
      </c>
      <c r="AA299" s="1" t="s">
        <v>2138</v>
      </c>
      <c r="AB299" s="1" t="str">
        <f>"***964547**"</f>
        <v>***964547**</v>
      </c>
      <c r="AC299" s="1"/>
      <c r="AD299" s="1"/>
      <c r="AE299" s="1"/>
      <c r="AF299" s="1">
        <v>-40.305</v>
      </c>
      <c r="AG299" s="1">
        <v>-20.316389</v>
      </c>
      <c r="AH299" s="1" t="s">
        <v>2039</v>
      </c>
      <c r="AI299" s="1"/>
      <c r="AJ299" s="1" t="s">
        <v>64</v>
      </c>
      <c r="AK299" s="1"/>
      <c r="AL299" s="1" t="s">
        <v>128</v>
      </c>
      <c r="AM299" s="1" t="s">
        <v>65</v>
      </c>
      <c r="AN299" s="1" t="s">
        <v>83</v>
      </c>
      <c r="AO299" s="2" t="s">
        <v>2109</v>
      </c>
      <c r="AP299" s="2" t="s">
        <v>2139</v>
      </c>
      <c r="AQ299" s="1" t="s">
        <v>132</v>
      </c>
      <c r="AR299" s="1" t="s">
        <v>531</v>
      </c>
      <c r="AS299" s="1"/>
      <c r="AT299" s="2" t="s">
        <v>70</v>
      </c>
    </row>
    <row r="300">
      <c r="A300" s="1">
        <v>2043572.0</v>
      </c>
      <c r="B300" s="1" t="s">
        <v>116</v>
      </c>
      <c r="C300" s="1" t="s">
        <v>117</v>
      </c>
      <c r="D300" s="1" t="s">
        <v>46</v>
      </c>
      <c r="E300" s="1" t="s">
        <v>2140</v>
      </c>
      <c r="F300" s="1"/>
      <c r="G300" s="1" t="s">
        <v>119</v>
      </c>
      <c r="H300" s="1" t="s">
        <v>72</v>
      </c>
      <c r="I300" s="1">
        <v>147000.0</v>
      </c>
      <c r="J300" s="1"/>
      <c r="K300" s="1"/>
      <c r="L300" s="1" t="s">
        <v>1473</v>
      </c>
      <c r="M300" s="1" t="s">
        <v>2141</v>
      </c>
      <c r="N300" s="1" t="s">
        <v>109</v>
      </c>
      <c r="O300" s="1" t="s">
        <v>110</v>
      </c>
      <c r="P300" s="2" t="s">
        <v>2137</v>
      </c>
      <c r="Q300" s="1" t="s">
        <v>56</v>
      </c>
      <c r="R300" s="1"/>
      <c r="S300" s="1" t="s">
        <v>1468</v>
      </c>
      <c r="T300" s="1">
        <v>5005152.0</v>
      </c>
      <c r="U300" s="1" t="s">
        <v>2142</v>
      </c>
      <c r="V300" s="1" t="s">
        <v>1470</v>
      </c>
      <c r="W300" s="1" t="s">
        <v>78</v>
      </c>
      <c r="X300" s="1"/>
      <c r="Y300" s="1" t="str">
        <f>"02014000249202124"</f>
        <v>02014000249202124</v>
      </c>
      <c r="Z300" s="1" t="s">
        <v>112</v>
      </c>
      <c r="AA300" s="1" t="s">
        <v>2143</v>
      </c>
      <c r="AB300" s="1" t="str">
        <f>"***684351**"</f>
        <v>***684351**</v>
      </c>
      <c r="AC300" s="1"/>
      <c r="AD300" s="1"/>
      <c r="AE300" s="1"/>
      <c r="AF300" s="1">
        <v>-54.595833</v>
      </c>
      <c r="AG300" s="1">
        <v>-22.806667</v>
      </c>
      <c r="AH300" s="1" t="s">
        <v>2144</v>
      </c>
      <c r="AI300" s="1"/>
      <c r="AJ300" s="1" t="s">
        <v>1473</v>
      </c>
      <c r="AK300" s="1"/>
      <c r="AL300" s="1" t="s">
        <v>128</v>
      </c>
      <c r="AM300" s="1" t="s">
        <v>65</v>
      </c>
      <c r="AN300" s="1"/>
      <c r="AO300" s="2" t="s">
        <v>1371</v>
      </c>
      <c r="AP300" s="2" t="s">
        <v>2145</v>
      </c>
      <c r="AQ300" s="1" t="s">
        <v>132</v>
      </c>
      <c r="AR300" s="1" t="s">
        <v>2146</v>
      </c>
      <c r="AS300" s="1" t="s">
        <v>2147</v>
      </c>
      <c r="AT300" s="2" t="s">
        <v>70</v>
      </c>
    </row>
    <row r="301">
      <c r="A301" s="1">
        <v>2043432.0</v>
      </c>
      <c r="B301" s="1" t="s">
        <v>116</v>
      </c>
      <c r="C301" s="1" t="s">
        <v>117</v>
      </c>
      <c r="D301" s="1" t="s">
        <v>46</v>
      </c>
      <c r="E301" s="1" t="s">
        <v>2148</v>
      </c>
      <c r="F301" s="1"/>
      <c r="G301" s="1" t="s">
        <v>119</v>
      </c>
      <c r="H301" s="1" t="s">
        <v>50</v>
      </c>
      <c r="I301" s="1">
        <v>10000.0</v>
      </c>
      <c r="J301" s="1"/>
      <c r="K301" s="1"/>
      <c r="L301" s="1" t="s">
        <v>1178</v>
      </c>
      <c r="M301" s="1" t="s">
        <v>2149</v>
      </c>
      <c r="N301" s="1" t="s">
        <v>53</v>
      </c>
      <c r="O301" s="1" t="s">
        <v>187</v>
      </c>
      <c r="P301" s="2" t="s">
        <v>2150</v>
      </c>
      <c r="Q301" s="1" t="s">
        <v>56</v>
      </c>
      <c r="R301" s="2" t="s">
        <v>2015</v>
      </c>
      <c r="S301" s="1" t="s">
        <v>1173</v>
      </c>
      <c r="T301" s="1">
        <v>2504405.0</v>
      </c>
      <c r="U301" s="1" t="s">
        <v>2151</v>
      </c>
      <c r="V301" s="1" t="s">
        <v>1175</v>
      </c>
      <c r="W301" s="1" t="s">
        <v>291</v>
      </c>
      <c r="X301" s="1"/>
      <c r="Y301" s="1" t="str">
        <f>"02016000312202111"</f>
        <v>02016000312202111</v>
      </c>
      <c r="Z301" s="1" t="s">
        <v>223</v>
      </c>
      <c r="AA301" s="1" t="s">
        <v>2152</v>
      </c>
      <c r="AB301" s="1" t="str">
        <f>"05444984000113"</f>
        <v>05444984000113</v>
      </c>
      <c r="AC301" s="1"/>
      <c r="AD301" s="1"/>
      <c r="AE301" s="1"/>
      <c r="AF301" s="1">
        <v>-38.483889</v>
      </c>
      <c r="AG301" s="1">
        <v>-7.5325</v>
      </c>
      <c r="AH301" s="1" t="s">
        <v>2153</v>
      </c>
      <c r="AI301" s="1"/>
      <c r="AJ301" s="1" t="s">
        <v>1178</v>
      </c>
      <c r="AK301" s="1"/>
      <c r="AL301" s="1" t="s">
        <v>128</v>
      </c>
      <c r="AM301" s="1" t="s">
        <v>65</v>
      </c>
      <c r="AN301" s="1" t="s">
        <v>296</v>
      </c>
      <c r="AO301" s="2" t="s">
        <v>2109</v>
      </c>
      <c r="AP301" s="2" t="s">
        <v>2154</v>
      </c>
      <c r="AQ301" s="1" t="s">
        <v>132</v>
      </c>
      <c r="AR301" s="1" t="s">
        <v>693</v>
      </c>
      <c r="AS301" s="1"/>
      <c r="AT301" s="2" t="s">
        <v>70</v>
      </c>
    </row>
    <row r="302">
      <c r="A302" s="1">
        <v>2043441.0</v>
      </c>
      <c r="B302" s="1" t="s">
        <v>116</v>
      </c>
      <c r="C302" s="1" t="s">
        <v>117</v>
      </c>
      <c r="D302" s="1" t="s">
        <v>46</v>
      </c>
      <c r="E302" s="1" t="s">
        <v>2155</v>
      </c>
      <c r="F302" s="1"/>
      <c r="G302" s="1" t="s">
        <v>119</v>
      </c>
      <c r="H302" s="1" t="s">
        <v>50</v>
      </c>
      <c r="I302" s="1">
        <v>1100.0</v>
      </c>
      <c r="J302" s="1"/>
      <c r="K302" s="1"/>
      <c r="L302" s="1" t="s">
        <v>485</v>
      </c>
      <c r="M302" s="1" t="s">
        <v>2156</v>
      </c>
      <c r="N302" s="1" t="s">
        <v>285</v>
      </c>
      <c r="O302" s="1" t="s">
        <v>286</v>
      </c>
      <c r="P302" s="2" t="s">
        <v>2157</v>
      </c>
      <c r="Q302" s="1" t="s">
        <v>56</v>
      </c>
      <c r="R302" s="2" t="s">
        <v>2015</v>
      </c>
      <c r="S302" s="1" t="s">
        <v>488</v>
      </c>
      <c r="T302" s="1">
        <v>1703008.0</v>
      </c>
      <c r="U302" s="1" t="s">
        <v>2158</v>
      </c>
      <c r="V302" s="1" t="s">
        <v>490</v>
      </c>
      <c r="W302" s="1" t="s">
        <v>172</v>
      </c>
      <c r="X302" s="1"/>
      <c r="Y302" s="1" t="str">
        <f>"02029000149202139"</f>
        <v>02029000149202139</v>
      </c>
      <c r="Z302" s="1" t="s">
        <v>292</v>
      </c>
      <c r="AA302" s="1" t="s">
        <v>2159</v>
      </c>
      <c r="AB302" s="1" t="str">
        <f>"09218781000160"</f>
        <v>09218781000160</v>
      </c>
      <c r="AC302" s="1"/>
      <c r="AD302" s="1"/>
      <c r="AE302" s="1"/>
      <c r="AF302" s="1">
        <v>-48.3325</v>
      </c>
      <c r="AG302" s="1">
        <v>-10.206944</v>
      </c>
      <c r="AH302" s="1" t="s">
        <v>2160</v>
      </c>
      <c r="AI302" s="1"/>
      <c r="AJ302" s="1" t="s">
        <v>485</v>
      </c>
      <c r="AK302" s="1"/>
      <c r="AL302" s="1" t="s">
        <v>128</v>
      </c>
      <c r="AM302" s="1" t="s">
        <v>65</v>
      </c>
      <c r="AN302" s="1" t="s">
        <v>296</v>
      </c>
      <c r="AO302" s="2" t="s">
        <v>2109</v>
      </c>
      <c r="AP302" s="2" t="s">
        <v>2161</v>
      </c>
      <c r="AQ302" s="1" t="s">
        <v>132</v>
      </c>
      <c r="AR302" s="1" t="s">
        <v>531</v>
      </c>
      <c r="AS302" s="1"/>
      <c r="AT302" s="2" t="s">
        <v>70</v>
      </c>
    </row>
    <row r="303">
      <c r="A303" s="1">
        <v>2043673.0</v>
      </c>
      <c r="B303" s="1" t="s">
        <v>116</v>
      </c>
      <c r="C303" s="1" t="s">
        <v>117</v>
      </c>
      <c r="D303" s="1" t="s">
        <v>46</v>
      </c>
      <c r="E303" s="1" t="s">
        <v>2162</v>
      </c>
      <c r="F303" s="1"/>
      <c r="G303" s="1" t="s">
        <v>119</v>
      </c>
      <c r="H303" s="1" t="s">
        <v>50</v>
      </c>
      <c r="I303" s="1">
        <v>30000.0</v>
      </c>
      <c r="J303" s="1"/>
      <c r="K303" s="1"/>
      <c r="L303" s="1" t="s">
        <v>452</v>
      </c>
      <c r="M303" s="1" t="s">
        <v>2163</v>
      </c>
      <c r="N303" s="1" t="s">
        <v>186</v>
      </c>
      <c r="O303" s="1" t="s">
        <v>95</v>
      </c>
      <c r="P303" s="2" t="s">
        <v>2157</v>
      </c>
      <c r="Q303" s="1" t="s">
        <v>56</v>
      </c>
      <c r="R303" s="1"/>
      <c r="S303" s="1" t="s">
        <v>220</v>
      </c>
      <c r="T303" s="1">
        <v>2105500.0</v>
      </c>
      <c r="U303" s="1" t="s">
        <v>2164</v>
      </c>
      <c r="V303" s="1" t="s">
        <v>449</v>
      </c>
      <c r="W303" s="1" t="s">
        <v>100</v>
      </c>
      <c r="X303" s="1"/>
      <c r="Y303" s="1" t="str">
        <f>"02012000278202114"</f>
        <v>02012000278202114</v>
      </c>
      <c r="Z303" s="1" t="s">
        <v>101</v>
      </c>
      <c r="AA303" s="1" t="s">
        <v>2165</v>
      </c>
      <c r="AB303" s="1" t="str">
        <f>"***740313**"</f>
        <v>***740313**</v>
      </c>
      <c r="AC303" s="1"/>
      <c r="AD303" s="1"/>
      <c r="AE303" s="1"/>
      <c r="AF303" s="1">
        <v>-47.030722</v>
      </c>
      <c r="AG303" s="1">
        <v>-5.276694</v>
      </c>
      <c r="AH303" s="1" t="s">
        <v>2166</v>
      </c>
      <c r="AI303" s="1"/>
      <c r="AJ303" s="1" t="s">
        <v>452</v>
      </c>
      <c r="AK303" s="1"/>
      <c r="AL303" s="1" t="s">
        <v>128</v>
      </c>
      <c r="AM303" s="1" t="s">
        <v>65</v>
      </c>
      <c r="AN303" s="1" t="s">
        <v>2001</v>
      </c>
      <c r="AO303" s="2" t="s">
        <v>1068</v>
      </c>
      <c r="AP303" s="2" t="s">
        <v>2167</v>
      </c>
      <c r="AQ303" s="1" t="s">
        <v>132</v>
      </c>
      <c r="AR303" s="1" t="s">
        <v>494</v>
      </c>
      <c r="AS303" s="1"/>
      <c r="AT303" s="2" t="s">
        <v>70</v>
      </c>
    </row>
    <row r="304">
      <c r="A304" s="1"/>
      <c r="B304" s="1" t="s">
        <v>46</v>
      </c>
      <c r="C304" s="1" t="s">
        <v>47</v>
      </c>
      <c r="D304" s="1"/>
      <c r="E304" s="1" t="s">
        <v>2168</v>
      </c>
      <c r="F304" s="1"/>
      <c r="G304" s="1" t="s">
        <v>49</v>
      </c>
      <c r="H304" s="1" t="s">
        <v>50</v>
      </c>
      <c r="I304" s="1">
        <v>74300.0</v>
      </c>
      <c r="J304" s="1"/>
      <c r="K304" s="1" t="s">
        <v>92</v>
      </c>
      <c r="L304" s="1"/>
      <c r="M304" s="1" t="s">
        <v>2169</v>
      </c>
      <c r="N304" s="1" t="s">
        <v>74</v>
      </c>
      <c r="O304" s="1" t="s">
        <v>75</v>
      </c>
      <c r="P304" s="2" t="s">
        <v>2170</v>
      </c>
      <c r="Q304" s="1" t="s">
        <v>56</v>
      </c>
      <c r="R304" s="1"/>
      <c r="S304" s="1" t="s">
        <v>400</v>
      </c>
      <c r="T304" s="1">
        <v>4318507.0</v>
      </c>
      <c r="U304" s="1" t="s">
        <v>1147</v>
      </c>
      <c r="V304" s="1" t="s">
        <v>402</v>
      </c>
      <c r="W304" s="1" t="s">
        <v>60</v>
      </c>
      <c r="X304" s="1"/>
      <c r="Y304" s="1"/>
      <c r="Z304" s="1" t="s">
        <v>79</v>
      </c>
      <c r="AA304" s="1" t="s">
        <v>2171</v>
      </c>
      <c r="AB304" s="1" t="str">
        <f>"39994213000111"</f>
        <v>39994213000111</v>
      </c>
      <c r="AC304" s="1"/>
      <c r="AD304" s="1" t="s">
        <v>81</v>
      </c>
      <c r="AE304" s="1"/>
      <c r="AF304" s="1">
        <v>-52.037778</v>
      </c>
      <c r="AG304" s="1">
        <v>-32.009167</v>
      </c>
      <c r="AH304" s="1" t="s">
        <v>1147</v>
      </c>
      <c r="AI304" s="1"/>
      <c r="AJ304" s="1" t="s">
        <v>405</v>
      </c>
      <c r="AK304" s="1"/>
      <c r="AL304" s="1"/>
      <c r="AM304" s="1" t="s">
        <v>65</v>
      </c>
      <c r="AN304" s="1" t="s">
        <v>1044</v>
      </c>
      <c r="AO304" s="1"/>
      <c r="AP304" s="2" t="s">
        <v>2172</v>
      </c>
      <c r="AQ304" s="1"/>
      <c r="AR304" s="1" t="s">
        <v>407</v>
      </c>
      <c r="AS304" s="1" t="s">
        <v>1151</v>
      </c>
      <c r="AT304" s="2" t="s">
        <v>70</v>
      </c>
    </row>
    <row r="305">
      <c r="A305" s="1"/>
      <c r="B305" s="1" t="s">
        <v>46</v>
      </c>
      <c r="C305" s="1" t="s">
        <v>47</v>
      </c>
      <c r="D305" s="1"/>
      <c r="E305" s="1" t="s">
        <v>2173</v>
      </c>
      <c r="F305" s="1"/>
      <c r="G305" s="1" t="s">
        <v>49</v>
      </c>
      <c r="H305" s="1" t="s">
        <v>50</v>
      </c>
      <c r="I305" s="1">
        <v>700.0</v>
      </c>
      <c r="J305" s="1"/>
      <c r="K305" s="1" t="s">
        <v>51</v>
      </c>
      <c r="L305" s="1"/>
      <c r="M305" s="1" t="s">
        <v>2174</v>
      </c>
      <c r="N305" s="1" t="s">
        <v>257</v>
      </c>
      <c r="O305" s="1" t="s">
        <v>258</v>
      </c>
      <c r="P305" s="2" t="s">
        <v>2175</v>
      </c>
      <c r="Q305" s="1" t="s">
        <v>56</v>
      </c>
      <c r="R305" s="1"/>
      <c r="S305" s="1" t="s">
        <v>475</v>
      </c>
      <c r="T305" s="1">
        <v>3133105.0</v>
      </c>
      <c r="U305" s="1" t="s">
        <v>2176</v>
      </c>
      <c r="V305" s="1" t="s">
        <v>477</v>
      </c>
      <c r="W305" s="1" t="s">
        <v>78</v>
      </c>
      <c r="X305" s="1"/>
      <c r="Y305" s="1"/>
      <c r="Z305" s="1" t="s">
        <v>260</v>
      </c>
      <c r="AA305" s="1" t="s">
        <v>2177</v>
      </c>
      <c r="AB305" s="1" t="str">
        <f>"***311726**"</f>
        <v>***311726**</v>
      </c>
      <c r="AC305" s="1"/>
      <c r="AD305" s="1" t="s">
        <v>62</v>
      </c>
      <c r="AE305" s="1"/>
      <c r="AF305" s="1">
        <v>-44.923333</v>
      </c>
      <c r="AG305" s="1">
        <v>-22.3055</v>
      </c>
      <c r="AH305" s="1" t="s">
        <v>2178</v>
      </c>
      <c r="AI305" s="1"/>
      <c r="AJ305" s="1" t="s">
        <v>2126</v>
      </c>
      <c r="AK305" s="1"/>
      <c r="AL305" s="1"/>
      <c r="AM305" s="1" t="s">
        <v>65</v>
      </c>
      <c r="AN305" s="1"/>
      <c r="AO305" s="1"/>
      <c r="AP305" s="2" t="s">
        <v>2179</v>
      </c>
      <c r="AQ305" s="1"/>
      <c r="AR305" s="1" t="s">
        <v>463</v>
      </c>
      <c r="AS305" s="1"/>
      <c r="AT305" s="2" t="s">
        <v>70</v>
      </c>
    </row>
    <row r="306">
      <c r="A306" s="1"/>
      <c r="B306" s="1" t="s">
        <v>46</v>
      </c>
      <c r="C306" s="1" t="s">
        <v>47</v>
      </c>
      <c r="D306" s="1"/>
      <c r="E306" s="1" t="s">
        <v>2180</v>
      </c>
      <c r="F306" s="1"/>
      <c r="G306" s="1" t="s">
        <v>49</v>
      </c>
      <c r="H306" s="1" t="s">
        <v>50</v>
      </c>
      <c r="I306" s="1">
        <v>3500.0</v>
      </c>
      <c r="J306" s="1"/>
      <c r="K306" s="1" t="s">
        <v>51</v>
      </c>
      <c r="L306" s="1"/>
      <c r="M306" s="1" t="s">
        <v>2181</v>
      </c>
      <c r="N306" s="1" t="s">
        <v>94</v>
      </c>
      <c r="O306" s="1" t="s">
        <v>95</v>
      </c>
      <c r="P306" s="2" t="s">
        <v>2182</v>
      </c>
      <c r="Q306" s="1" t="s">
        <v>77</v>
      </c>
      <c r="R306" s="1"/>
      <c r="S306" s="1" t="s">
        <v>220</v>
      </c>
      <c r="T306" s="1">
        <v>2100600.0</v>
      </c>
      <c r="U306" s="1" t="s">
        <v>1998</v>
      </c>
      <c r="V306" s="1" t="s">
        <v>449</v>
      </c>
      <c r="W306" s="1" t="s">
        <v>172</v>
      </c>
      <c r="X306" s="1"/>
      <c r="Y306" s="1"/>
      <c r="Z306" s="1" t="s">
        <v>101</v>
      </c>
      <c r="AA306" s="1" t="s">
        <v>2183</v>
      </c>
      <c r="AB306" s="1" t="str">
        <f>"***927973**"</f>
        <v>***927973**</v>
      </c>
      <c r="AC306" s="1"/>
      <c r="AD306" s="1" t="s">
        <v>81</v>
      </c>
      <c r="AE306" s="1"/>
      <c r="AF306" s="1">
        <v>-46.760694</v>
      </c>
      <c r="AG306" s="1">
        <v>-4.983056</v>
      </c>
      <c r="AH306" s="1" t="s">
        <v>2184</v>
      </c>
      <c r="AI306" s="1"/>
      <c r="AJ306" s="1" t="s">
        <v>452</v>
      </c>
      <c r="AK306" s="1"/>
      <c r="AL306" s="1"/>
      <c r="AM306" s="1" t="s">
        <v>65</v>
      </c>
      <c r="AN306" s="1" t="s">
        <v>2001</v>
      </c>
      <c r="AO306" s="1"/>
      <c r="AP306" s="2" t="s">
        <v>2185</v>
      </c>
      <c r="AQ306" s="1"/>
      <c r="AR306" s="1" t="s">
        <v>2186</v>
      </c>
      <c r="AS306" s="1" t="s">
        <v>2187</v>
      </c>
      <c r="AT306" s="2" t="s">
        <v>70</v>
      </c>
    </row>
    <row r="307">
      <c r="A307" s="1"/>
      <c r="B307" s="1" t="s">
        <v>46</v>
      </c>
      <c r="C307" s="1" t="s">
        <v>47</v>
      </c>
      <c r="D307" s="1"/>
      <c r="E307" s="1" t="s">
        <v>2188</v>
      </c>
      <c r="F307" s="1"/>
      <c r="G307" s="1" t="s">
        <v>49</v>
      </c>
      <c r="H307" s="1" t="s">
        <v>50</v>
      </c>
      <c r="I307" s="1">
        <v>57020.0</v>
      </c>
      <c r="J307" s="1"/>
      <c r="K307" s="1" t="s">
        <v>92</v>
      </c>
      <c r="L307" s="1"/>
      <c r="M307" s="1" t="s">
        <v>2189</v>
      </c>
      <c r="N307" s="1" t="s">
        <v>74</v>
      </c>
      <c r="O307" s="1" t="s">
        <v>75</v>
      </c>
      <c r="P307" s="2" t="s">
        <v>2190</v>
      </c>
      <c r="Q307" s="1" t="s">
        <v>77</v>
      </c>
      <c r="R307" s="1"/>
      <c r="S307" s="1" t="s">
        <v>400</v>
      </c>
      <c r="T307" s="1">
        <v>4314902.0</v>
      </c>
      <c r="U307" s="1" t="s">
        <v>2191</v>
      </c>
      <c r="V307" s="1" t="s">
        <v>402</v>
      </c>
      <c r="W307" s="1" t="s">
        <v>60</v>
      </c>
      <c r="X307" s="1"/>
      <c r="Y307" s="1"/>
      <c r="Z307" s="1" t="s">
        <v>79</v>
      </c>
      <c r="AA307" s="1" t="s">
        <v>2192</v>
      </c>
      <c r="AB307" s="1" t="str">
        <f>"18851982000190"</f>
        <v>18851982000190</v>
      </c>
      <c r="AC307" s="1"/>
      <c r="AD307" s="1" t="s">
        <v>81</v>
      </c>
      <c r="AE307" s="1"/>
      <c r="AF307" s="1">
        <v>-51.181667</v>
      </c>
      <c r="AG307" s="1">
        <v>-30.210278</v>
      </c>
      <c r="AH307" s="1" t="s">
        <v>2193</v>
      </c>
      <c r="AI307" s="1"/>
      <c r="AJ307" s="1" t="s">
        <v>405</v>
      </c>
      <c r="AK307" s="1"/>
      <c r="AL307" s="1"/>
      <c r="AM307" s="1" t="s">
        <v>65</v>
      </c>
      <c r="AN307" s="1" t="s">
        <v>1044</v>
      </c>
      <c r="AO307" s="1"/>
      <c r="AP307" s="2" t="s">
        <v>2194</v>
      </c>
      <c r="AQ307" s="1"/>
      <c r="AR307" s="1" t="s">
        <v>407</v>
      </c>
      <c r="AS307" s="1" t="s">
        <v>2195</v>
      </c>
      <c r="AT307" s="2" t="s">
        <v>70</v>
      </c>
    </row>
    <row r="308">
      <c r="A308" s="1"/>
      <c r="B308" s="1" t="s">
        <v>46</v>
      </c>
      <c r="C308" s="1" t="s">
        <v>47</v>
      </c>
      <c r="D308" s="1"/>
      <c r="E308" s="1" t="s">
        <v>2196</v>
      </c>
      <c r="F308" s="1"/>
      <c r="G308" s="1" t="s">
        <v>49</v>
      </c>
      <c r="H308" s="1" t="s">
        <v>50</v>
      </c>
      <c r="I308" s="1">
        <v>1000.0</v>
      </c>
      <c r="J308" s="1"/>
      <c r="K308" s="1" t="s">
        <v>51</v>
      </c>
      <c r="L308" s="1"/>
      <c r="M308" s="1" t="s">
        <v>2197</v>
      </c>
      <c r="N308" s="1" t="s">
        <v>94</v>
      </c>
      <c r="O308" s="1" t="s">
        <v>95</v>
      </c>
      <c r="P308" s="2" t="s">
        <v>2198</v>
      </c>
      <c r="Q308" s="1" t="s">
        <v>56</v>
      </c>
      <c r="R308" s="1"/>
      <c r="S308" s="1" t="s">
        <v>475</v>
      </c>
      <c r="T308" s="1">
        <v>3133758.0</v>
      </c>
      <c r="U308" s="1" t="s">
        <v>2199</v>
      </c>
      <c r="V308" s="1" t="s">
        <v>477</v>
      </c>
      <c r="W308" s="1" t="s">
        <v>78</v>
      </c>
      <c r="X308" s="1"/>
      <c r="Y308" s="1"/>
      <c r="Z308" s="1" t="s">
        <v>101</v>
      </c>
      <c r="AA308" s="1" t="s">
        <v>2200</v>
      </c>
      <c r="AB308" s="1" t="str">
        <f>"***900466**"</f>
        <v>***900466**</v>
      </c>
      <c r="AC308" s="1"/>
      <c r="AD308" s="1" t="s">
        <v>81</v>
      </c>
      <c r="AE308" s="1"/>
      <c r="AF308" s="1">
        <v>-46.713028</v>
      </c>
      <c r="AG308" s="1">
        <v>-20.802611</v>
      </c>
      <c r="AH308" s="1" t="s">
        <v>2201</v>
      </c>
      <c r="AI308" s="1"/>
      <c r="AJ308" s="1" t="s">
        <v>2126</v>
      </c>
      <c r="AK308" s="1"/>
      <c r="AL308" s="1"/>
      <c r="AM308" s="1" t="s">
        <v>65</v>
      </c>
      <c r="AN308" s="1"/>
      <c r="AO308" s="1"/>
      <c r="AP308" s="2" t="s">
        <v>2202</v>
      </c>
      <c r="AQ308" s="1"/>
      <c r="AR308" s="1" t="s">
        <v>298</v>
      </c>
      <c r="AS308" s="1"/>
      <c r="AT308" s="2" t="s">
        <v>70</v>
      </c>
    </row>
    <row r="309">
      <c r="A309" s="1"/>
      <c r="B309" s="1" t="s">
        <v>46</v>
      </c>
      <c r="C309" s="1" t="s">
        <v>47</v>
      </c>
      <c r="D309" s="1"/>
      <c r="E309" s="1" t="s">
        <v>2203</v>
      </c>
      <c r="F309" s="1"/>
      <c r="G309" s="1" t="s">
        <v>49</v>
      </c>
      <c r="H309" s="1" t="s">
        <v>50</v>
      </c>
      <c r="I309" s="1">
        <v>1000.0</v>
      </c>
      <c r="J309" s="1"/>
      <c r="K309" s="1" t="s">
        <v>51</v>
      </c>
      <c r="L309" s="1"/>
      <c r="M309" s="1" t="s">
        <v>2204</v>
      </c>
      <c r="N309" s="1" t="s">
        <v>94</v>
      </c>
      <c r="O309" s="1" t="s">
        <v>95</v>
      </c>
      <c r="P309" s="2" t="s">
        <v>2205</v>
      </c>
      <c r="Q309" s="1" t="s">
        <v>56</v>
      </c>
      <c r="R309" s="1"/>
      <c r="S309" s="1" t="s">
        <v>475</v>
      </c>
      <c r="T309" s="1">
        <v>3112802.0</v>
      </c>
      <c r="U309" s="1" t="s">
        <v>2206</v>
      </c>
      <c r="V309" s="1" t="s">
        <v>477</v>
      </c>
      <c r="W309" s="1" t="s">
        <v>78</v>
      </c>
      <c r="X309" s="1"/>
      <c r="Y309" s="1"/>
      <c r="Z309" s="1" t="s">
        <v>101</v>
      </c>
      <c r="AA309" s="1" t="s">
        <v>2207</v>
      </c>
      <c r="AB309" s="1" t="str">
        <f>"***323566**"</f>
        <v>***323566**</v>
      </c>
      <c r="AC309" s="1"/>
      <c r="AD309" s="1" t="s">
        <v>81</v>
      </c>
      <c r="AE309" s="1"/>
      <c r="AF309" s="1">
        <v>-46.049389</v>
      </c>
      <c r="AG309" s="1">
        <v>-20.617194</v>
      </c>
      <c r="AH309" s="1" t="s">
        <v>2208</v>
      </c>
      <c r="AI309" s="1"/>
      <c r="AJ309" s="1" t="s">
        <v>2126</v>
      </c>
      <c r="AK309" s="1"/>
      <c r="AL309" s="1"/>
      <c r="AM309" s="1" t="s">
        <v>65</v>
      </c>
      <c r="AN309" s="1"/>
      <c r="AO309" s="1"/>
      <c r="AP309" s="2" t="s">
        <v>2209</v>
      </c>
      <c r="AQ309" s="1"/>
      <c r="AR309" s="1" t="s">
        <v>298</v>
      </c>
      <c r="AS309" s="1"/>
      <c r="AT309" s="2" t="s">
        <v>70</v>
      </c>
    </row>
    <row r="310">
      <c r="A310" s="1"/>
      <c r="B310" s="1" t="s">
        <v>46</v>
      </c>
      <c r="C310" s="1" t="s">
        <v>47</v>
      </c>
      <c r="D310" s="1"/>
      <c r="E310" s="1" t="s">
        <v>2210</v>
      </c>
      <c r="F310" s="1"/>
      <c r="G310" s="1" t="s">
        <v>49</v>
      </c>
      <c r="H310" s="1" t="s">
        <v>50</v>
      </c>
      <c r="I310" s="1">
        <v>57020.0</v>
      </c>
      <c r="J310" s="1"/>
      <c r="K310" s="1" t="s">
        <v>92</v>
      </c>
      <c r="L310" s="1"/>
      <c r="M310" s="1" t="s">
        <v>2211</v>
      </c>
      <c r="N310" s="1" t="s">
        <v>74</v>
      </c>
      <c r="O310" s="1" t="s">
        <v>75</v>
      </c>
      <c r="P310" s="2" t="s">
        <v>2212</v>
      </c>
      <c r="Q310" s="1" t="s">
        <v>56</v>
      </c>
      <c r="R310" s="1"/>
      <c r="S310" s="1" t="s">
        <v>400</v>
      </c>
      <c r="T310" s="1">
        <v>4314407.0</v>
      </c>
      <c r="U310" s="1" t="s">
        <v>1649</v>
      </c>
      <c r="V310" s="1" t="s">
        <v>402</v>
      </c>
      <c r="W310" s="1" t="s">
        <v>60</v>
      </c>
      <c r="X310" s="1"/>
      <c r="Y310" s="1"/>
      <c r="Z310" s="1" t="s">
        <v>79</v>
      </c>
      <c r="AA310" s="1" t="s">
        <v>2213</v>
      </c>
      <c r="AB310" s="1" t="str">
        <f>"12799742000108"</f>
        <v>12799742000108</v>
      </c>
      <c r="AC310" s="1"/>
      <c r="AD310" s="1" t="s">
        <v>81</v>
      </c>
      <c r="AE310" s="1"/>
      <c r="AF310" s="1">
        <v>-52.156389</v>
      </c>
      <c r="AG310" s="1">
        <v>-31.699444</v>
      </c>
      <c r="AH310" s="1" t="s">
        <v>2214</v>
      </c>
      <c r="AI310" s="1"/>
      <c r="AJ310" s="1" t="s">
        <v>405</v>
      </c>
      <c r="AK310" s="1"/>
      <c r="AL310" s="1"/>
      <c r="AM310" s="1" t="s">
        <v>65</v>
      </c>
      <c r="AN310" s="1" t="s">
        <v>1044</v>
      </c>
      <c r="AO310" s="1"/>
      <c r="AP310" s="2" t="s">
        <v>2215</v>
      </c>
      <c r="AQ310" s="1"/>
      <c r="AR310" s="1" t="s">
        <v>407</v>
      </c>
      <c r="AS310" s="1" t="s">
        <v>408</v>
      </c>
      <c r="AT310" s="2" t="s">
        <v>70</v>
      </c>
    </row>
    <row r="311">
      <c r="A311" s="1"/>
      <c r="B311" s="1" t="s">
        <v>46</v>
      </c>
      <c r="C311" s="1" t="s">
        <v>47</v>
      </c>
      <c r="D311" s="1"/>
      <c r="E311" s="1" t="s">
        <v>2216</v>
      </c>
      <c r="F311" s="1"/>
      <c r="G311" s="1" t="s">
        <v>49</v>
      </c>
      <c r="H311" s="1" t="s">
        <v>50</v>
      </c>
      <c r="I311" s="1">
        <v>1000.0</v>
      </c>
      <c r="J311" s="1"/>
      <c r="K311" s="1" t="s">
        <v>51</v>
      </c>
      <c r="L311" s="1"/>
      <c r="M311" s="1" t="s">
        <v>2217</v>
      </c>
      <c r="N311" s="1" t="s">
        <v>94</v>
      </c>
      <c r="O311" s="1" t="s">
        <v>95</v>
      </c>
      <c r="P311" s="2" t="s">
        <v>2218</v>
      </c>
      <c r="Q311" s="1" t="s">
        <v>56</v>
      </c>
      <c r="R311" s="1"/>
      <c r="S311" s="1" t="s">
        <v>475</v>
      </c>
      <c r="T311" s="1">
        <v>3129707.0</v>
      </c>
      <c r="U311" s="1" t="s">
        <v>2219</v>
      </c>
      <c r="V311" s="1" t="s">
        <v>477</v>
      </c>
      <c r="W311" s="1" t="s">
        <v>78</v>
      </c>
      <c r="X311" s="1"/>
      <c r="Y311" s="1"/>
      <c r="Z311" s="1" t="s">
        <v>101</v>
      </c>
      <c r="AA311" s="1" t="s">
        <v>2220</v>
      </c>
      <c r="AB311" s="1" t="str">
        <f>"***261275**"</f>
        <v>***261275**</v>
      </c>
      <c r="AC311" s="1"/>
      <c r="AD311" s="1" t="s">
        <v>81</v>
      </c>
      <c r="AE311" s="1"/>
      <c r="AF311" s="1">
        <v>-46.999306</v>
      </c>
      <c r="AG311" s="1">
        <v>-20.355083</v>
      </c>
      <c r="AH311" s="1" t="s">
        <v>2221</v>
      </c>
      <c r="AI311" s="1"/>
      <c r="AJ311" s="1" t="s">
        <v>2126</v>
      </c>
      <c r="AK311" s="1"/>
      <c r="AL311" s="1"/>
      <c r="AM311" s="1" t="s">
        <v>65</v>
      </c>
      <c r="AN311" s="1"/>
      <c r="AO311" s="1"/>
      <c r="AP311" s="2" t="s">
        <v>2222</v>
      </c>
      <c r="AQ311" s="1"/>
      <c r="AR311" s="1" t="s">
        <v>298</v>
      </c>
      <c r="AS311" s="1"/>
      <c r="AT311" s="2" t="s">
        <v>70</v>
      </c>
    </row>
    <row r="312">
      <c r="A312" s="1"/>
      <c r="B312" s="1" t="s">
        <v>46</v>
      </c>
      <c r="C312" s="1" t="s">
        <v>47</v>
      </c>
      <c r="D312" s="1"/>
      <c r="E312" s="1" t="s">
        <v>2223</v>
      </c>
      <c r="F312" s="1"/>
      <c r="G312" s="1" t="s">
        <v>49</v>
      </c>
      <c r="H312" s="1" t="s">
        <v>50</v>
      </c>
      <c r="I312" s="1">
        <v>1000.0</v>
      </c>
      <c r="J312" s="1"/>
      <c r="K312" s="1" t="s">
        <v>51</v>
      </c>
      <c r="L312" s="1"/>
      <c r="M312" s="1" t="s">
        <v>2224</v>
      </c>
      <c r="N312" s="1" t="s">
        <v>94</v>
      </c>
      <c r="O312" s="1" t="s">
        <v>95</v>
      </c>
      <c r="P312" s="2" t="s">
        <v>2225</v>
      </c>
      <c r="Q312" s="1" t="s">
        <v>56</v>
      </c>
      <c r="R312" s="1"/>
      <c r="S312" s="1" t="s">
        <v>475</v>
      </c>
      <c r="T312" s="1">
        <v>3153004.0</v>
      </c>
      <c r="U312" s="1" t="s">
        <v>2226</v>
      </c>
      <c r="V312" s="1" t="s">
        <v>477</v>
      </c>
      <c r="W312" s="1" t="s">
        <v>78</v>
      </c>
      <c r="X312" s="1"/>
      <c r="Y312" s="1"/>
      <c r="Z312" s="1" t="s">
        <v>101</v>
      </c>
      <c r="AA312" s="1" t="s">
        <v>2227</v>
      </c>
      <c r="AB312" s="1" t="str">
        <f>"***072186**"</f>
        <v>***072186**</v>
      </c>
      <c r="AC312" s="1"/>
      <c r="AD312" s="1" t="s">
        <v>81</v>
      </c>
      <c r="AE312" s="1"/>
      <c r="AF312" s="1">
        <v>-46.244194</v>
      </c>
      <c r="AG312" s="1">
        <v>-20.025139</v>
      </c>
      <c r="AH312" s="1" t="s">
        <v>2228</v>
      </c>
      <c r="AI312" s="1"/>
      <c r="AJ312" s="1" t="s">
        <v>2126</v>
      </c>
      <c r="AK312" s="1"/>
      <c r="AL312" s="1"/>
      <c r="AM312" s="1" t="s">
        <v>65</v>
      </c>
      <c r="AN312" s="1"/>
      <c r="AO312" s="1"/>
      <c r="AP312" s="2" t="s">
        <v>2229</v>
      </c>
      <c r="AQ312" s="1"/>
      <c r="AR312" s="1" t="s">
        <v>298</v>
      </c>
      <c r="AS312" s="1"/>
      <c r="AT312" s="2" t="s">
        <v>70</v>
      </c>
    </row>
    <row r="313">
      <c r="A313" s="1">
        <v>2043590.0</v>
      </c>
      <c r="B313" s="1" t="s">
        <v>116</v>
      </c>
      <c r="C313" s="1" t="s">
        <v>117</v>
      </c>
      <c r="D313" s="1" t="s">
        <v>46</v>
      </c>
      <c r="E313" s="1" t="s">
        <v>2230</v>
      </c>
      <c r="F313" s="1"/>
      <c r="G313" s="1" t="s">
        <v>119</v>
      </c>
      <c r="H313" s="1" t="s">
        <v>50</v>
      </c>
      <c r="I313" s="1">
        <v>100000.0</v>
      </c>
      <c r="J313" s="1"/>
      <c r="K313" s="1"/>
      <c r="L313" s="1" t="s">
        <v>1737</v>
      </c>
      <c r="M313" s="1" t="s">
        <v>2231</v>
      </c>
      <c r="N313" s="1" t="s">
        <v>186</v>
      </c>
      <c r="O313" s="1" t="s">
        <v>302</v>
      </c>
      <c r="P313" s="2" t="s">
        <v>2232</v>
      </c>
      <c r="Q313" s="1" t="s">
        <v>56</v>
      </c>
      <c r="R313" s="1"/>
      <c r="S313" s="1" t="s">
        <v>169</v>
      </c>
      <c r="T313" s="1">
        <v>3205309.0</v>
      </c>
      <c r="U313" s="1" t="s">
        <v>2037</v>
      </c>
      <c r="V313" s="1" t="s">
        <v>59</v>
      </c>
      <c r="W313" s="1" t="s">
        <v>60</v>
      </c>
      <c r="X313" s="1"/>
      <c r="Y313" s="1"/>
      <c r="Z313" s="1" t="s">
        <v>306</v>
      </c>
      <c r="AA313" s="1" t="s">
        <v>61</v>
      </c>
      <c r="AB313" s="1" t="str">
        <f>"33000167000101"</f>
        <v>33000167000101</v>
      </c>
      <c r="AC313" s="1"/>
      <c r="AD313" s="1"/>
      <c r="AE313" s="1"/>
      <c r="AF313" s="1">
        <v>-40.045278</v>
      </c>
      <c r="AG313" s="1">
        <v>-22.242778</v>
      </c>
      <c r="AH313" s="1" t="s">
        <v>2233</v>
      </c>
      <c r="AI313" s="1"/>
      <c r="AJ313" s="1" t="s">
        <v>1737</v>
      </c>
      <c r="AK313" s="1"/>
      <c r="AL313" s="1" t="s">
        <v>128</v>
      </c>
      <c r="AM313" s="1" t="s">
        <v>65</v>
      </c>
      <c r="AN313" s="1" t="s">
        <v>1743</v>
      </c>
      <c r="AO313" s="2" t="s">
        <v>1371</v>
      </c>
      <c r="AP313" s="2" t="s">
        <v>2234</v>
      </c>
      <c r="AQ313" s="1" t="s">
        <v>132</v>
      </c>
      <c r="AR313" s="1" t="s">
        <v>1745</v>
      </c>
      <c r="AS313" s="1" t="s">
        <v>2097</v>
      </c>
      <c r="AT313" s="2" t="s">
        <v>70</v>
      </c>
    </row>
    <row r="314">
      <c r="A314" s="1">
        <v>2043823.0</v>
      </c>
      <c r="B314" s="1" t="s">
        <v>116</v>
      </c>
      <c r="C314" s="1" t="s">
        <v>117</v>
      </c>
      <c r="D314" s="1" t="s">
        <v>46</v>
      </c>
      <c r="E314" s="1" t="s">
        <v>2235</v>
      </c>
      <c r="F314" s="1"/>
      <c r="G314" s="1" t="s">
        <v>119</v>
      </c>
      <c r="H314" s="1" t="s">
        <v>72</v>
      </c>
      <c r="I314" s="1">
        <v>17835.51</v>
      </c>
      <c r="J314" s="1"/>
      <c r="K314" s="1"/>
      <c r="L314" s="1" t="s">
        <v>510</v>
      </c>
      <c r="M314" s="1" t="s">
        <v>2236</v>
      </c>
      <c r="N314" s="1" t="s">
        <v>109</v>
      </c>
      <c r="O314" s="1" t="s">
        <v>110</v>
      </c>
      <c r="P314" s="2" t="s">
        <v>2232</v>
      </c>
      <c r="Q314" s="1" t="s">
        <v>77</v>
      </c>
      <c r="R314" s="2" t="s">
        <v>2237</v>
      </c>
      <c r="S314" s="1" t="s">
        <v>765</v>
      </c>
      <c r="T314" s="1">
        <v>2611606.0</v>
      </c>
      <c r="U314" s="1" t="s">
        <v>2238</v>
      </c>
      <c r="V314" s="1" t="s">
        <v>507</v>
      </c>
      <c r="W314" s="1" t="s">
        <v>78</v>
      </c>
      <c r="X314" s="1"/>
      <c r="Y314" s="1" t="str">
        <f>"02019000244202151"</f>
        <v>02019000244202151</v>
      </c>
      <c r="Z314" s="1" t="s">
        <v>112</v>
      </c>
      <c r="AA314" s="1" t="s">
        <v>2239</v>
      </c>
      <c r="AB314" s="1" t="str">
        <f>"***810504**"</f>
        <v>***810504**</v>
      </c>
      <c r="AC314" s="1"/>
      <c r="AD314" s="1"/>
      <c r="AE314" s="1"/>
      <c r="AF314" s="1">
        <v>-34.943333</v>
      </c>
      <c r="AG314" s="1">
        <v>-8.077778</v>
      </c>
      <c r="AH314" s="1" t="s">
        <v>2240</v>
      </c>
      <c r="AI314" s="1"/>
      <c r="AJ314" s="1" t="s">
        <v>510</v>
      </c>
      <c r="AK314" s="1"/>
      <c r="AL314" s="1" t="s">
        <v>128</v>
      </c>
      <c r="AM314" s="1" t="s">
        <v>65</v>
      </c>
      <c r="AN314" s="1" t="s">
        <v>159</v>
      </c>
      <c r="AO314" s="2" t="s">
        <v>468</v>
      </c>
      <c r="AP314" s="2" t="s">
        <v>2241</v>
      </c>
      <c r="AQ314" s="1" t="s">
        <v>132</v>
      </c>
      <c r="AR314" s="1" t="s">
        <v>780</v>
      </c>
      <c r="AS314" s="1" t="s">
        <v>2242</v>
      </c>
      <c r="AT314" s="2" t="s">
        <v>70</v>
      </c>
    </row>
    <row r="315">
      <c r="A315" s="1"/>
      <c r="B315" s="1" t="s">
        <v>46</v>
      </c>
      <c r="C315" s="1" t="s">
        <v>47</v>
      </c>
      <c r="D315" s="1"/>
      <c r="E315" s="1" t="s">
        <v>2243</v>
      </c>
      <c r="F315" s="1"/>
      <c r="G315" s="1" t="s">
        <v>49</v>
      </c>
      <c r="H315" s="1" t="s">
        <v>50</v>
      </c>
      <c r="I315" s="1">
        <v>10500.0</v>
      </c>
      <c r="J315" s="1"/>
      <c r="K315" s="1" t="s">
        <v>92</v>
      </c>
      <c r="L315" s="1"/>
      <c r="M315" s="1" t="s">
        <v>2244</v>
      </c>
      <c r="N315" s="1" t="s">
        <v>94</v>
      </c>
      <c r="O315" s="1" t="s">
        <v>95</v>
      </c>
      <c r="P315" s="2" t="s">
        <v>2245</v>
      </c>
      <c r="Q315" s="1" t="s">
        <v>56</v>
      </c>
      <c r="R315" s="2" t="s">
        <v>2237</v>
      </c>
      <c r="S315" s="1" t="s">
        <v>220</v>
      </c>
      <c r="T315" s="1">
        <v>2100600.0</v>
      </c>
      <c r="U315" s="1" t="s">
        <v>1998</v>
      </c>
      <c r="V315" s="1" t="s">
        <v>449</v>
      </c>
      <c r="W315" s="1" t="s">
        <v>172</v>
      </c>
      <c r="X315" s="1"/>
      <c r="Y315" s="1"/>
      <c r="Z315" s="1" t="s">
        <v>101</v>
      </c>
      <c r="AA315" s="1" t="s">
        <v>2246</v>
      </c>
      <c r="AB315" s="1" t="str">
        <f>"***461065**"</f>
        <v>***461065**</v>
      </c>
      <c r="AC315" s="1"/>
      <c r="AD315" s="1" t="s">
        <v>62</v>
      </c>
      <c r="AE315" s="1"/>
      <c r="AF315" s="1">
        <v>-46.761472</v>
      </c>
      <c r="AG315" s="1">
        <v>-4.981306</v>
      </c>
      <c r="AH315" s="1" t="s">
        <v>2247</v>
      </c>
      <c r="AI315" s="1"/>
      <c r="AJ315" s="1" t="s">
        <v>452</v>
      </c>
      <c r="AK315" s="1"/>
      <c r="AL315" s="1"/>
      <c r="AM315" s="1" t="s">
        <v>65</v>
      </c>
      <c r="AN315" s="1" t="s">
        <v>2001</v>
      </c>
      <c r="AO315" s="1"/>
      <c r="AP315" s="2" t="s">
        <v>2248</v>
      </c>
      <c r="AQ315" s="1"/>
      <c r="AR315" s="1" t="s">
        <v>2186</v>
      </c>
      <c r="AS315" s="1" t="s">
        <v>2187</v>
      </c>
      <c r="AT315" s="2" t="s">
        <v>70</v>
      </c>
    </row>
    <row r="316">
      <c r="A316" s="1"/>
      <c r="B316" s="1" t="s">
        <v>46</v>
      </c>
      <c r="C316" s="1" t="s">
        <v>47</v>
      </c>
      <c r="D316" s="1"/>
      <c r="E316" s="1" t="s">
        <v>2249</v>
      </c>
      <c r="F316" s="1"/>
      <c r="G316" s="1" t="s">
        <v>49</v>
      </c>
      <c r="H316" s="1" t="s">
        <v>72</v>
      </c>
      <c r="I316" s="1">
        <v>17260.0</v>
      </c>
      <c r="J316" s="1"/>
      <c r="K316" s="1"/>
      <c r="L316" s="1"/>
      <c r="M316" s="1" t="s">
        <v>2250</v>
      </c>
      <c r="N316" s="1" t="s">
        <v>109</v>
      </c>
      <c r="O316" s="1" t="s">
        <v>110</v>
      </c>
      <c r="P316" s="2" t="s">
        <v>2251</v>
      </c>
      <c r="Q316" s="1" t="s">
        <v>56</v>
      </c>
      <c r="R316" s="1"/>
      <c r="S316" s="1" t="s">
        <v>1468</v>
      </c>
      <c r="T316" s="1">
        <v>5002159.0</v>
      </c>
      <c r="U316" s="1" t="s">
        <v>2252</v>
      </c>
      <c r="V316" s="1" t="s">
        <v>1470</v>
      </c>
      <c r="W316" s="1" t="s">
        <v>1658</v>
      </c>
      <c r="X316" s="1"/>
      <c r="Y316" s="1"/>
      <c r="Z316" s="1" t="s">
        <v>112</v>
      </c>
      <c r="AA316" s="1" t="s">
        <v>2253</v>
      </c>
      <c r="AB316" s="1" t="str">
        <f>"02013649000172"</f>
        <v>02013649000172</v>
      </c>
      <c r="AC316" s="1"/>
      <c r="AD316" s="1" t="s">
        <v>325</v>
      </c>
      <c r="AE316" s="1"/>
      <c r="AF316" s="1">
        <v>-56.896111</v>
      </c>
      <c r="AG316" s="1">
        <v>-20.52</v>
      </c>
      <c r="AH316" s="1" t="s">
        <v>2254</v>
      </c>
      <c r="AI316" s="1"/>
      <c r="AJ316" s="1" t="s">
        <v>1473</v>
      </c>
      <c r="AK316" s="1"/>
      <c r="AL316" s="1"/>
      <c r="AM316" s="1" t="s">
        <v>65</v>
      </c>
      <c r="AN316" s="1"/>
      <c r="AO316" s="1"/>
      <c r="AP316" s="2" t="s">
        <v>2255</v>
      </c>
      <c r="AQ316" s="1"/>
      <c r="AR316" s="1" t="s">
        <v>1475</v>
      </c>
      <c r="AS316" s="1"/>
      <c r="AT316" s="2" t="s">
        <v>70</v>
      </c>
    </row>
    <row r="317">
      <c r="A317" s="1"/>
      <c r="B317" s="1" t="s">
        <v>46</v>
      </c>
      <c r="C317" s="1" t="s">
        <v>47</v>
      </c>
      <c r="D317" s="1"/>
      <c r="E317" s="1" t="s">
        <v>2256</v>
      </c>
      <c r="F317" s="1"/>
      <c r="G317" s="1" t="s">
        <v>49</v>
      </c>
      <c r="H317" s="1" t="s">
        <v>72</v>
      </c>
      <c r="I317" s="1">
        <v>1286.28</v>
      </c>
      <c r="J317" s="1"/>
      <c r="K317" s="1"/>
      <c r="L317" s="1"/>
      <c r="M317" s="1" t="s">
        <v>2257</v>
      </c>
      <c r="N317" s="1" t="s">
        <v>109</v>
      </c>
      <c r="O317" s="1" t="s">
        <v>110</v>
      </c>
      <c r="P317" s="2" t="s">
        <v>2258</v>
      </c>
      <c r="Q317" s="1" t="s">
        <v>56</v>
      </c>
      <c r="R317" s="2" t="s">
        <v>2237</v>
      </c>
      <c r="S317" s="1" t="s">
        <v>220</v>
      </c>
      <c r="T317" s="1">
        <v>2100600.0</v>
      </c>
      <c r="U317" s="1" t="s">
        <v>1998</v>
      </c>
      <c r="V317" s="1" t="s">
        <v>449</v>
      </c>
      <c r="W317" s="1" t="s">
        <v>172</v>
      </c>
      <c r="X317" s="1"/>
      <c r="Y317" s="1"/>
      <c r="Z317" s="1" t="s">
        <v>112</v>
      </c>
      <c r="AA317" s="1" t="s">
        <v>2246</v>
      </c>
      <c r="AB317" s="1" t="str">
        <f t="shared" ref="AB317:AB318" si="21">"***461065**"</f>
        <v>***461065**</v>
      </c>
      <c r="AC317" s="1"/>
      <c r="AD317" s="1" t="s">
        <v>81</v>
      </c>
      <c r="AE317" s="1"/>
      <c r="AF317" s="1">
        <v>-46.761472</v>
      </c>
      <c r="AG317" s="1">
        <v>-4.981306</v>
      </c>
      <c r="AH317" s="1" t="s">
        <v>2259</v>
      </c>
      <c r="AI317" s="1"/>
      <c r="AJ317" s="1" t="s">
        <v>452</v>
      </c>
      <c r="AK317" s="1"/>
      <c r="AL317" s="1"/>
      <c r="AM317" s="1" t="s">
        <v>65</v>
      </c>
      <c r="AN317" s="1" t="s">
        <v>2001</v>
      </c>
      <c r="AO317" s="1"/>
      <c r="AP317" s="2" t="s">
        <v>2260</v>
      </c>
      <c r="AQ317" s="1"/>
      <c r="AR317" s="1" t="s">
        <v>2261</v>
      </c>
      <c r="AS317" s="1" t="s">
        <v>2262</v>
      </c>
      <c r="AT317" s="2" t="s">
        <v>70</v>
      </c>
    </row>
    <row r="318">
      <c r="A318" s="1"/>
      <c r="B318" s="1" t="s">
        <v>46</v>
      </c>
      <c r="C318" s="1" t="s">
        <v>47</v>
      </c>
      <c r="D318" s="1"/>
      <c r="E318" s="1" t="s">
        <v>2263</v>
      </c>
      <c r="F318" s="1"/>
      <c r="G318" s="1" t="s">
        <v>49</v>
      </c>
      <c r="H318" s="1" t="s">
        <v>72</v>
      </c>
      <c r="I318" s="1">
        <v>4000.0</v>
      </c>
      <c r="J318" s="1"/>
      <c r="K318" s="1"/>
      <c r="L318" s="1"/>
      <c r="M318" s="1" t="s">
        <v>2264</v>
      </c>
      <c r="N318" s="1" t="s">
        <v>257</v>
      </c>
      <c r="O318" s="1" t="s">
        <v>258</v>
      </c>
      <c r="P318" s="2" t="s">
        <v>2265</v>
      </c>
      <c r="Q318" s="1" t="s">
        <v>56</v>
      </c>
      <c r="R318" s="2" t="s">
        <v>2237</v>
      </c>
      <c r="S318" s="1" t="s">
        <v>220</v>
      </c>
      <c r="T318" s="1">
        <v>2100600.0</v>
      </c>
      <c r="U318" s="1" t="s">
        <v>1998</v>
      </c>
      <c r="V318" s="1" t="s">
        <v>449</v>
      </c>
      <c r="W318" s="1" t="s">
        <v>172</v>
      </c>
      <c r="X318" s="1"/>
      <c r="Y318" s="1"/>
      <c r="Z318" s="1" t="s">
        <v>260</v>
      </c>
      <c r="AA318" s="1" t="s">
        <v>2266</v>
      </c>
      <c r="AB318" s="1" t="str">
        <f t="shared" si="21"/>
        <v>***461065**</v>
      </c>
      <c r="AC318" s="1"/>
      <c r="AD318" s="1" t="s">
        <v>81</v>
      </c>
      <c r="AE318" s="1"/>
      <c r="AF318" s="1">
        <v>-46.761472</v>
      </c>
      <c r="AG318" s="1">
        <v>-4.981306</v>
      </c>
      <c r="AH318" s="1" t="s">
        <v>2247</v>
      </c>
      <c r="AI318" s="1"/>
      <c r="AJ318" s="1" t="s">
        <v>452</v>
      </c>
      <c r="AK318" s="1"/>
      <c r="AL318" s="1"/>
      <c r="AM318" s="1" t="s">
        <v>65</v>
      </c>
      <c r="AN318" s="1" t="s">
        <v>2001</v>
      </c>
      <c r="AO318" s="1"/>
      <c r="AP318" s="2" t="s">
        <v>2267</v>
      </c>
      <c r="AQ318" s="1"/>
      <c r="AR318" s="1" t="s">
        <v>1053</v>
      </c>
      <c r="AS318" s="1" t="s">
        <v>2268</v>
      </c>
      <c r="AT318" s="2" t="s">
        <v>70</v>
      </c>
    </row>
    <row r="319">
      <c r="A319" s="1">
        <v>2043421.0</v>
      </c>
      <c r="B319" s="1" t="s">
        <v>116</v>
      </c>
      <c r="C319" s="1" t="s">
        <v>117</v>
      </c>
      <c r="D319" s="1" t="s">
        <v>46</v>
      </c>
      <c r="E319" s="1" t="s">
        <v>2269</v>
      </c>
      <c r="F319" s="1"/>
      <c r="G319" s="1" t="s">
        <v>119</v>
      </c>
      <c r="H319" s="1" t="s">
        <v>50</v>
      </c>
      <c r="I319" s="1">
        <v>4995.0</v>
      </c>
      <c r="J319" s="1"/>
      <c r="K319" s="1"/>
      <c r="L319" s="1" t="s">
        <v>1178</v>
      </c>
      <c r="M319" s="1" t="s">
        <v>2270</v>
      </c>
      <c r="N319" s="1" t="s">
        <v>53</v>
      </c>
      <c r="O319" s="1" t="s">
        <v>187</v>
      </c>
      <c r="P319" s="2" t="s">
        <v>2271</v>
      </c>
      <c r="Q319" s="1" t="s">
        <v>56</v>
      </c>
      <c r="R319" s="2" t="s">
        <v>2237</v>
      </c>
      <c r="S319" s="1" t="s">
        <v>1173</v>
      </c>
      <c r="T319" s="1">
        <v>2512721.0</v>
      </c>
      <c r="U319" s="1" t="s">
        <v>2272</v>
      </c>
      <c r="V319" s="1" t="s">
        <v>1175</v>
      </c>
      <c r="W319" s="1" t="s">
        <v>78</v>
      </c>
      <c r="X319" s="1"/>
      <c r="Y319" s="1" t="str">
        <f>"02016000307202108"</f>
        <v>02016000307202108</v>
      </c>
      <c r="Z319" s="1" t="s">
        <v>223</v>
      </c>
      <c r="AA319" s="1" t="s">
        <v>2273</v>
      </c>
      <c r="AB319" s="1" t="str">
        <f>"***367684**"</f>
        <v>***367684**</v>
      </c>
      <c r="AC319" s="1"/>
      <c r="AD319" s="1"/>
      <c r="AE319" s="1"/>
      <c r="AF319" s="1">
        <v>-35.282333</v>
      </c>
      <c r="AG319" s="1">
        <v>-6.631306</v>
      </c>
      <c r="AH319" s="1" t="s">
        <v>2274</v>
      </c>
      <c r="AI319" s="1"/>
      <c r="AJ319" s="1" t="s">
        <v>1178</v>
      </c>
      <c r="AK319" s="1"/>
      <c r="AL319" s="1" t="s">
        <v>128</v>
      </c>
      <c r="AM319" s="1" t="s">
        <v>65</v>
      </c>
      <c r="AN319" s="1" t="s">
        <v>296</v>
      </c>
      <c r="AO319" s="2" t="s">
        <v>2275</v>
      </c>
      <c r="AP319" s="2" t="s">
        <v>2276</v>
      </c>
      <c r="AQ319" s="1" t="s">
        <v>132</v>
      </c>
      <c r="AR319" s="1" t="s">
        <v>1645</v>
      </c>
      <c r="AS319" s="1"/>
      <c r="AT319" s="2" t="s">
        <v>70</v>
      </c>
    </row>
    <row r="320">
      <c r="A320" s="1">
        <v>2043695.0</v>
      </c>
      <c r="B320" s="1" t="s">
        <v>116</v>
      </c>
      <c r="C320" s="1" t="s">
        <v>117</v>
      </c>
      <c r="D320" s="1" t="s">
        <v>46</v>
      </c>
      <c r="E320" s="1" t="s">
        <v>2277</v>
      </c>
      <c r="F320" s="1"/>
      <c r="G320" s="1" t="s">
        <v>119</v>
      </c>
      <c r="H320" s="1" t="s">
        <v>50</v>
      </c>
      <c r="I320" s="1">
        <v>1500.0</v>
      </c>
      <c r="J320" s="1"/>
      <c r="K320" s="1"/>
      <c r="L320" s="1" t="s">
        <v>295</v>
      </c>
      <c r="M320" s="1" t="s">
        <v>2278</v>
      </c>
      <c r="N320" s="1" t="s">
        <v>53</v>
      </c>
      <c r="O320" s="1" t="s">
        <v>382</v>
      </c>
      <c r="P320" s="2" t="s">
        <v>2271</v>
      </c>
      <c r="Q320" s="1" t="s">
        <v>56</v>
      </c>
      <c r="R320" s="1"/>
      <c r="S320" s="1" t="s">
        <v>288</v>
      </c>
      <c r="T320" s="1">
        <v>2208007.0</v>
      </c>
      <c r="U320" s="1" t="s">
        <v>2279</v>
      </c>
      <c r="V320" s="1" t="s">
        <v>290</v>
      </c>
      <c r="W320" s="1" t="s">
        <v>291</v>
      </c>
      <c r="X320" s="1"/>
      <c r="Y320" s="1" t="str">
        <f>"02020000311202107"</f>
        <v>02020000311202107</v>
      </c>
      <c r="Z320" s="1" t="s">
        <v>384</v>
      </c>
      <c r="AA320" s="1" t="s">
        <v>2280</v>
      </c>
      <c r="AB320" s="1" t="str">
        <f>"06301862000130"</f>
        <v>06301862000130</v>
      </c>
      <c r="AC320" s="1"/>
      <c r="AD320" s="1"/>
      <c r="AE320" s="1"/>
      <c r="AF320" s="1">
        <v>-42.763611</v>
      </c>
      <c r="AG320" s="1">
        <v>-5.06</v>
      </c>
      <c r="AH320" s="1" t="s">
        <v>2281</v>
      </c>
      <c r="AI320" s="1"/>
      <c r="AJ320" s="1" t="s">
        <v>295</v>
      </c>
      <c r="AK320" s="1"/>
      <c r="AL320" s="1" t="s">
        <v>128</v>
      </c>
      <c r="AM320" s="1" t="s">
        <v>65</v>
      </c>
      <c r="AN320" s="1" t="s">
        <v>159</v>
      </c>
      <c r="AO320" s="2" t="s">
        <v>1068</v>
      </c>
      <c r="AP320" s="2" t="s">
        <v>2282</v>
      </c>
      <c r="AQ320" s="1" t="s">
        <v>132</v>
      </c>
      <c r="AR320" s="1" t="s">
        <v>531</v>
      </c>
      <c r="AS320" s="1"/>
      <c r="AT320" s="2" t="s">
        <v>70</v>
      </c>
    </row>
    <row r="321">
      <c r="A321" s="1">
        <v>2043713.0</v>
      </c>
      <c r="B321" s="1" t="s">
        <v>116</v>
      </c>
      <c r="C321" s="1" t="s">
        <v>117</v>
      </c>
      <c r="D321" s="1" t="s">
        <v>46</v>
      </c>
      <c r="E321" s="1" t="s">
        <v>2283</v>
      </c>
      <c r="F321" s="1"/>
      <c r="G321" s="1" t="s">
        <v>119</v>
      </c>
      <c r="H321" s="1" t="s">
        <v>72</v>
      </c>
      <c r="I321" s="1">
        <v>110436.17</v>
      </c>
      <c r="J321" s="1"/>
      <c r="K321" s="1"/>
      <c r="L321" s="1" t="s">
        <v>2062</v>
      </c>
      <c r="M321" s="1" t="s">
        <v>2284</v>
      </c>
      <c r="N321" s="1" t="s">
        <v>109</v>
      </c>
      <c r="O321" s="1" t="s">
        <v>110</v>
      </c>
      <c r="P321" s="2" t="s">
        <v>2271</v>
      </c>
      <c r="Q321" s="1" t="s">
        <v>56</v>
      </c>
      <c r="R321" s="1"/>
      <c r="S321" s="1" t="s">
        <v>123</v>
      </c>
      <c r="T321" s="1">
        <v>1100205.0</v>
      </c>
      <c r="U321" s="1" t="s">
        <v>242</v>
      </c>
      <c r="V321" s="1" t="s">
        <v>125</v>
      </c>
      <c r="W321" s="1" t="s">
        <v>100</v>
      </c>
      <c r="X321" s="1"/>
      <c r="Y321" s="1" t="str">
        <f>"02024000511202111"</f>
        <v>02024000511202111</v>
      </c>
      <c r="Z321" s="1" t="s">
        <v>112</v>
      </c>
      <c r="AA321" s="1" t="s">
        <v>2285</v>
      </c>
      <c r="AB321" s="1" t="str">
        <f>"18335124000193"</f>
        <v>18335124000193</v>
      </c>
      <c r="AC321" s="1"/>
      <c r="AD321" s="1"/>
      <c r="AE321" s="1"/>
      <c r="AF321" s="1">
        <v>-63.890556</v>
      </c>
      <c r="AG321" s="1">
        <v>-8.737778</v>
      </c>
      <c r="AH321" s="1" t="s">
        <v>2066</v>
      </c>
      <c r="AI321" s="1"/>
      <c r="AJ321" s="1" t="s">
        <v>2062</v>
      </c>
      <c r="AK321" s="1"/>
      <c r="AL321" s="1" t="s">
        <v>128</v>
      </c>
      <c r="AM321" s="1" t="s">
        <v>65</v>
      </c>
      <c r="AN321" s="1"/>
      <c r="AO321" s="2" t="s">
        <v>778</v>
      </c>
      <c r="AP321" s="2" t="s">
        <v>2286</v>
      </c>
      <c r="AQ321" s="1" t="s">
        <v>132</v>
      </c>
      <c r="AR321" s="1" t="s">
        <v>133</v>
      </c>
      <c r="AS321" s="1" t="s">
        <v>2287</v>
      </c>
      <c r="AT321" s="2" t="s">
        <v>70</v>
      </c>
    </row>
    <row r="322">
      <c r="A322" s="1">
        <v>2043761.0</v>
      </c>
      <c r="B322" s="1" t="s">
        <v>116</v>
      </c>
      <c r="C322" s="1" t="s">
        <v>117</v>
      </c>
      <c r="D322" s="1" t="s">
        <v>46</v>
      </c>
      <c r="E322" s="1" t="s">
        <v>2288</v>
      </c>
      <c r="F322" s="1"/>
      <c r="G322" s="1" t="s">
        <v>119</v>
      </c>
      <c r="H322" s="1" t="s">
        <v>50</v>
      </c>
      <c r="I322" s="1">
        <v>1200.0</v>
      </c>
      <c r="J322" s="1"/>
      <c r="K322" s="1"/>
      <c r="L322" s="1" t="s">
        <v>295</v>
      </c>
      <c r="M322" s="1" t="s">
        <v>2289</v>
      </c>
      <c r="N322" s="1" t="s">
        <v>53</v>
      </c>
      <c r="O322" s="1" t="s">
        <v>382</v>
      </c>
      <c r="P322" s="2" t="s">
        <v>2271</v>
      </c>
      <c r="Q322" s="1" t="s">
        <v>56</v>
      </c>
      <c r="R322" s="1"/>
      <c r="S322" s="1" t="s">
        <v>288</v>
      </c>
      <c r="T322" s="1">
        <v>2211001.0</v>
      </c>
      <c r="U322" s="1" t="s">
        <v>527</v>
      </c>
      <c r="V322" s="1" t="s">
        <v>290</v>
      </c>
      <c r="W322" s="1" t="s">
        <v>291</v>
      </c>
      <c r="X322" s="1"/>
      <c r="Y322" s="1" t="str">
        <f>"02020000332202114"</f>
        <v>02020000332202114</v>
      </c>
      <c r="Z322" s="1" t="s">
        <v>384</v>
      </c>
      <c r="AA322" s="1" t="s">
        <v>2290</v>
      </c>
      <c r="AB322" s="1" t="str">
        <f>"03388101000170"</f>
        <v>03388101000170</v>
      </c>
      <c r="AC322" s="1"/>
      <c r="AD322" s="1"/>
      <c r="AE322" s="1"/>
      <c r="AF322" s="1">
        <v>-42.763611</v>
      </c>
      <c r="AG322" s="1">
        <v>-5.06</v>
      </c>
      <c r="AH322" s="1" t="s">
        <v>2291</v>
      </c>
      <c r="AI322" s="1"/>
      <c r="AJ322" s="1" t="s">
        <v>295</v>
      </c>
      <c r="AK322" s="1"/>
      <c r="AL322" s="1" t="s">
        <v>128</v>
      </c>
      <c r="AM322" s="1" t="s">
        <v>65</v>
      </c>
      <c r="AN322" s="1" t="s">
        <v>159</v>
      </c>
      <c r="AO322" s="2" t="s">
        <v>691</v>
      </c>
      <c r="AP322" s="2" t="s">
        <v>2292</v>
      </c>
      <c r="AQ322" s="1" t="s">
        <v>132</v>
      </c>
      <c r="AR322" s="1" t="s">
        <v>531</v>
      </c>
      <c r="AS322" s="1"/>
      <c r="AT322" s="2" t="s">
        <v>70</v>
      </c>
    </row>
    <row r="323">
      <c r="A323" s="1"/>
      <c r="B323" s="1" t="s">
        <v>46</v>
      </c>
      <c r="C323" s="1" t="s">
        <v>47</v>
      </c>
      <c r="D323" s="1"/>
      <c r="E323" s="1" t="s">
        <v>2293</v>
      </c>
      <c r="F323" s="1"/>
      <c r="G323" s="1" t="s">
        <v>49</v>
      </c>
      <c r="H323" s="1" t="s">
        <v>50</v>
      </c>
      <c r="I323" s="1">
        <v>6000.0</v>
      </c>
      <c r="J323" s="1"/>
      <c r="K323" s="1" t="s">
        <v>92</v>
      </c>
      <c r="L323" s="1"/>
      <c r="M323" s="1" t="s">
        <v>2294</v>
      </c>
      <c r="N323" s="1" t="s">
        <v>186</v>
      </c>
      <c r="O323" s="1" t="s">
        <v>187</v>
      </c>
      <c r="P323" s="2" t="s">
        <v>2295</v>
      </c>
      <c r="Q323" s="1" t="s">
        <v>77</v>
      </c>
      <c r="R323" s="1"/>
      <c r="S323" s="1" t="s">
        <v>1349</v>
      </c>
      <c r="T323" s="1">
        <v>1505536.0</v>
      </c>
      <c r="U323" s="1" t="s">
        <v>2296</v>
      </c>
      <c r="V323" s="1" t="s">
        <v>917</v>
      </c>
      <c r="W323" s="1" t="s">
        <v>100</v>
      </c>
      <c r="X323" s="1"/>
      <c r="Y323" s="1"/>
      <c r="Z323" s="1"/>
      <c r="AA323" s="1" t="s">
        <v>2297</v>
      </c>
      <c r="AB323" s="1" t="str">
        <f>"***005842**"</f>
        <v>***005842**</v>
      </c>
      <c r="AC323" s="1"/>
      <c r="AD323" s="1" t="s">
        <v>62</v>
      </c>
      <c r="AE323" s="1"/>
      <c r="AF323" s="1">
        <v>-49.803611</v>
      </c>
      <c r="AG323" s="1">
        <v>-5.909444</v>
      </c>
      <c r="AH323" s="1" t="s">
        <v>2298</v>
      </c>
      <c r="AI323" s="1"/>
      <c r="AJ323" s="1" t="s">
        <v>2299</v>
      </c>
      <c r="AK323" s="1"/>
      <c r="AL323" s="1"/>
      <c r="AM323" s="1" t="s">
        <v>65</v>
      </c>
      <c r="AN323" s="1" t="s">
        <v>2300</v>
      </c>
      <c r="AO323" s="1"/>
      <c r="AP323" s="2" t="s">
        <v>2301</v>
      </c>
      <c r="AQ323" s="1"/>
      <c r="AR323" s="1" t="s">
        <v>2302</v>
      </c>
      <c r="AS323" s="1"/>
      <c r="AT323" s="2" t="s">
        <v>70</v>
      </c>
    </row>
    <row r="324">
      <c r="A324" s="1">
        <v>2043434.0</v>
      </c>
      <c r="B324" s="1" t="s">
        <v>116</v>
      </c>
      <c r="C324" s="1" t="s">
        <v>117</v>
      </c>
      <c r="D324" s="1" t="s">
        <v>46</v>
      </c>
      <c r="E324" s="1" t="s">
        <v>2303</v>
      </c>
      <c r="F324" s="1"/>
      <c r="G324" s="1" t="s">
        <v>119</v>
      </c>
      <c r="H324" s="1" t="s">
        <v>50</v>
      </c>
      <c r="I324" s="1">
        <v>52500.0</v>
      </c>
      <c r="J324" s="1"/>
      <c r="K324" s="1"/>
      <c r="L324" s="1" t="s">
        <v>1227</v>
      </c>
      <c r="M324" s="1" t="s">
        <v>2304</v>
      </c>
      <c r="N324" s="1" t="s">
        <v>53</v>
      </c>
      <c r="O324" s="1" t="s">
        <v>333</v>
      </c>
      <c r="P324" s="2" t="s">
        <v>2305</v>
      </c>
      <c r="Q324" s="1" t="s">
        <v>77</v>
      </c>
      <c r="R324" s="2" t="s">
        <v>2237</v>
      </c>
      <c r="S324" s="1" t="s">
        <v>148</v>
      </c>
      <c r="T324" s="1">
        <v>1100098.0</v>
      </c>
      <c r="U324" s="1" t="s">
        <v>2306</v>
      </c>
      <c r="V324" s="1" t="s">
        <v>125</v>
      </c>
      <c r="W324" s="1" t="s">
        <v>100</v>
      </c>
      <c r="X324" s="1"/>
      <c r="Y324" s="1" t="str">
        <f>"02049000041202116"</f>
        <v>02049000041202116</v>
      </c>
      <c r="Z324" s="1" t="s">
        <v>223</v>
      </c>
      <c r="AA324" s="1" t="s">
        <v>2307</v>
      </c>
      <c r="AB324" s="1" t="str">
        <f>"08423509000159"</f>
        <v>08423509000159</v>
      </c>
      <c r="AC324" s="1"/>
      <c r="AD324" s="1"/>
      <c r="AE324" s="1"/>
      <c r="AF324" s="1">
        <v>-60.981111</v>
      </c>
      <c r="AG324" s="1">
        <v>-11.480833</v>
      </c>
      <c r="AH324" s="1" t="s">
        <v>2308</v>
      </c>
      <c r="AI324" s="1"/>
      <c r="AJ324" s="1" t="s">
        <v>1227</v>
      </c>
      <c r="AK324" s="1"/>
      <c r="AL324" s="1" t="s">
        <v>128</v>
      </c>
      <c r="AM324" s="1" t="s">
        <v>65</v>
      </c>
      <c r="AN324" s="1" t="s">
        <v>274</v>
      </c>
      <c r="AO324" s="2" t="s">
        <v>2109</v>
      </c>
      <c r="AP324" s="2" t="s">
        <v>2309</v>
      </c>
      <c r="AQ324" s="1" t="s">
        <v>132</v>
      </c>
      <c r="AR324" s="1" t="s">
        <v>247</v>
      </c>
      <c r="AS324" s="1" t="s">
        <v>2310</v>
      </c>
      <c r="AT324" s="2" t="s">
        <v>70</v>
      </c>
    </row>
    <row r="325">
      <c r="A325" s="1"/>
      <c r="B325" s="1" t="s">
        <v>46</v>
      </c>
      <c r="C325" s="1" t="s">
        <v>47</v>
      </c>
      <c r="D325" s="1"/>
      <c r="E325" s="1" t="s">
        <v>2311</v>
      </c>
      <c r="F325" s="1"/>
      <c r="G325" s="1" t="s">
        <v>49</v>
      </c>
      <c r="H325" s="1" t="s">
        <v>50</v>
      </c>
      <c r="I325" s="1">
        <v>52500.0</v>
      </c>
      <c r="J325" s="1"/>
      <c r="K325" s="1" t="s">
        <v>51</v>
      </c>
      <c r="L325" s="1"/>
      <c r="M325" s="1" t="s">
        <v>2312</v>
      </c>
      <c r="N325" s="1" t="s">
        <v>53</v>
      </c>
      <c r="O325" s="1" t="s">
        <v>333</v>
      </c>
      <c r="P325" s="2" t="s">
        <v>2313</v>
      </c>
      <c r="Q325" s="1" t="s">
        <v>56</v>
      </c>
      <c r="R325" s="1"/>
      <c r="S325" s="1" t="s">
        <v>123</v>
      </c>
      <c r="T325" s="1">
        <v>1100189.0</v>
      </c>
      <c r="U325" s="1" t="s">
        <v>2314</v>
      </c>
      <c r="V325" s="1" t="s">
        <v>125</v>
      </c>
      <c r="W325" s="1" t="s">
        <v>100</v>
      </c>
      <c r="X325" s="1"/>
      <c r="Y325" s="1"/>
      <c r="Z325" s="1" t="s">
        <v>223</v>
      </c>
      <c r="AA325" s="1" t="s">
        <v>2315</v>
      </c>
      <c r="AB325" s="1" t="str">
        <f>"21941146000101"</f>
        <v>21941146000101</v>
      </c>
      <c r="AC325" s="1"/>
      <c r="AD325" s="1" t="s">
        <v>81</v>
      </c>
      <c r="AE325" s="1"/>
      <c r="AF325" s="1">
        <v>-61.168611</v>
      </c>
      <c r="AG325" s="1">
        <v>-11.685278</v>
      </c>
      <c r="AH325" s="1" t="s">
        <v>2316</v>
      </c>
      <c r="AI325" s="1"/>
      <c r="AJ325" s="1" t="s">
        <v>1227</v>
      </c>
      <c r="AK325" s="1"/>
      <c r="AL325" s="1"/>
      <c r="AM325" s="1" t="s">
        <v>65</v>
      </c>
      <c r="AN325" s="1" t="s">
        <v>274</v>
      </c>
      <c r="AO325" s="1"/>
      <c r="AP325" s="2" t="s">
        <v>2317</v>
      </c>
      <c r="AQ325" s="1"/>
      <c r="AR325" s="1" t="s">
        <v>106</v>
      </c>
      <c r="AS325" s="1" t="s">
        <v>2310</v>
      </c>
      <c r="AT325" s="2" t="s">
        <v>70</v>
      </c>
    </row>
    <row r="326">
      <c r="A326" s="1">
        <v>2043440.0</v>
      </c>
      <c r="B326" s="1" t="s">
        <v>116</v>
      </c>
      <c r="C326" s="1" t="s">
        <v>117</v>
      </c>
      <c r="D326" s="1" t="s">
        <v>46</v>
      </c>
      <c r="E326" s="1" t="s">
        <v>2318</v>
      </c>
      <c r="F326" s="1"/>
      <c r="G326" s="1" t="s">
        <v>119</v>
      </c>
      <c r="H326" s="1" t="s">
        <v>50</v>
      </c>
      <c r="I326" s="1">
        <v>5000.0</v>
      </c>
      <c r="J326" s="1"/>
      <c r="K326" s="1"/>
      <c r="L326" s="1" t="s">
        <v>485</v>
      </c>
      <c r="M326" s="1" t="s">
        <v>686</v>
      </c>
      <c r="N326" s="1" t="s">
        <v>285</v>
      </c>
      <c r="O326" s="1" t="s">
        <v>286</v>
      </c>
      <c r="P326" s="2" t="s">
        <v>2319</v>
      </c>
      <c r="Q326" s="1" t="s">
        <v>56</v>
      </c>
      <c r="R326" s="1"/>
      <c r="S326" s="1" t="s">
        <v>488</v>
      </c>
      <c r="T326" s="1">
        <v>1702109.0</v>
      </c>
      <c r="U326" s="1" t="s">
        <v>851</v>
      </c>
      <c r="V326" s="1" t="s">
        <v>490</v>
      </c>
      <c r="W326" s="1" t="s">
        <v>172</v>
      </c>
      <c r="X326" s="1"/>
      <c r="Y326" s="1" t="str">
        <f>"02029000148202194"</f>
        <v>02029000148202194</v>
      </c>
      <c r="Z326" s="1" t="s">
        <v>292</v>
      </c>
      <c r="AA326" s="1" t="s">
        <v>2320</v>
      </c>
      <c r="AB326" s="1" t="str">
        <f>"03869103000180"</f>
        <v>03869103000180</v>
      </c>
      <c r="AC326" s="1"/>
      <c r="AD326" s="1"/>
      <c r="AE326" s="1"/>
      <c r="AF326" s="1">
        <v>-48.233333</v>
      </c>
      <c r="AG326" s="1">
        <v>-7.191667</v>
      </c>
      <c r="AH326" s="1" t="s">
        <v>2321</v>
      </c>
      <c r="AI326" s="1"/>
      <c r="AJ326" s="1" t="s">
        <v>485</v>
      </c>
      <c r="AK326" s="1"/>
      <c r="AL326" s="1" t="s">
        <v>128</v>
      </c>
      <c r="AM326" s="1" t="s">
        <v>65</v>
      </c>
      <c r="AN326" s="1" t="s">
        <v>296</v>
      </c>
      <c r="AO326" s="2" t="s">
        <v>2109</v>
      </c>
      <c r="AP326" s="2" t="s">
        <v>2322</v>
      </c>
      <c r="AQ326" s="1" t="s">
        <v>132</v>
      </c>
      <c r="AR326" s="1" t="s">
        <v>531</v>
      </c>
      <c r="AS326" s="1"/>
      <c r="AT326" s="2" t="s">
        <v>70</v>
      </c>
    </row>
    <row r="327">
      <c r="A327" s="1">
        <v>2043762.0</v>
      </c>
      <c r="B327" s="1" t="s">
        <v>116</v>
      </c>
      <c r="C327" s="1" t="s">
        <v>117</v>
      </c>
      <c r="D327" s="1" t="s">
        <v>46</v>
      </c>
      <c r="E327" s="1" t="s">
        <v>2323</v>
      </c>
      <c r="F327" s="1"/>
      <c r="G327" s="1" t="s">
        <v>119</v>
      </c>
      <c r="H327" s="1" t="s">
        <v>50</v>
      </c>
      <c r="I327" s="1">
        <v>1500.0</v>
      </c>
      <c r="J327" s="1"/>
      <c r="K327" s="1"/>
      <c r="L327" s="1" t="s">
        <v>295</v>
      </c>
      <c r="M327" s="1" t="s">
        <v>2324</v>
      </c>
      <c r="N327" s="1" t="s">
        <v>53</v>
      </c>
      <c r="O327" s="1" t="s">
        <v>382</v>
      </c>
      <c r="P327" s="2" t="s">
        <v>2319</v>
      </c>
      <c r="Q327" s="1" t="s">
        <v>56</v>
      </c>
      <c r="R327" s="1"/>
      <c r="S327" s="1" t="s">
        <v>288</v>
      </c>
      <c r="T327" s="1">
        <v>2200400.0</v>
      </c>
      <c r="U327" s="1" t="s">
        <v>2325</v>
      </c>
      <c r="V327" s="1" t="s">
        <v>290</v>
      </c>
      <c r="W327" s="1" t="s">
        <v>291</v>
      </c>
      <c r="X327" s="1"/>
      <c r="Y327" s="1" t="str">
        <f>"02020000333202169"</f>
        <v>02020000333202169</v>
      </c>
      <c r="Z327" s="1" t="s">
        <v>384</v>
      </c>
      <c r="AA327" s="1" t="s">
        <v>2326</v>
      </c>
      <c r="AB327" s="1" t="str">
        <f>"13597138000161"</f>
        <v>13597138000161</v>
      </c>
      <c r="AC327" s="1"/>
      <c r="AD327" s="1"/>
      <c r="AE327" s="1"/>
      <c r="AF327" s="1">
        <v>-42.763611</v>
      </c>
      <c r="AG327" s="1">
        <v>-5.06</v>
      </c>
      <c r="AH327" s="1" t="s">
        <v>2327</v>
      </c>
      <c r="AI327" s="1"/>
      <c r="AJ327" s="1" t="s">
        <v>295</v>
      </c>
      <c r="AK327" s="1"/>
      <c r="AL327" s="1" t="s">
        <v>128</v>
      </c>
      <c r="AM327" s="1" t="s">
        <v>65</v>
      </c>
      <c r="AN327" s="1" t="s">
        <v>159</v>
      </c>
      <c r="AO327" s="2" t="s">
        <v>691</v>
      </c>
      <c r="AP327" s="2" t="s">
        <v>2328</v>
      </c>
      <c r="AQ327" s="1" t="s">
        <v>132</v>
      </c>
      <c r="AR327" s="1" t="s">
        <v>531</v>
      </c>
      <c r="AS327" s="1"/>
      <c r="AT327" s="2" t="s">
        <v>70</v>
      </c>
    </row>
    <row r="328">
      <c r="A328" s="1">
        <v>2043422.0</v>
      </c>
      <c r="B328" s="1" t="s">
        <v>116</v>
      </c>
      <c r="C328" s="1" t="s">
        <v>117</v>
      </c>
      <c r="D328" s="1" t="s">
        <v>46</v>
      </c>
      <c r="E328" s="1" t="s">
        <v>2329</v>
      </c>
      <c r="F328" s="1"/>
      <c r="G328" s="1" t="s">
        <v>119</v>
      </c>
      <c r="H328" s="1" t="s">
        <v>50</v>
      </c>
      <c r="I328" s="1">
        <v>10000.0</v>
      </c>
      <c r="J328" s="1"/>
      <c r="K328" s="1"/>
      <c r="L328" s="1" t="s">
        <v>1178</v>
      </c>
      <c r="M328" s="1" t="s">
        <v>2149</v>
      </c>
      <c r="N328" s="1" t="s">
        <v>109</v>
      </c>
      <c r="O328" s="1" t="s">
        <v>110</v>
      </c>
      <c r="P328" s="2" t="s">
        <v>2330</v>
      </c>
      <c r="Q328" s="1" t="s">
        <v>56</v>
      </c>
      <c r="R328" s="2" t="s">
        <v>2331</v>
      </c>
      <c r="S328" s="1" t="s">
        <v>1173</v>
      </c>
      <c r="T328" s="1">
        <v>2507507.0</v>
      </c>
      <c r="U328" s="1" t="s">
        <v>1189</v>
      </c>
      <c r="V328" s="1" t="s">
        <v>1175</v>
      </c>
      <c r="W328" s="1" t="s">
        <v>78</v>
      </c>
      <c r="X328" s="1"/>
      <c r="Y328" s="1" t="str">
        <f>"02016000308202144"</f>
        <v>02016000308202144</v>
      </c>
      <c r="Z328" s="1" t="s">
        <v>112</v>
      </c>
      <c r="AA328" s="1" t="s">
        <v>2332</v>
      </c>
      <c r="AB328" s="1" t="str">
        <f>"05019584000160"</f>
        <v>05019584000160</v>
      </c>
      <c r="AC328" s="1"/>
      <c r="AD328" s="1"/>
      <c r="AE328" s="1"/>
      <c r="AF328" s="1">
        <v>-34.845556</v>
      </c>
      <c r="AG328" s="1">
        <v>-7.097778</v>
      </c>
      <c r="AH328" s="1" t="s">
        <v>2333</v>
      </c>
      <c r="AI328" s="1"/>
      <c r="AJ328" s="1" t="s">
        <v>1178</v>
      </c>
      <c r="AK328" s="1"/>
      <c r="AL328" s="1" t="s">
        <v>128</v>
      </c>
      <c r="AM328" s="1" t="s">
        <v>65</v>
      </c>
      <c r="AN328" s="1" t="s">
        <v>296</v>
      </c>
      <c r="AO328" s="2" t="s">
        <v>2275</v>
      </c>
      <c r="AP328" s="2" t="s">
        <v>2334</v>
      </c>
      <c r="AQ328" s="1" t="s">
        <v>132</v>
      </c>
      <c r="AR328" s="1" t="s">
        <v>693</v>
      </c>
      <c r="AS328" s="1"/>
      <c r="AT328" s="2" t="s">
        <v>70</v>
      </c>
    </row>
    <row r="329">
      <c r="A329" s="1"/>
      <c r="B329" s="1" t="s">
        <v>46</v>
      </c>
      <c r="C329" s="1" t="s">
        <v>47</v>
      </c>
      <c r="D329" s="1"/>
      <c r="E329" s="1" t="s">
        <v>2335</v>
      </c>
      <c r="F329" s="1"/>
      <c r="G329" s="1" t="s">
        <v>49</v>
      </c>
      <c r="H329" s="1" t="s">
        <v>72</v>
      </c>
      <c r="I329" s="1">
        <v>2858.46</v>
      </c>
      <c r="J329" s="1"/>
      <c r="K329" s="1"/>
      <c r="L329" s="1"/>
      <c r="M329" s="1" t="s">
        <v>2336</v>
      </c>
      <c r="N329" s="1" t="s">
        <v>109</v>
      </c>
      <c r="O329" s="1" t="s">
        <v>110</v>
      </c>
      <c r="P329" s="2" t="s">
        <v>2337</v>
      </c>
      <c r="Q329" s="1" t="s">
        <v>77</v>
      </c>
      <c r="R329" s="1"/>
      <c r="S329" s="1" t="s">
        <v>288</v>
      </c>
      <c r="T329" s="1">
        <v>2208403.0</v>
      </c>
      <c r="U329" s="1" t="s">
        <v>2338</v>
      </c>
      <c r="V329" s="1" t="s">
        <v>290</v>
      </c>
      <c r="W329" s="1" t="s">
        <v>291</v>
      </c>
      <c r="X329" s="1"/>
      <c r="Y329" s="1"/>
      <c r="Z329" s="1" t="s">
        <v>112</v>
      </c>
      <c r="AA329" s="1" t="s">
        <v>2339</v>
      </c>
      <c r="AB329" s="1" t="str">
        <f>"***055493**"</f>
        <v>***055493**</v>
      </c>
      <c r="AC329" s="1"/>
      <c r="AD329" s="1" t="s">
        <v>62</v>
      </c>
      <c r="AE329" s="1"/>
      <c r="AF329" s="1">
        <v>-41.777778</v>
      </c>
      <c r="AG329" s="1">
        <v>-4.315</v>
      </c>
      <c r="AH329" s="1" t="s">
        <v>2340</v>
      </c>
      <c r="AI329" s="1"/>
      <c r="AJ329" s="1" t="s">
        <v>295</v>
      </c>
      <c r="AK329" s="1"/>
      <c r="AL329" s="1"/>
      <c r="AM329" s="1" t="s">
        <v>65</v>
      </c>
      <c r="AN329" s="1" t="s">
        <v>83</v>
      </c>
      <c r="AO329" s="1"/>
      <c r="AP329" s="2" t="s">
        <v>2341</v>
      </c>
      <c r="AQ329" s="1"/>
      <c r="AR329" s="1" t="s">
        <v>177</v>
      </c>
      <c r="AS329" s="1"/>
      <c r="AT329" s="2" t="s">
        <v>70</v>
      </c>
    </row>
    <row r="330">
      <c r="A330" s="1">
        <v>2043677.0</v>
      </c>
      <c r="B330" s="1" t="s">
        <v>116</v>
      </c>
      <c r="C330" s="1" t="s">
        <v>117</v>
      </c>
      <c r="D330" s="1" t="s">
        <v>46</v>
      </c>
      <c r="E330" s="1" t="s">
        <v>2342</v>
      </c>
      <c r="F330" s="1"/>
      <c r="G330" s="1" t="s">
        <v>119</v>
      </c>
      <c r="H330" s="1" t="s">
        <v>72</v>
      </c>
      <c r="I330" s="1">
        <v>4873.26</v>
      </c>
      <c r="J330" s="1"/>
      <c r="K330" s="1"/>
      <c r="L330" s="1" t="s">
        <v>452</v>
      </c>
      <c r="M330" s="1" t="s">
        <v>2343</v>
      </c>
      <c r="N330" s="1" t="s">
        <v>109</v>
      </c>
      <c r="O330" s="1" t="s">
        <v>110</v>
      </c>
      <c r="P330" s="2" t="s">
        <v>2344</v>
      </c>
      <c r="Q330" s="1" t="s">
        <v>77</v>
      </c>
      <c r="R330" s="2" t="s">
        <v>2237</v>
      </c>
      <c r="S330" s="1" t="s">
        <v>220</v>
      </c>
      <c r="T330" s="1">
        <v>2105500.0</v>
      </c>
      <c r="U330" s="1" t="s">
        <v>2164</v>
      </c>
      <c r="V330" s="1" t="s">
        <v>449</v>
      </c>
      <c r="W330" s="1" t="s">
        <v>100</v>
      </c>
      <c r="X330" s="1"/>
      <c r="Y330" s="1" t="str">
        <f>"02012000279202151"</f>
        <v>02012000279202151</v>
      </c>
      <c r="Z330" s="1" t="s">
        <v>112</v>
      </c>
      <c r="AA330" s="1" t="s">
        <v>2165</v>
      </c>
      <c r="AB330" s="1" t="str">
        <f>"***740313**"</f>
        <v>***740313**</v>
      </c>
      <c r="AC330" s="1"/>
      <c r="AD330" s="1"/>
      <c r="AE330" s="1"/>
      <c r="AF330" s="1">
        <v>-47.03075</v>
      </c>
      <c r="AG330" s="1">
        <v>-5.276694</v>
      </c>
      <c r="AH330" s="1" t="s">
        <v>2166</v>
      </c>
      <c r="AI330" s="1"/>
      <c r="AJ330" s="1" t="s">
        <v>452</v>
      </c>
      <c r="AK330" s="1"/>
      <c r="AL330" s="1" t="s">
        <v>128</v>
      </c>
      <c r="AM330" s="1" t="s">
        <v>65</v>
      </c>
      <c r="AN330" s="1" t="s">
        <v>2001</v>
      </c>
      <c r="AO330" s="2" t="s">
        <v>1068</v>
      </c>
      <c r="AP330" s="2" t="s">
        <v>2345</v>
      </c>
      <c r="AQ330" s="1" t="s">
        <v>132</v>
      </c>
      <c r="AR330" s="1" t="s">
        <v>133</v>
      </c>
      <c r="AS330" s="1"/>
      <c r="AT330" s="2" t="s">
        <v>70</v>
      </c>
    </row>
    <row r="331">
      <c r="A331" s="1">
        <v>2043506.0</v>
      </c>
      <c r="B331" s="1" t="s">
        <v>116</v>
      </c>
      <c r="C331" s="1" t="s">
        <v>117</v>
      </c>
      <c r="D331" s="1" t="s">
        <v>46</v>
      </c>
      <c r="E331" s="1" t="s">
        <v>2346</v>
      </c>
      <c r="F331" s="1"/>
      <c r="G331" s="1" t="s">
        <v>119</v>
      </c>
      <c r="H331" s="1" t="s">
        <v>50</v>
      </c>
      <c r="I331" s="1">
        <v>500.0</v>
      </c>
      <c r="J331" s="1"/>
      <c r="K331" s="1"/>
      <c r="L331" s="1" t="s">
        <v>273</v>
      </c>
      <c r="M331" s="1" t="s">
        <v>2347</v>
      </c>
      <c r="N331" s="1" t="s">
        <v>257</v>
      </c>
      <c r="O331" s="1" t="s">
        <v>258</v>
      </c>
      <c r="P331" s="2" t="s">
        <v>2348</v>
      </c>
      <c r="Q331" s="1" t="s">
        <v>56</v>
      </c>
      <c r="R331" s="1"/>
      <c r="S331" s="1" t="s">
        <v>268</v>
      </c>
      <c r="T331" s="1">
        <v>4119152.0</v>
      </c>
      <c r="U331" s="1" t="s">
        <v>269</v>
      </c>
      <c r="V331" s="1" t="s">
        <v>270</v>
      </c>
      <c r="W331" s="1" t="s">
        <v>78</v>
      </c>
      <c r="X331" s="1"/>
      <c r="Y331" s="1" t="str">
        <f>"02017000247202113"</f>
        <v>02017000247202113</v>
      </c>
      <c r="Z331" s="1" t="s">
        <v>260</v>
      </c>
      <c r="AA331" s="1" t="s">
        <v>2349</v>
      </c>
      <c r="AB331" s="1" t="str">
        <f>"***196368**"</f>
        <v>***196368**</v>
      </c>
      <c r="AC331" s="1"/>
      <c r="AD331" s="1"/>
      <c r="AE331" s="1"/>
      <c r="AF331" s="1">
        <v>-49.1875</v>
      </c>
      <c r="AG331" s="1">
        <v>-25.428056</v>
      </c>
      <c r="AH331" s="1" t="s">
        <v>431</v>
      </c>
      <c r="AI331" s="1"/>
      <c r="AJ331" s="1" t="s">
        <v>273</v>
      </c>
      <c r="AK331" s="1"/>
      <c r="AL331" s="1" t="s">
        <v>128</v>
      </c>
      <c r="AM331" s="1" t="s">
        <v>65</v>
      </c>
      <c r="AN331" s="1" t="s">
        <v>274</v>
      </c>
      <c r="AO331" s="2" t="s">
        <v>1643</v>
      </c>
      <c r="AP331" s="2" t="s">
        <v>2350</v>
      </c>
      <c r="AQ331" s="1" t="s">
        <v>132</v>
      </c>
      <c r="AR331" s="1" t="s">
        <v>1242</v>
      </c>
      <c r="AS331" s="1"/>
      <c r="AT331" s="2" t="s">
        <v>70</v>
      </c>
    </row>
    <row r="332">
      <c r="A332" s="1"/>
      <c r="B332" s="1" t="s">
        <v>46</v>
      </c>
      <c r="C332" s="1" t="s">
        <v>47</v>
      </c>
      <c r="D332" s="1"/>
      <c r="E332" s="1" t="s">
        <v>2351</v>
      </c>
      <c r="F332" s="1"/>
      <c r="G332" s="1" t="s">
        <v>49</v>
      </c>
      <c r="H332" s="1" t="s">
        <v>50</v>
      </c>
      <c r="I332" s="1">
        <v>39700.0</v>
      </c>
      <c r="J332" s="1"/>
      <c r="K332" s="1" t="s">
        <v>92</v>
      </c>
      <c r="L332" s="1"/>
      <c r="M332" s="1" t="s">
        <v>2352</v>
      </c>
      <c r="N332" s="1" t="s">
        <v>74</v>
      </c>
      <c r="O332" s="1" t="s">
        <v>75</v>
      </c>
      <c r="P332" s="2" t="s">
        <v>2353</v>
      </c>
      <c r="Q332" s="1" t="s">
        <v>77</v>
      </c>
      <c r="R332" s="1"/>
      <c r="S332" s="1" t="s">
        <v>400</v>
      </c>
      <c r="T332" s="1">
        <v>4303509.0</v>
      </c>
      <c r="U332" s="1" t="s">
        <v>2354</v>
      </c>
      <c r="V332" s="1" t="s">
        <v>402</v>
      </c>
      <c r="W332" s="1" t="s">
        <v>78</v>
      </c>
      <c r="X332" s="1"/>
      <c r="Y332" s="1"/>
      <c r="Z332" s="1" t="s">
        <v>79</v>
      </c>
      <c r="AA332" s="1" t="s">
        <v>2355</v>
      </c>
      <c r="AB332" s="1" t="str">
        <f>"***993600**"</f>
        <v>***993600**</v>
      </c>
      <c r="AC332" s="1"/>
      <c r="AD332" s="1" t="s">
        <v>81</v>
      </c>
      <c r="AE332" s="1"/>
      <c r="AF332" s="1">
        <v>-51.798889</v>
      </c>
      <c r="AG332" s="1">
        <v>-30.860833</v>
      </c>
      <c r="AH332" s="1" t="s">
        <v>2356</v>
      </c>
      <c r="AI332" s="1"/>
      <c r="AJ332" s="1" t="s">
        <v>405</v>
      </c>
      <c r="AK332" s="1"/>
      <c r="AL332" s="1"/>
      <c r="AM332" s="1" t="s">
        <v>65</v>
      </c>
      <c r="AN332" s="1" t="s">
        <v>1044</v>
      </c>
      <c r="AO332" s="1"/>
      <c r="AP332" s="2" t="s">
        <v>2357</v>
      </c>
      <c r="AQ332" s="1"/>
      <c r="AR332" s="1" t="s">
        <v>502</v>
      </c>
      <c r="AS332" s="1" t="s">
        <v>408</v>
      </c>
      <c r="AT332" s="2" t="s">
        <v>70</v>
      </c>
    </row>
    <row r="333">
      <c r="A333" s="1">
        <v>2043455.0</v>
      </c>
      <c r="B333" s="1" t="s">
        <v>116</v>
      </c>
      <c r="C333" s="1" t="s">
        <v>117</v>
      </c>
      <c r="D333" s="1" t="s">
        <v>46</v>
      </c>
      <c r="E333" s="1" t="s">
        <v>2358</v>
      </c>
      <c r="F333" s="1"/>
      <c r="G333" s="1" t="s">
        <v>119</v>
      </c>
      <c r="H333" s="1" t="s">
        <v>50</v>
      </c>
      <c r="I333" s="1">
        <v>3000500.0</v>
      </c>
      <c r="J333" s="1"/>
      <c r="K333" s="1"/>
      <c r="L333" s="1" t="s">
        <v>120</v>
      </c>
      <c r="M333" s="1" t="s">
        <v>2359</v>
      </c>
      <c r="N333" s="1" t="s">
        <v>186</v>
      </c>
      <c r="O333" s="1" t="s">
        <v>302</v>
      </c>
      <c r="P333" s="2" t="s">
        <v>2360</v>
      </c>
      <c r="Q333" s="1" t="s">
        <v>56</v>
      </c>
      <c r="R333" s="1"/>
      <c r="S333" s="1" t="s">
        <v>608</v>
      </c>
      <c r="T333" s="1">
        <v>3304557.0</v>
      </c>
      <c r="U333" s="1" t="s">
        <v>1740</v>
      </c>
      <c r="V333" s="1" t="s">
        <v>1741</v>
      </c>
      <c r="W333" s="1" t="s">
        <v>60</v>
      </c>
      <c r="X333" s="1"/>
      <c r="Y333" s="1" t="str">
        <f>"02001003122202114"</f>
        <v>02001003122202114</v>
      </c>
      <c r="Z333" s="1" t="s">
        <v>306</v>
      </c>
      <c r="AA333" s="1" t="s">
        <v>2361</v>
      </c>
      <c r="AB333" s="1" t="str">
        <f>"11058804000168"</f>
        <v>11058804000168</v>
      </c>
      <c r="AC333" s="1"/>
      <c r="AD333" s="1"/>
      <c r="AE333" s="1"/>
      <c r="AF333" s="1">
        <v>-47.993333</v>
      </c>
      <c r="AG333" s="1">
        <v>-15.780278</v>
      </c>
      <c r="AH333" s="1" t="s">
        <v>2362</v>
      </c>
      <c r="AI333" s="1"/>
      <c r="AJ333" s="1" t="s">
        <v>120</v>
      </c>
      <c r="AK333" s="1"/>
      <c r="AL333" s="1" t="s">
        <v>128</v>
      </c>
      <c r="AM333" s="1" t="s">
        <v>65</v>
      </c>
      <c r="AN333" s="1" t="s">
        <v>66</v>
      </c>
      <c r="AO333" s="2" t="s">
        <v>1972</v>
      </c>
      <c r="AP333" s="2" t="s">
        <v>2363</v>
      </c>
      <c r="AQ333" s="1" t="s">
        <v>132</v>
      </c>
      <c r="AR333" s="1" t="s">
        <v>1242</v>
      </c>
      <c r="AS333" s="1"/>
      <c r="AT333" s="2" t="s">
        <v>70</v>
      </c>
    </row>
    <row r="334">
      <c r="A334" s="1">
        <v>2043723.0</v>
      </c>
      <c r="B334" s="1" t="s">
        <v>116</v>
      </c>
      <c r="C334" s="1" t="s">
        <v>117</v>
      </c>
      <c r="D334" s="1" t="s">
        <v>46</v>
      </c>
      <c r="E334" s="1" t="s">
        <v>2364</v>
      </c>
      <c r="F334" s="1"/>
      <c r="G334" s="1" t="s">
        <v>119</v>
      </c>
      <c r="H334" s="1" t="s">
        <v>50</v>
      </c>
      <c r="I334" s="1">
        <v>1000.0</v>
      </c>
      <c r="J334" s="1"/>
      <c r="K334" s="1"/>
      <c r="L334" s="1" t="s">
        <v>295</v>
      </c>
      <c r="M334" s="1" t="s">
        <v>2365</v>
      </c>
      <c r="N334" s="1" t="s">
        <v>53</v>
      </c>
      <c r="O334" s="1" t="s">
        <v>382</v>
      </c>
      <c r="P334" s="2" t="s">
        <v>2360</v>
      </c>
      <c r="Q334" s="1" t="s">
        <v>56</v>
      </c>
      <c r="R334" s="1"/>
      <c r="S334" s="1" t="s">
        <v>288</v>
      </c>
      <c r="T334" s="1">
        <v>2211001.0</v>
      </c>
      <c r="U334" s="1" t="s">
        <v>527</v>
      </c>
      <c r="V334" s="1" t="s">
        <v>290</v>
      </c>
      <c r="W334" s="1" t="s">
        <v>172</v>
      </c>
      <c r="X334" s="1"/>
      <c r="Y334" s="1" t="str">
        <f>"02020000327202110"</f>
        <v>02020000327202110</v>
      </c>
      <c r="Z334" s="1" t="s">
        <v>384</v>
      </c>
      <c r="AA334" s="1" t="s">
        <v>2366</v>
      </c>
      <c r="AB334" s="1" t="str">
        <f>"05871742000106"</f>
        <v>05871742000106</v>
      </c>
      <c r="AC334" s="1"/>
      <c r="AD334" s="1"/>
      <c r="AE334" s="1"/>
      <c r="AF334" s="1">
        <v>-42.751389</v>
      </c>
      <c r="AG334" s="1">
        <v>-5.094444</v>
      </c>
      <c r="AH334" s="1" t="s">
        <v>2367</v>
      </c>
      <c r="AI334" s="1"/>
      <c r="AJ334" s="1" t="s">
        <v>295</v>
      </c>
      <c r="AK334" s="1"/>
      <c r="AL334" s="1" t="s">
        <v>128</v>
      </c>
      <c r="AM334" s="1" t="s">
        <v>65</v>
      </c>
      <c r="AN334" s="1" t="s">
        <v>296</v>
      </c>
      <c r="AO334" s="2" t="s">
        <v>778</v>
      </c>
      <c r="AP334" s="2" t="s">
        <v>2368</v>
      </c>
      <c r="AQ334" s="1" t="s">
        <v>132</v>
      </c>
      <c r="AR334" s="1" t="s">
        <v>531</v>
      </c>
      <c r="AS334" s="1"/>
      <c r="AT334" s="2" t="s">
        <v>70</v>
      </c>
    </row>
    <row r="335">
      <c r="A335" s="1">
        <v>2043403.0</v>
      </c>
      <c r="B335" s="1" t="s">
        <v>116</v>
      </c>
      <c r="C335" s="1" t="s">
        <v>117</v>
      </c>
      <c r="D335" s="1" t="s">
        <v>46</v>
      </c>
      <c r="E335" s="1" t="s">
        <v>2369</v>
      </c>
      <c r="F335" s="1"/>
      <c r="G335" s="1" t="s">
        <v>119</v>
      </c>
      <c r="H335" s="1" t="s">
        <v>72</v>
      </c>
      <c r="I335" s="1">
        <v>60000.0</v>
      </c>
      <c r="J335" s="1"/>
      <c r="K335" s="1"/>
      <c r="L335" s="1" t="s">
        <v>1178</v>
      </c>
      <c r="M335" s="1" t="s">
        <v>2370</v>
      </c>
      <c r="N335" s="1" t="s">
        <v>109</v>
      </c>
      <c r="O335" s="1" t="s">
        <v>110</v>
      </c>
      <c r="P335" s="2" t="s">
        <v>2371</v>
      </c>
      <c r="Q335" s="1" t="s">
        <v>56</v>
      </c>
      <c r="R335" s="2" t="s">
        <v>2237</v>
      </c>
      <c r="S335" s="1" t="s">
        <v>1173</v>
      </c>
      <c r="T335" s="1">
        <v>2512721.0</v>
      </c>
      <c r="U335" s="1" t="s">
        <v>2272</v>
      </c>
      <c r="V335" s="1" t="s">
        <v>1175</v>
      </c>
      <c r="W335" s="1" t="s">
        <v>78</v>
      </c>
      <c r="X335" s="1"/>
      <c r="Y335" s="1" t="str">
        <f>"02016000302202177"</f>
        <v>02016000302202177</v>
      </c>
      <c r="Z335" s="1" t="s">
        <v>112</v>
      </c>
      <c r="AA335" s="1" t="s">
        <v>2273</v>
      </c>
      <c r="AB335" s="1" t="str">
        <f>"***367684**"</f>
        <v>***367684**</v>
      </c>
      <c r="AC335" s="1"/>
      <c r="AD335" s="1"/>
      <c r="AE335" s="1"/>
      <c r="AF335" s="1">
        <v>-35.282333</v>
      </c>
      <c r="AG335" s="1">
        <v>-6.631583</v>
      </c>
      <c r="AH335" s="1" t="s">
        <v>2274</v>
      </c>
      <c r="AI335" s="1"/>
      <c r="AJ335" s="1" t="s">
        <v>1178</v>
      </c>
      <c r="AK335" s="1"/>
      <c r="AL335" s="1" t="s">
        <v>128</v>
      </c>
      <c r="AM335" s="1" t="s">
        <v>65</v>
      </c>
      <c r="AN335" s="1" t="s">
        <v>296</v>
      </c>
      <c r="AO335" s="2" t="s">
        <v>2275</v>
      </c>
      <c r="AP335" s="2" t="s">
        <v>2372</v>
      </c>
      <c r="AQ335" s="1" t="s">
        <v>132</v>
      </c>
      <c r="AR335" s="1" t="s">
        <v>2068</v>
      </c>
      <c r="AS335" s="1"/>
      <c r="AT335" s="2" t="s">
        <v>70</v>
      </c>
    </row>
    <row r="336">
      <c r="A336" s="1">
        <v>2043438.0</v>
      </c>
      <c r="B336" s="1" t="s">
        <v>116</v>
      </c>
      <c r="C336" s="1" t="s">
        <v>117</v>
      </c>
      <c r="D336" s="1" t="s">
        <v>46</v>
      </c>
      <c r="E336" s="1" t="s">
        <v>2373</v>
      </c>
      <c r="F336" s="1"/>
      <c r="G336" s="1" t="s">
        <v>119</v>
      </c>
      <c r="H336" s="1" t="s">
        <v>50</v>
      </c>
      <c r="I336" s="1">
        <v>1000.0</v>
      </c>
      <c r="J336" s="1"/>
      <c r="K336" s="1"/>
      <c r="L336" s="1" t="s">
        <v>485</v>
      </c>
      <c r="M336" s="1" t="s">
        <v>2374</v>
      </c>
      <c r="N336" s="1" t="s">
        <v>285</v>
      </c>
      <c r="O336" s="1" t="s">
        <v>286</v>
      </c>
      <c r="P336" s="2" t="s">
        <v>2371</v>
      </c>
      <c r="Q336" s="1" t="s">
        <v>56</v>
      </c>
      <c r="R336" s="2" t="s">
        <v>2375</v>
      </c>
      <c r="S336" s="1" t="s">
        <v>488</v>
      </c>
      <c r="T336" s="1">
        <v>1718204.0</v>
      </c>
      <c r="U336" s="1" t="s">
        <v>2376</v>
      </c>
      <c r="V336" s="1" t="s">
        <v>490</v>
      </c>
      <c r="W336" s="1" t="s">
        <v>172</v>
      </c>
      <c r="X336" s="1"/>
      <c r="Y336" s="1" t="str">
        <f>"02029000146202103"</f>
        <v>02029000146202103</v>
      </c>
      <c r="Z336" s="1" t="s">
        <v>292</v>
      </c>
      <c r="AA336" s="1" t="s">
        <v>2377</v>
      </c>
      <c r="AB336" s="1" t="str">
        <f>"03141916000150"</f>
        <v>03141916000150</v>
      </c>
      <c r="AC336" s="1"/>
      <c r="AD336" s="1"/>
      <c r="AE336" s="1"/>
      <c r="AF336" s="1">
        <v>-48.414167</v>
      </c>
      <c r="AG336" s="1">
        <v>-10.7075</v>
      </c>
      <c r="AH336" s="1" t="s">
        <v>2378</v>
      </c>
      <c r="AI336" s="1"/>
      <c r="AJ336" s="1" t="s">
        <v>485</v>
      </c>
      <c r="AK336" s="1"/>
      <c r="AL336" s="1" t="s">
        <v>128</v>
      </c>
      <c r="AM336" s="1" t="s">
        <v>65</v>
      </c>
      <c r="AN336" s="1" t="s">
        <v>296</v>
      </c>
      <c r="AO336" s="2" t="s">
        <v>2109</v>
      </c>
      <c r="AP336" s="2" t="s">
        <v>2379</v>
      </c>
      <c r="AQ336" s="1" t="s">
        <v>132</v>
      </c>
      <c r="AR336" s="1" t="s">
        <v>531</v>
      </c>
      <c r="AS336" s="1"/>
      <c r="AT336" s="2" t="s">
        <v>70</v>
      </c>
    </row>
    <row r="337">
      <c r="A337" s="1">
        <v>2043439.0</v>
      </c>
      <c r="B337" s="1" t="s">
        <v>116</v>
      </c>
      <c r="C337" s="1" t="s">
        <v>117</v>
      </c>
      <c r="D337" s="1" t="s">
        <v>46</v>
      </c>
      <c r="E337" s="1" t="s">
        <v>2380</v>
      </c>
      <c r="F337" s="1"/>
      <c r="G337" s="1" t="s">
        <v>119</v>
      </c>
      <c r="H337" s="1" t="s">
        <v>50</v>
      </c>
      <c r="I337" s="1">
        <v>1100.0</v>
      </c>
      <c r="J337" s="1"/>
      <c r="K337" s="1"/>
      <c r="L337" s="1" t="s">
        <v>485</v>
      </c>
      <c r="M337" s="1" t="s">
        <v>2374</v>
      </c>
      <c r="N337" s="1" t="s">
        <v>285</v>
      </c>
      <c r="O337" s="1" t="s">
        <v>286</v>
      </c>
      <c r="P337" s="2" t="s">
        <v>2371</v>
      </c>
      <c r="Q337" s="1" t="s">
        <v>56</v>
      </c>
      <c r="R337" s="2" t="s">
        <v>2375</v>
      </c>
      <c r="S337" s="1" t="s">
        <v>488</v>
      </c>
      <c r="T337" s="1">
        <v>1718204.0</v>
      </c>
      <c r="U337" s="1" t="s">
        <v>2376</v>
      </c>
      <c r="V337" s="1" t="s">
        <v>490</v>
      </c>
      <c r="W337" s="1" t="s">
        <v>172</v>
      </c>
      <c r="X337" s="1"/>
      <c r="Y337" s="1" t="str">
        <f>"02029000147202140"</f>
        <v>02029000147202140</v>
      </c>
      <c r="Z337" s="1" t="s">
        <v>292</v>
      </c>
      <c r="AA337" s="1" t="s">
        <v>2381</v>
      </c>
      <c r="AB337" s="1" t="str">
        <f>"02748052000176"</f>
        <v>02748052000176</v>
      </c>
      <c r="AC337" s="1"/>
      <c r="AD337" s="1"/>
      <c r="AE337" s="1"/>
      <c r="AF337" s="1">
        <v>-48.372833</v>
      </c>
      <c r="AG337" s="1">
        <v>-10.727472</v>
      </c>
      <c r="AH337" s="1" t="s">
        <v>2382</v>
      </c>
      <c r="AI337" s="1"/>
      <c r="AJ337" s="1" t="s">
        <v>485</v>
      </c>
      <c r="AK337" s="1"/>
      <c r="AL337" s="1" t="s">
        <v>128</v>
      </c>
      <c r="AM337" s="1" t="s">
        <v>65</v>
      </c>
      <c r="AN337" s="1" t="s">
        <v>296</v>
      </c>
      <c r="AO337" s="2" t="s">
        <v>2109</v>
      </c>
      <c r="AP337" s="2" t="s">
        <v>2383</v>
      </c>
      <c r="AQ337" s="1" t="s">
        <v>132</v>
      </c>
      <c r="AR337" s="1" t="s">
        <v>531</v>
      </c>
      <c r="AS337" s="1"/>
      <c r="AT337" s="2" t="s">
        <v>70</v>
      </c>
    </row>
    <row r="338">
      <c r="A338" s="1"/>
      <c r="B338" s="1" t="s">
        <v>46</v>
      </c>
      <c r="C338" s="1" t="s">
        <v>47</v>
      </c>
      <c r="D338" s="1"/>
      <c r="E338" s="1" t="s">
        <v>2384</v>
      </c>
      <c r="F338" s="1"/>
      <c r="G338" s="1" t="s">
        <v>49</v>
      </c>
      <c r="H338" s="1" t="s">
        <v>72</v>
      </c>
      <c r="I338" s="1">
        <v>900.0</v>
      </c>
      <c r="J338" s="1"/>
      <c r="K338" s="1"/>
      <c r="L338" s="1"/>
      <c r="M338" s="1" t="s">
        <v>2385</v>
      </c>
      <c r="N338" s="1" t="s">
        <v>109</v>
      </c>
      <c r="O338" s="1" t="s">
        <v>110</v>
      </c>
      <c r="P338" s="2" t="s">
        <v>2386</v>
      </c>
      <c r="Q338" s="1" t="s">
        <v>77</v>
      </c>
      <c r="R338" s="1"/>
      <c r="S338" s="1" t="s">
        <v>1694</v>
      </c>
      <c r="T338" s="1">
        <v>1600303.0</v>
      </c>
      <c r="U338" s="1" t="s">
        <v>2387</v>
      </c>
      <c r="V338" s="1" t="s">
        <v>1138</v>
      </c>
      <c r="W338" s="1" t="s">
        <v>100</v>
      </c>
      <c r="X338" s="1"/>
      <c r="Y338" s="1"/>
      <c r="Z338" s="1" t="s">
        <v>112</v>
      </c>
      <c r="AA338" s="1" t="s">
        <v>2388</v>
      </c>
      <c r="AB338" s="1" t="str">
        <f>"***943292**"</f>
        <v>***943292**</v>
      </c>
      <c r="AC338" s="1"/>
      <c r="AD338" s="1" t="s">
        <v>81</v>
      </c>
      <c r="AE338" s="1"/>
      <c r="AF338" s="1">
        <v>-51.139167</v>
      </c>
      <c r="AG338" s="1">
        <v>-0.050833</v>
      </c>
      <c r="AH338" s="1" t="s">
        <v>2389</v>
      </c>
      <c r="AI338" s="1"/>
      <c r="AJ338" s="1" t="s">
        <v>1141</v>
      </c>
      <c r="AK338" s="1"/>
      <c r="AL338" s="1"/>
      <c r="AM338" s="1" t="s">
        <v>65</v>
      </c>
      <c r="AN338" s="1"/>
      <c r="AO338" s="1"/>
      <c r="AP338" s="2" t="s">
        <v>2390</v>
      </c>
      <c r="AQ338" s="1"/>
      <c r="AR338" s="1" t="s">
        <v>177</v>
      </c>
      <c r="AS338" s="1"/>
      <c r="AT338" s="2" t="s">
        <v>70</v>
      </c>
    </row>
    <row r="339">
      <c r="A339" s="1">
        <v>2043377.0</v>
      </c>
      <c r="B339" s="1" t="s">
        <v>116</v>
      </c>
      <c r="C339" s="1" t="s">
        <v>117</v>
      </c>
      <c r="D339" s="1" t="s">
        <v>46</v>
      </c>
      <c r="E339" s="1" t="s">
        <v>2391</v>
      </c>
      <c r="F339" s="1"/>
      <c r="G339" s="1" t="s">
        <v>119</v>
      </c>
      <c r="H339" s="1" t="s">
        <v>50</v>
      </c>
      <c r="I339" s="1">
        <v>2000.0</v>
      </c>
      <c r="J339" s="1"/>
      <c r="K339" s="1"/>
      <c r="L339" s="1" t="s">
        <v>485</v>
      </c>
      <c r="M339" s="1" t="s">
        <v>2392</v>
      </c>
      <c r="N339" s="1" t="s">
        <v>285</v>
      </c>
      <c r="O339" s="1" t="s">
        <v>286</v>
      </c>
      <c r="P339" s="2" t="s">
        <v>2393</v>
      </c>
      <c r="Q339" s="1" t="s">
        <v>56</v>
      </c>
      <c r="R339" s="1"/>
      <c r="S339" s="1" t="s">
        <v>488</v>
      </c>
      <c r="T339" s="1">
        <v>1702109.0</v>
      </c>
      <c r="U339" s="1" t="s">
        <v>851</v>
      </c>
      <c r="V339" s="1" t="s">
        <v>490</v>
      </c>
      <c r="W339" s="1" t="s">
        <v>100</v>
      </c>
      <c r="X339" s="1"/>
      <c r="Y339" s="1" t="str">
        <f>"02029000138202159"</f>
        <v>02029000138202159</v>
      </c>
      <c r="Z339" s="1" t="s">
        <v>292</v>
      </c>
      <c r="AA339" s="1" t="s">
        <v>2320</v>
      </c>
      <c r="AB339" s="1" t="str">
        <f>"03869103000180"</f>
        <v>03869103000180</v>
      </c>
      <c r="AC339" s="1"/>
      <c r="AD339" s="1"/>
      <c r="AE339" s="1"/>
      <c r="AF339" s="1">
        <v>-48.233333</v>
      </c>
      <c r="AG339" s="1">
        <v>-7.191667</v>
      </c>
      <c r="AH339" s="1" t="s">
        <v>2321</v>
      </c>
      <c r="AI339" s="1"/>
      <c r="AJ339" s="1" t="s">
        <v>485</v>
      </c>
      <c r="AK339" s="1"/>
      <c r="AL339" s="1" t="s">
        <v>128</v>
      </c>
      <c r="AM339" s="1" t="s">
        <v>65</v>
      </c>
      <c r="AN339" s="1" t="s">
        <v>296</v>
      </c>
      <c r="AO339" s="2" t="s">
        <v>2275</v>
      </c>
      <c r="AP339" s="2" t="s">
        <v>2394</v>
      </c>
      <c r="AQ339" s="1" t="s">
        <v>132</v>
      </c>
      <c r="AR339" s="1" t="s">
        <v>693</v>
      </c>
      <c r="AS339" s="1"/>
      <c r="AT339" s="2" t="s">
        <v>70</v>
      </c>
    </row>
    <row r="340">
      <c r="A340" s="1">
        <v>2043442.0</v>
      </c>
      <c r="B340" s="1" t="s">
        <v>116</v>
      </c>
      <c r="C340" s="1" t="s">
        <v>117</v>
      </c>
      <c r="D340" s="1" t="s">
        <v>46</v>
      </c>
      <c r="E340" s="1" t="s">
        <v>2395</v>
      </c>
      <c r="F340" s="1"/>
      <c r="G340" s="1" t="s">
        <v>119</v>
      </c>
      <c r="H340" s="1" t="s">
        <v>50</v>
      </c>
      <c r="I340" s="1">
        <v>1300.0</v>
      </c>
      <c r="J340" s="1"/>
      <c r="K340" s="1"/>
      <c r="L340" s="1" t="s">
        <v>485</v>
      </c>
      <c r="M340" s="1" t="s">
        <v>2396</v>
      </c>
      <c r="N340" s="1" t="s">
        <v>285</v>
      </c>
      <c r="O340" s="1" t="s">
        <v>286</v>
      </c>
      <c r="P340" s="2" t="s">
        <v>2393</v>
      </c>
      <c r="Q340" s="1" t="s">
        <v>56</v>
      </c>
      <c r="R340" s="2" t="s">
        <v>2375</v>
      </c>
      <c r="S340" s="1" t="s">
        <v>488</v>
      </c>
      <c r="T340" s="1">
        <v>1714880.0</v>
      </c>
      <c r="U340" s="1" t="s">
        <v>2397</v>
      </c>
      <c r="V340" s="1" t="s">
        <v>490</v>
      </c>
      <c r="W340" s="1" t="s">
        <v>172</v>
      </c>
      <c r="X340" s="1"/>
      <c r="Y340" s="1" t="str">
        <f>"02029000150202163"</f>
        <v>02029000150202163</v>
      </c>
      <c r="Z340" s="1" t="s">
        <v>292</v>
      </c>
      <c r="AA340" s="1" t="s">
        <v>2398</v>
      </c>
      <c r="AB340" s="1" t="str">
        <f>"19865649000101"</f>
        <v>19865649000101</v>
      </c>
      <c r="AC340" s="1"/>
      <c r="AD340" s="1"/>
      <c r="AE340" s="1"/>
      <c r="AF340" s="1">
        <v>-48.423889</v>
      </c>
      <c r="AG340" s="1">
        <v>-7.635278</v>
      </c>
      <c r="AH340" s="1" t="s">
        <v>2399</v>
      </c>
      <c r="AI340" s="1"/>
      <c r="AJ340" s="1" t="s">
        <v>485</v>
      </c>
      <c r="AK340" s="1"/>
      <c r="AL340" s="1" t="s">
        <v>128</v>
      </c>
      <c r="AM340" s="1" t="s">
        <v>65</v>
      </c>
      <c r="AN340" s="1" t="s">
        <v>296</v>
      </c>
      <c r="AO340" s="2" t="s">
        <v>2109</v>
      </c>
      <c r="AP340" s="2" t="s">
        <v>2400</v>
      </c>
      <c r="AQ340" s="1" t="s">
        <v>132</v>
      </c>
      <c r="AR340" s="1" t="s">
        <v>531</v>
      </c>
      <c r="AS340" s="1"/>
      <c r="AT340" s="2" t="s">
        <v>70</v>
      </c>
    </row>
    <row r="341">
      <c r="A341" s="1">
        <v>2043357.0</v>
      </c>
      <c r="B341" s="1" t="s">
        <v>116</v>
      </c>
      <c r="C341" s="1" t="s">
        <v>117</v>
      </c>
      <c r="D341" s="1" t="s">
        <v>46</v>
      </c>
      <c r="E341" s="1" t="s">
        <v>2401</v>
      </c>
      <c r="F341" s="1"/>
      <c r="G341" s="1" t="s">
        <v>119</v>
      </c>
      <c r="H341" s="1" t="s">
        <v>50</v>
      </c>
      <c r="I341" s="1">
        <v>1000.0</v>
      </c>
      <c r="J341" s="1"/>
      <c r="K341" s="1"/>
      <c r="L341" s="1" t="s">
        <v>273</v>
      </c>
      <c r="M341" s="1" t="s">
        <v>2402</v>
      </c>
      <c r="N341" s="1" t="s">
        <v>186</v>
      </c>
      <c r="O341" s="1" t="s">
        <v>95</v>
      </c>
      <c r="P341" s="2" t="s">
        <v>2403</v>
      </c>
      <c r="Q341" s="1" t="s">
        <v>56</v>
      </c>
      <c r="R341" s="1"/>
      <c r="S341" s="1" t="s">
        <v>268</v>
      </c>
      <c r="T341" s="1">
        <v>4106902.0</v>
      </c>
      <c r="U341" s="1" t="s">
        <v>2404</v>
      </c>
      <c r="V341" s="1" t="s">
        <v>270</v>
      </c>
      <c r="W341" s="1" t="s">
        <v>78</v>
      </c>
      <c r="X341" s="1"/>
      <c r="Y341" s="1" t="str">
        <f>"02017000207202163"</f>
        <v>02017000207202163</v>
      </c>
      <c r="Z341" s="1" t="s">
        <v>101</v>
      </c>
      <c r="AA341" s="1" t="s">
        <v>2405</v>
      </c>
      <c r="AB341" s="1" t="str">
        <f>"***029149**"</f>
        <v>***029149**</v>
      </c>
      <c r="AC341" s="1"/>
      <c r="AD341" s="1"/>
      <c r="AE341" s="1"/>
      <c r="AF341" s="1">
        <v>-49.261139</v>
      </c>
      <c r="AG341" s="1">
        <v>-25.42675</v>
      </c>
      <c r="AH341" s="1" t="s">
        <v>2406</v>
      </c>
      <c r="AI341" s="1"/>
      <c r="AJ341" s="1" t="s">
        <v>273</v>
      </c>
      <c r="AK341" s="1"/>
      <c r="AL341" s="1" t="s">
        <v>128</v>
      </c>
      <c r="AM341" s="1" t="s">
        <v>65</v>
      </c>
      <c r="AN341" s="1" t="s">
        <v>432</v>
      </c>
      <c r="AO341" s="2" t="s">
        <v>2407</v>
      </c>
      <c r="AP341" s="2" t="s">
        <v>2408</v>
      </c>
      <c r="AQ341" s="1" t="s">
        <v>132</v>
      </c>
      <c r="AR341" s="1" t="s">
        <v>531</v>
      </c>
      <c r="AS341" s="1"/>
      <c r="AT341" s="2" t="s">
        <v>70</v>
      </c>
    </row>
    <row r="342">
      <c r="A342" s="1">
        <v>2043358.0</v>
      </c>
      <c r="B342" s="1" t="s">
        <v>116</v>
      </c>
      <c r="C342" s="1" t="s">
        <v>117</v>
      </c>
      <c r="D342" s="1" t="s">
        <v>46</v>
      </c>
      <c r="E342" s="1" t="s">
        <v>2409</v>
      </c>
      <c r="F342" s="1"/>
      <c r="G342" s="1" t="s">
        <v>119</v>
      </c>
      <c r="H342" s="1" t="s">
        <v>50</v>
      </c>
      <c r="I342" s="1">
        <v>1000.0</v>
      </c>
      <c r="J342" s="1"/>
      <c r="K342" s="1"/>
      <c r="L342" s="1" t="s">
        <v>273</v>
      </c>
      <c r="M342" s="1" t="s">
        <v>2410</v>
      </c>
      <c r="N342" s="1" t="s">
        <v>186</v>
      </c>
      <c r="O342" s="1" t="s">
        <v>95</v>
      </c>
      <c r="P342" s="2" t="s">
        <v>2403</v>
      </c>
      <c r="Q342" s="1" t="s">
        <v>56</v>
      </c>
      <c r="R342" s="1"/>
      <c r="S342" s="1" t="s">
        <v>268</v>
      </c>
      <c r="T342" s="1">
        <v>4106902.0</v>
      </c>
      <c r="U342" s="1" t="s">
        <v>2404</v>
      </c>
      <c r="V342" s="1" t="s">
        <v>270</v>
      </c>
      <c r="W342" s="1" t="s">
        <v>78</v>
      </c>
      <c r="X342" s="1"/>
      <c r="Y342" s="1" t="str">
        <f>"02017000208202116"</f>
        <v>02017000208202116</v>
      </c>
      <c r="Z342" s="1" t="s">
        <v>101</v>
      </c>
      <c r="AA342" s="1" t="s">
        <v>2411</v>
      </c>
      <c r="AB342" s="1" t="str">
        <f>"***360339**"</f>
        <v>***360339**</v>
      </c>
      <c r="AC342" s="1"/>
      <c r="AD342" s="1"/>
      <c r="AE342" s="1"/>
      <c r="AF342" s="1">
        <v>-49.261139</v>
      </c>
      <c r="AG342" s="1">
        <v>-25.42675</v>
      </c>
      <c r="AH342" s="1" t="s">
        <v>2412</v>
      </c>
      <c r="AI342" s="1"/>
      <c r="AJ342" s="1" t="s">
        <v>273</v>
      </c>
      <c r="AK342" s="1"/>
      <c r="AL342" s="1" t="s">
        <v>128</v>
      </c>
      <c r="AM342" s="1" t="s">
        <v>65</v>
      </c>
      <c r="AN342" s="1" t="s">
        <v>432</v>
      </c>
      <c r="AO342" s="2" t="s">
        <v>2407</v>
      </c>
      <c r="AP342" s="2" t="s">
        <v>2413</v>
      </c>
      <c r="AQ342" s="1" t="s">
        <v>132</v>
      </c>
      <c r="AR342" s="1" t="s">
        <v>531</v>
      </c>
      <c r="AS342" s="1"/>
      <c r="AT342" s="2" t="s">
        <v>70</v>
      </c>
    </row>
    <row r="343">
      <c r="A343" s="1">
        <v>2043366.0</v>
      </c>
      <c r="B343" s="1" t="s">
        <v>116</v>
      </c>
      <c r="C343" s="1" t="s">
        <v>117</v>
      </c>
      <c r="D343" s="1" t="s">
        <v>46</v>
      </c>
      <c r="E343" s="1" t="s">
        <v>2414</v>
      </c>
      <c r="F343" s="1"/>
      <c r="G343" s="1" t="s">
        <v>119</v>
      </c>
      <c r="H343" s="1" t="s">
        <v>72</v>
      </c>
      <c r="I343" s="1">
        <v>900.0</v>
      </c>
      <c r="J343" s="1"/>
      <c r="K343" s="1"/>
      <c r="L343" s="1" t="s">
        <v>175</v>
      </c>
      <c r="M343" s="1" t="s">
        <v>2415</v>
      </c>
      <c r="N343" s="1" t="s">
        <v>285</v>
      </c>
      <c r="O343" s="1" t="s">
        <v>286</v>
      </c>
      <c r="P343" s="2" t="s">
        <v>2403</v>
      </c>
      <c r="Q343" s="1" t="s">
        <v>56</v>
      </c>
      <c r="R343" s="1"/>
      <c r="S343" s="1" t="s">
        <v>169</v>
      </c>
      <c r="T343" s="1">
        <v>5211909.0</v>
      </c>
      <c r="U343" s="1" t="s">
        <v>170</v>
      </c>
      <c r="V343" s="1" t="s">
        <v>171</v>
      </c>
      <c r="W343" s="1" t="s">
        <v>172</v>
      </c>
      <c r="X343" s="1"/>
      <c r="Y343" s="1" t="str">
        <f>"02010000233202151"</f>
        <v>02010000233202151</v>
      </c>
      <c r="Z343" s="1" t="s">
        <v>292</v>
      </c>
      <c r="AA343" s="1" t="s">
        <v>2416</v>
      </c>
      <c r="AB343" s="1" t="str">
        <f>"26721857000194"</f>
        <v>26721857000194</v>
      </c>
      <c r="AC343" s="1"/>
      <c r="AD343" s="1"/>
      <c r="AE343" s="1"/>
      <c r="AF343" s="1">
        <v>-51.69</v>
      </c>
      <c r="AG343" s="1">
        <v>-17.923333</v>
      </c>
      <c r="AH343" s="1" t="s">
        <v>2417</v>
      </c>
      <c r="AI343" s="1"/>
      <c r="AJ343" s="1" t="s">
        <v>175</v>
      </c>
      <c r="AK343" s="1"/>
      <c r="AL343" s="1" t="s">
        <v>128</v>
      </c>
      <c r="AM343" s="1" t="s">
        <v>65</v>
      </c>
      <c r="AN343" s="1" t="s">
        <v>83</v>
      </c>
      <c r="AO343" s="2" t="s">
        <v>2407</v>
      </c>
      <c r="AP343" s="2" t="s">
        <v>2418</v>
      </c>
      <c r="AQ343" s="1" t="s">
        <v>132</v>
      </c>
      <c r="AR343" s="1" t="s">
        <v>952</v>
      </c>
      <c r="AS343" s="1"/>
      <c r="AT343" s="2" t="s">
        <v>70</v>
      </c>
    </row>
    <row r="344">
      <c r="A344" s="1">
        <v>2043721.0</v>
      </c>
      <c r="B344" s="1" t="s">
        <v>116</v>
      </c>
      <c r="C344" s="1" t="s">
        <v>117</v>
      </c>
      <c r="D344" s="1" t="s">
        <v>46</v>
      </c>
      <c r="E344" s="1" t="s">
        <v>2419</v>
      </c>
      <c r="F344" s="1"/>
      <c r="G344" s="1" t="s">
        <v>119</v>
      </c>
      <c r="H344" s="1" t="s">
        <v>72</v>
      </c>
      <c r="I344" s="1">
        <v>10000.0</v>
      </c>
      <c r="J344" s="1"/>
      <c r="K344" s="1"/>
      <c r="L344" s="1" t="s">
        <v>295</v>
      </c>
      <c r="M344" s="1" t="s">
        <v>2420</v>
      </c>
      <c r="N344" s="1" t="s">
        <v>257</v>
      </c>
      <c r="O344" s="1" t="s">
        <v>258</v>
      </c>
      <c r="P344" s="2" t="s">
        <v>2403</v>
      </c>
      <c r="Q344" s="1" t="s">
        <v>77</v>
      </c>
      <c r="R344" s="2" t="s">
        <v>2421</v>
      </c>
      <c r="S344" s="1" t="s">
        <v>220</v>
      </c>
      <c r="T344" s="1">
        <v>2208304.0</v>
      </c>
      <c r="U344" s="1" t="s">
        <v>2422</v>
      </c>
      <c r="V344" s="1" t="s">
        <v>290</v>
      </c>
      <c r="W344" s="1" t="s">
        <v>291</v>
      </c>
      <c r="X344" s="1"/>
      <c r="Y344" s="1" t="str">
        <f>"02020000323202123"</f>
        <v>02020000323202123</v>
      </c>
      <c r="Z344" s="1" t="s">
        <v>260</v>
      </c>
      <c r="AA344" s="1" t="s">
        <v>2423</v>
      </c>
      <c r="AB344" s="1" t="str">
        <f>"***407045**"</f>
        <v>***407045**</v>
      </c>
      <c r="AC344" s="1"/>
      <c r="AD344" s="1"/>
      <c r="AE344" s="1"/>
      <c r="AF344" s="1">
        <v>-41.71375</v>
      </c>
      <c r="AG344" s="1">
        <v>3.923111</v>
      </c>
      <c r="AH344" s="1" t="s">
        <v>2424</v>
      </c>
      <c r="AI344" s="1"/>
      <c r="AJ344" s="1" t="s">
        <v>295</v>
      </c>
      <c r="AK344" s="1"/>
      <c r="AL344" s="1" t="s">
        <v>128</v>
      </c>
      <c r="AM344" s="1" t="s">
        <v>65</v>
      </c>
      <c r="AN344" s="1" t="s">
        <v>83</v>
      </c>
      <c r="AO344" s="2" t="s">
        <v>778</v>
      </c>
      <c r="AP344" s="2" t="s">
        <v>2425</v>
      </c>
      <c r="AQ344" s="1" t="s">
        <v>132</v>
      </c>
      <c r="AR344" s="1" t="s">
        <v>2426</v>
      </c>
      <c r="AS344" s="1"/>
      <c r="AT344" s="2" t="s">
        <v>70</v>
      </c>
    </row>
    <row r="345">
      <c r="A345" s="1">
        <v>2043437.0</v>
      </c>
      <c r="B345" s="1" t="s">
        <v>116</v>
      </c>
      <c r="C345" s="1" t="s">
        <v>117</v>
      </c>
      <c r="D345" s="1" t="s">
        <v>46</v>
      </c>
      <c r="E345" s="1" t="s">
        <v>2427</v>
      </c>
      <c r="F345" s="1"/>
      <c r="G345" s="1" t="s">
        <v>119</v>
      </c>
      <c r="H345" s="1" t="s">
        <v>50</v>
      </c>
      <c r="I345" s="1">
        <v>1000.0</v>
      </c>
      <c r="J345" s="1"/>
      <c r="K345" s="1"/>
      <c r="L345" s="1" t="s">
        <v>485</v>
      </c>
      <c r="M345" s="1" t="s">
        <v>2428</v>
      </c>
      <c r="N345" s="1" t="s">
        <v>285</v>
      </c>
      <c r="O345" s="1" t="s">
        <v>286</v>
      </c>
      <c r="P345" s="2" t="s">
        <v>2429</v>
      </c>
      <c r="Q345" s="1" t="s">
        <v>56</v>
      </c>
      <c r="R345" s="2" t="s">
        <v>2375</v>
      </c>
      <c r="S345" s="1" t="s">
        <v>488</v>
      </c>
      <c r="T345" s="1">
        <v>1709500.0</v>
      </c>
      <c r="U345" s="1" t="s">
        <v>1323</v>
      </c>
      <c r="V345" s="1" t="s">
        <v>490</v>
      </c>
      <c r="W345" s="1" t="s">
        <v>172</v>
      </c>
      <c r="X345" s="1"/>
      <c r="Y345" s="1" t="str">
        <f>"02029000145202151"</f>
        <v>02029000145202151</v>
      </c>
      <c r="Z345" s="1" t="s">
        <v>292</v>
      </c>
      <c r="AA345" s="1" t="s">
        <v>2430</v>
      </c>
      <c r="AB345" s="1" t="str">
        <f>"09410752000103"</f>
        <v>09410752000103</v>
      </c>
      <c r="AC345" s="1"/>
      <c r="AD345" s="1"/>
      <c r="AE345" s="1"/>
      <c r="AF345" s="1">
        <v>-49.076111</v>
      </c>
      <c r="AG345" s="1">
        <v>-11.725</v>
      </c>
      <c r="AH345" s="1" t="s">
        <v>2431</v>
      </c>
      <c r="AI345" s="1"/>
      <c r="AJ345" s="1" t="s">
        <v>485</v>
      </c>
      <c r="AK345" s="1"/>
      <c r="AL345" s="1" t="s">
        <v>128</v>
      </c>
      <c r="AM345" s="1" t="s">
        <v>65</v>
      </c>
      <c r="AN345" s="1" t="s">
        <v>296</v>
      </c>
      <c r="AO345" s="2" t="s">
        <v>2109</v>
      </c>
      <c r="AP345" s="2" t="s">
        <v>2432</v>
      </c>
      <c r="AQ345" s="1" t="s">
        <v>132</v>
      </c>
      <c r="AR345" s="1" t="s">
        <v>531</v>
      </c>
      <c r="AS345" s="1"/>
      <c r="AT345" s="2" t="s">
        <v>70</v>
      </c>
    </row>
    <row r="346">
      <c r="A346" s="1">
        <v>2043575.0</v>
      </c>
      <c r="B346" s="1" t="s">
        <v>116</v>
      </c>
      <c r="C346" s="1" t="s">
        <v>117</v>
      </c>
      <c r="D346" s="1" t="s">
        <v>46</v>
      </c>
      <c r="E346" s="1" t="s">
        <v>2433</v>
      </c>
      <c r="F346" s="1"/>
      <c r="G346" s="1" t="s">
        <v>119</v>
      </c>
      <c r="H346" s="1" t="s">
        <v>72</v>
      </c>
      <c r="I346" s="1">
        <v>5000.0</v>
      </c>
      <c r="J346" s="1"/>
      <c r="K346" s="1"/>
      <c r="L346" s="1" t="s">
        <v>1473</v>
      </c>
      <c r="M346" s="1" t="s">
        <v>2434</v>
      </c>
      <c r="N346" s="1" t="s">
        <v>109</v>
      </c>
      <c r="O346" s="1" t="s">
        <v>110</v>
      </c>
      <c r="P346" s="2" t="s">
        <v>2435</v>
      </c>
      <c r="Q346" s="1" t="s">
        <v>56</v>
      </c>
      <c r="R346" s="1"/>
      <c r="S346" s="1" t="s">
        <v>1468</v>
      </c>
      <c r="T346" s="1">
        <v>5005400.0</v>
      </c>
      <c r="U346" s="1" t="s">
        <v>2436</v>
      </c>
      <c r="V346" s="1" t="s">
        <v>1470</v>
      </c>
      <c r="W346" s="1" t="s">
        <v>172</v>
      </c>
      <c r="X346" s="1"/>
      <c r="Y346" s="1"/>
      <c r="Z346" s="1" t="s">
        <v>112</v>
      </c>
      <c r="AA346" s="1" t="s">
        <v>2437</v>
      </c>
      <c r="AB346" s="1" t="str">
        <f>"***302271**"</f>
        <v>***302271**</v>
      </c>
      <c r="AC346" s="1"/>
      <c r="AD346" s="1"/>
      <c r="AE346" s="1"/>
      <c r="AF346" s="1">
        <v>-55.322222</v>
      </c>
      <c r="AG346" s="1">
        <v>-21.280556</v>
      </c>
      <c r="AH346" s="1" t="s">
        <v>2438</v>
      </c>
      <c r="AI346" s="1"/>
      <c r="AJ346" s="1" t="s">
        <v>1473</v>
      </c>
      <c r="AK346" s="1"/>
      <c r="AL346" s="1" t="s">
        <v>128</v>
      </c>
      <c r="AM346" s="1" t="s">
        <v>65</v>
      </c>
      <c r="AN346" s="1"/>
      <c r="AO346" s="2" t="s">
        <v>1371</v>
      </c>
      <c r="AP346" s="2" t="s">
        <v>2439</v>
      </c>
      <c r="AQ346" s="1" t="s">
        <v>132</v>
      </c>
      <c r="AR346" s="1" t="s">
        <v>1207</v>
      </c>
      <c r="AS346" s="1"/>
      <c r="AT346" s="2" t="s">
        <v>70</v>
      </c>
    </row>
    <row r="347">
      <c r="A347" s="1">
        <v>2043340.0</v>
      </c>
      <c r="B347" s="1" t="s">
        <v>116</v>
      </c>
      <c r="C347" s="1" t="s">
        <v>117</v>
      </c>
      <c r="D347" s="1" t="s">
        <v>46</v>
      </c>
      <c r="E347" s="1" t="s">
        <v>2440</v>
      </c>
      <c r="F347" s="1"/>
      <c r="G347" s="1" t="s">
        <v>119</v>
      </c>
      <c r="H347" s="1" t="s">
        <v>50</v>
      </c>
      <c r="I347" s="1">
        <v>500.0</v>
      </c>
      <c r="J347" s="1"/>
      <c r="K347" s="1"/>
      <c r="L347" s="1" t="s">
        <v>175</v>
      </c>
      <c r="M347" s="1" t="s">
        <v>2441</v>
      </c>
      <c r="N347" s="1" t="s">
        <v>257</v>
      </c>
      <c r="O347" s="1" t="s">
        <v>258</v>
      </c>
      <c r="P347" s="2" t="s">
        <v>2442</v>
      </c>
      <c r="Q347" s="1" t="s">
        <v>56</v>
      </c>
      <c r="R347" s="2" t="s">
        <v>2421</v>
      </c>
      <c r="S347" s="1" t="s">
        <v>169</v>
      </c>
      <c r="T347" s="1">
        <v>5201405.0</v>
      </c>
      <c r="U347" s="1" t="s">
        <v>2443</v>
      </c>
      <c r="V347" s="1" t="s">
        <v>171</v>
      </c>
      <c r="W347" s="1" t="s">
        <v>172</v>
      </c>
      <c r="X347" s="1"/>
      <c r="Y347" s="1" t="str">
        <f>"02010000219202158"</f>
        <v>02010000219202158</v>
      </c>
      <c r="Z347" s="1" t="s">
        <v>260</v>
      </c>
      <c r="AA347" s="1" t="s">
        <v>2444</v>
      </c>
      <c r="AB347" s="1" t="str">
        <f>"***514401**"</f>
        <v>***514401**</v>
      </c>
      <c r="AC347" s="1"/>
      <c r="AD347" s="1"/>
      <c r="AE347" s="1"/>
      <c r="AF347" s="1">
        <v>-49.2725</v>
      </c>
      <c r="AG347" s="1">
        <v>-16.635</v>
      </c>
      <c r="AH347" s="1" t="s">
        <v>2445</v>
      </c>
      <c r="AI347" s="1"/>
      <c r="AJ347" s="1" t="s">
        <v>175</v>
      </c>
      <c r="AK347" s="1"/>
      <c r="AL347" s="1" t="s">
        <v>128</v>
      </c>
      <c r="AM347" s="1" t="s">
        <v>65</v>
      </c>
      <c r="AN347" s="1" t="s">
        <v>274</v>
      </c>
      <c r="AO347" s="2" t="s">
        <v>2407</v>
      </c>
      <c r="AP347" s="2" t="s">
        <v>2446</v>
      </c>
      <c r="AQ347" s="1" t="s">
        <v>132</v>
      </c>
      <c r="AR347" s="1" t="s">
        <v>2447</v>
      </c>
      <c r="AS347" s="1"/>
      <c r="AT347" s="2" t="s">
        <v>70</v>
      </c>
    </row>
    <row r="348">
      <c r="A348" s="1">
        <v>2043586.0</v>
      </c>
      <c r="B348" s="1" t="s">
        <v>116</v>
      </c>
      <c r="C348" s="1" t="s">
        <v>117</v>
      </c>
      <c r="D348" s="1" t="s">
        <v>46</v>
      </c>
      <c r="E348" s="1" t="s">
        <v>2448</v>
      </c>
      <c r="F348" s="1"/>
      <c r="G348" s="1" t="s">
        <v>119</v>
      </c>
      <c r="H348" s="1" t="s">
        <v>72</v>
      </c>
      <c r="I348" s="1">
        <v>500.0</v>
      </c>
      <c r="J348" s="1"/>
      <c r="K348" s="1"/>
      <c r="L348" s="1" t="s">
        <v>442</v>
      </c>
      <c r="M348" s="1" t="s">
        <v>2449</v>
      </c>
      <c r="N348" s="1" t="s">
        <v>257</v>
      </c>
      <c r="O348" s="1" t="s">
        <v>258</v>
      </c>
      <c r="P348" s="2" t="s">
        <v>2450</v>
      </c>
      <c r="Q348" s="1" t="s">
        <v>77</v>
      </c>
      <c r="R348" s="2" t="s">
        <v>2421</v>
      </c>
      <c r="S348" s="1" t="s">
        <v>437</v>
      </c>
      <c r="T348" s="1">
        <v>2304400.0</v>
      </c>
      <c r="U348" s="1" t="s">
        <v>592</v>
      </c>
      <c r="V348" s="1" t="s">
        <v>439</v>
      </c>
      <c r="W348" s="1" t="s">
        <v>291</v>
      </c>
      <c r="X348" s="1"/>
      <c r="Y348" s="1" t="str">
        <f>"02007000524202107"</f>
        <v>02007000524202107</v>
      </c>
      <c r="Z348" s="1" t="s">
        <v>260</v>
      </c>
      <c r="AA348" s="1" t="s">
        <v>2451</v>
      </c>
      <c r="AB348" s="1" t="str">
        <f>"***312223**"</f>
        <v>***312223**</v>
      </c>
      <c r="AC348" s="1"/>
      <c r="AD348" s="1"/>
      <c r="AE348" s="1"/>
      <c r="AF348" s="1">
        <v>-38.590278</v>
      </c>
      <c r="AG348" s="1">
        <v>-3.726389</v>
      </c>
      <c r="AH348" s="1" t="s">
        <v>2452</v>
      </c>
      <c r="AI348" s="1"/>
      <c r="AJ348" s="1" t="s">
        <v>442</v>
      </c>
      <c r="AK348" s="1"/>
      <c r="AL348" s="1" t="s">
        <v>128</v>
      </c>
      <c r="AM348" s="1" t="s">
        <v>65</v>
      </c>
      <c r="AN348" s="1" t="s">
        <v>159</v>
      </c>
      <c r="AO348" s="2" t="s">
        <v>1371</v>
      </c>
      <c r="AP348" s="2" t="s">
        <v>2453</v>
      </c>
      <c r="AQ348" s="1" t="s">
        <v>132</v>
      </c>
      <c r="AR348" s="1" t="s">
        <v>1558</v>
      </c>
      <c r="AS348" s="1"/>
      <c r="AT348" s="2" t="s">
        <v>70</v>
      </c>
    </row>
    <row r="349">
      <c r="A349" s="1"/>
      <c r="B349" s="1" t="s">
        <v>46</v>
      </c>
      <c r="C349" s="1" t="s">
        <v>47</v>
      </c>
      <c r="D349" s="1"/>
      <c r="E349" s="1" t="s">
        <v>2454</v>
      </c>
      <c r="F349" s="1"/>
      <c r="G349" s="1" t="s">
        <v>49</v>
      </c>
      <c r="H349" s="1" t="s">
        <v>50</v>
      </c>
      <c r="I349" s="1">
        <v>1000.0</v>
      </c>
      <c r="J349" s="1"/>
      <c r="K349" s="1"/>
      <c r="L349" s="1"/>
      <c r="M349" s="1" t="s">
        <v>2455</v>
      </c>
      <c r="N349" s="1" t="s">
        <v>285</v>
      </c>
      <c r="O349" s="1" t="s">
        <v>286</v>
      </c>
      <c r="P349" s="2" t="s">
        <v>2456</v>
      </c>
      <c r="Q349" s="1" t="s">
        <v>56</v>
      </c>
      <c r="R349" s="2" t="s">
        <v>2421</v>
      </c>
      <c r="S349" s="1" t="s">
        <v>488</v>
      </c>
      <c r="T349" s="1">
        <v>1706001.0</v>
      </c>
      <c r="U349" s="1" t="s">
        <v>2457</v>
      </c>
      <c r="V349" s="1" t="s">
        <v>490</v>
      </c>
      <c r="W349" s="1" t="s">
        <v>172</v>
      </c>
      <c r="X349" s="1"/>
      <c r="Y349" s="1"/>
      <c r="Z349" s="1" t="s">
        <v>292</v>
      </c>
      <c r="AA349" s="1" t="s">
        <v>2458</v>
      </c>
      <c r="AB349" s="1" t="str">
        <f>"09404630000104"</f>
        <v>09404630000104</v>
      </c>
      <c r="AC349" s="1"/>
      <c r="AD349" s="1" t="s">
        <v>81</v>
      </c>
      <c r="AE349" s="1"/>
      <c r="AF349" s="1">
        <v>-49.310556</v>
      </c>
      <c r="AG349" s="1">
        <v>-8.36</v>
      </c>
      <c r="AH349" s="1" t="s">
        <v>2459</v>
      </c>
      <c r="AI349" s="1"/>
      <c r="AJ349" s="1" t="s">
        <v>485</v>
      </c>
      <c r="AK349" s="1"/>
      <c r="AL349" s="1"/>
      <c r="AM349" s="1" t="s">
        <v>65</v>
      </c>
      <c r="AN349" s="1" t="s">
        <v>296</v>
      </c>
      <c r="AO349" s="1"/>
      <c r="AP349" s="2" t="s">
        <v>2460</v>
      </c>
      <c r="AQ349" s="1"/>
      <c r="AR349" s="1" t="s">
        <v>318</v>
      </c>
      <c r="AS349" s="1"/>
      <c r="AT349" s="2" t="s">
        <v>70</v>
      </c>
    </row>
    <row r="350">
      <c r="A350" s="1">
        <v>2043354.0</v>
      </c>
      <c r="B350" s="1" t="s">
        <v>116</v>
      </c>
      <c r="C350" s="1" t="s">
        <v>117</v>
      </c>
      <c r="D350" s="1" t="s">
        <v>46</v>
      </c>
      <c r="E350" s="1" t="s">
        <v>2461</v>
      </c>
      <c r="F350" s="1"/>
      <c r="G350" s="1" t="s">
        <v>119</v>
      </c>
      <c r="H350" s="1" t="s">
        <v>50</v>
      </c>
      <c r="I350" s="1">
        <v>1000.0</v>
      </c>
      <c r="J350" s="1"/>
      <c r="K350" s="1"/>
      <c r="L350" s="1" t="s">
        <v>273</v>
      </c>
      <c r="M350" s="1" t="s">
        <v>2462</v>
      </c>
      <c r="N350" s="1" t="s">
        <v>186</v>
      </c>
      <c r="O350" s="1" t="s">
        <v>95</v>
      </c>
      <c r="P350" s="2" t="s">
        <v>2407</v>
      </c>
      <c r="Q350" s="1" t="s">
        <v>56</v>
      </c>
      <c r="R350" s="1"/>
      <c r="S350" s="1" t="s">
        <v>268</v>
      </c>
      <c r="T350" s="1">
        <v>4106902.0</v>
      </c>
      <c r="U350" s="1" t="s">
        <v>2404</v>
      </c>
      <c r="V350" s="1" t="s">
        <v>270</v>
      </c>
      <c r="W350" s="1" t="s">
        <v>78</v>
      </c>
      <c r="X350" s="1"/>
      <c r="Y350" s="1" t="str">
        <f>"02017000204202120"</f>
        <v>02017000204202120</v>
      </c>
      <c r="Z350" s="1" t="s">
        <v>101</v>
      </c>
      <c r="AA350" s="1" t="s">
        <v>2463</v>
      </c>
      <c r="AB350" s="1" t="str">
        <f>"***729910**"</f>
        <v>***729910**</v>
      </c>
      <c r="AC350" s="1"/>
      <c r="AD350" s="1"/>
      <c r="AE350" s="1"/>
      <c r="AF350" s="1">
        <v>-49.261139</v>
      </c>
      <c r="AG350" s="1">
        <v>-25.42675</v>
      </c>
      <c r="AH350" s="1" t="s">
        <v>2464</v>
      </c>
      <c r="AI350" s="1"/>
      <c r="AJ350" s="1" t="s">
        <v>273</v>
      </c>
      <c r="AK350" s="1"/>
      <c r="AL350" s="1" t="s">
        <v>128</v>
      </c>
      <c r="AM350" s="1" t="s">
        <v>65</v>
      </c>
      <c r="AN350" s="1" t="s">
        <v>432</v>
      </c>
      <c r="AO350" s="2" t="s">
        <v>2407</v>
      </c>
      <c r="AP350" s="2" t="s">
        <v>2465</v>
      </c>
      <c r="AQ350" s="1" t="s">
        <v>132</v>
      </c>
      <c r="AR350" s="1" t="s">
        <v>531</v>
      </c>
      <c r="AS350" s="1"/>
      <c r="AT350" s="2" t="s">
        <v>70</v>
      </c>
    </row>
    <row r="351">
      <c r="A351" s="1">
        <v>2043355.0</v>
      </c>
      <c r="B351" s="1" t="s">
        <v>116</v>
      </c>
      <c r="C351" s="1" t="s">
        <v>117</v>
      </c>
      <c r="D351" s="1" t="s">
        <v>46</v>
      </c>
      <c r="E351" s="1" t="s">
        <v>2466</v>
      </c>
      <c r="F351" s="1"/>
      <c r="G351" s="1" t="s">
        <v>119</v>
      </c>
      <c r="H351" s="1" t="s">
        <v>50</v>
      </c>
      <c r="I351" s="1">
        <v>1000.0</v>
      </c>
      <c r="J351" s="1"/>
      <c r="K351" s="1"/>
      <c r="L351" s="1" t="s">
        <v>273</v>
      </c>
      <c r="M351" s="1" t="s">
        <v>2467</v>
      </c>
      <c r="N351" s="1" t="s">
        <v>186</v>
      </c>
      <c r="O351" s="1" t="s">
        <v>95</v>
      </c>
      <c r="P351" s="2" t="s">
        <v>2407</v>
      </c>
      <c r="Q351" s="1" t="s">
        <v>56</v>
      </c>
      <c r="R351" s="1"/>
      <c r="S351" s="1" t="s">
        <v>268</v>
      </c>
      <c r="T351" s="1">
        <v>4106902.0</v>
      </c>
      <c r="U351" s="1" t="s">
        <v>2404</v>
      </c>
      <c r="V351" s="1" t="s">
        <v>270</v>
      </c>
      <c r="W351" s="1" t="s">
        <v>78</v>
      </c>
      <c r="X351" s="1"/>
      <c r="Y351" s="1" t="str">
        <f>"02017000205202174"</f>
        <v>02017000205202174</v>
      </c>
      <c r="Z351" s="1" t="s">
        <v>101</v>
      </c>
      <c r="AA351" s="1" t="s">
        <v>2468</v>
      </c>
      <c r="AB351" s="1" t="str">
        <f>"***657399**"</f>
        <v>***657399**</v>
      </c>
      <c r="AC351" s="1"/>
      <c r="AD351" s="1"/>
      <c r="AE351" s="1"/>
      <c r="AF351" s="1">
        <v>-49.261139</v>
      </c>
      <c r="AG351" s="1">
        <v>-25.42675</v>
      </c>
      <c r="AH351" s="1" t="s">
        <v>2406</v>
      </c>
      <c r="AI351" s="1"/>
      <c r="AJ351" s="1" t="s">
        <v>273</v>
      </c>
      <c r="AK351" s="1"/>
      <c r="AL351" s="1" t="s">
        <v>128</v>
      </c>
      <c r="AM351" s="1" t="s">
        <v>65</v>
      </c>
      <c r="AN351" s="1" t="s">
        <v>432</v>
      </c>
      <c r="AO351" s="2" t="s">
        <v>2407</v>
      </c>
      <c r="AP351" s="2" t="s">
        <v>2469</v>
      </c>
      <c r="AQ351" s="1" t="s">
        <v>132</v>
      </c>
      <c r="AR351" s="1" t="s">
        <v>531</v>
      </c>
      <c r="AS351" s="1"/>
      <c r="AT351" s="2" t="s">
        <v>70</v>
      </c>
    </row>
    <row r="352">
      <c r="A352" s="1">
        <v>2043356.0</v>
      </c>
      <c r="B352" s="1" t="s">
        <v>116</v>
      </c>
      <c r="C352" s="1" t="s">
        <v>117</v>
      </c>
      <c r="D352" s="1" t="s">
        <v>46</v>
      </c>
      <c r="E352" s="1" t="s">
        <v>2470</v>
      </c>
      <c r="F352" s="1"/>
      <c r="G352" s="1" t="s">
        <v>119</v>
      </c>
      <c r="H352" s="1" t="s">
        <v>50</v>
      </c>
      <c r="I352" s="1">
        <v>1000.0</v>
      </c>
      <c r="J352" s="1"/>
      <c r="K352" s="1"/>
      <c r="L352" s="1" t="s">
        <v>273</v>
      </c>
      <c r="M352" s="1" t="s">
        <v>2471</v>
      </c>
      <c r="N352" s="1" t="s">
        <v>186</v>
      </c>
      <c r="O352" s="1" t="s">
        <v>95</v>
      </c>
      <c r="P352" s="2" t="s">
        <v>2407</v>
      </c>
      <c r="Q352" s="1" t="s">
        <v>56</v>
      </c>
      <c r="R352" s="1"/>
      <c r="S352" s="1" t="s">
        <v>268</v>
      </c>
      <c r="T352" s="1">
        <v>4106902.0</v>
      </c>
      <c r="U352" s="1" t="s">
        <v>2404</v>
      </c>
      <c r="V352" s="1" t="s">
        <v>270</v>
      </c>
      <c r="W352" s="1" t="s">
        <v>78</v>
      </c>
      <c r="X352" s="1"/>
      <c r="Y352" s="1" t="str">
        <f>"02017000206202119"</f>
        <v>02017000206202119</v>
      </c>
      <c r="Z352" s="1" t="s">
        <v>101</v>
      </c>
      <c r="AA352" s="1" t="s">
        <v>2472</v>
      </c>
      <c r="AB352" s="1" t="str">
        <f>"***960259**"</f>
        <v>***960259**</v>
      </c>
      <c r="AC352" s="1"/>
      <c r="AD352" s="1"/>
      <c r="AE352" s="1"/>
      <c r="AF352" s="1">
        <v>-49.261139</v>
      </c>
      <c r="AG352" s="1">
        <v>-25.42675</v>
      </c>
      <c r="AH352" s="1" t="s">
        <v>2473</v>
      </c>
      <c r="AI352" s="1"/>
      <c r="AJ352" s="1" t="s">
        <v>273</v>
      </c>
      <c r="AK352" s="1"/>
      <c r="AL352" s="1" t="s">
        <v>128</v>
      </c>
      <c r="AM352" s="1" t="s">
        <v>65</v>
      </c>
      <c r="AN352" s="1" t="s">
        <v>432</v>
      </c>
      <c r="AO352" s="2" t="s">
        <v>2407</v>
      </c>
      <c r="AP352" s="2" t="s">
        <v>2474</v>
      </c>
      <c r="AQ352" s="1" t="s">
        <v>132</v>
      </c>
      <c r="AR352" s="1" t="s">
        <v>531</v>
      </c>
      <c r="AS352" s="1"/>
      <c r="AT352" s="2" t="s">
        <v>70</v>
      </c>
    </row>
    <row r="353">
      <c r="A353" s="1">
        <v>2043318.0</v>
      </c>
      <c r="B353" s="1" t="s">
        <v>116</v>
      </c>
      <c r="C353" s="1" t="s">
        <v>117</v>
      </c>
      <c r="D353" s="1" t="s">
        <v>46</v>
      </c>
      <c r="E353" s="1" t="s">
        <v>2475</v>
      </c>
      <c r="F353" s="1"/>
      <c r="G353" s="1" t="s">
        <v>119</v>
      </c>
      <c r="H353" s="1" t="s">
        <v>50</v>
      </c>
      <c r="I353" s="1">
        <v>1000.0</v>
      </c>
      <c r="J353" s="1"/>
      <c r="K353" s="1"/>
      <c r="L353" s="1" t="s">
        <v>485</v>
      </c>
      <c r="M353" s="1" t="s">
        <v>2476</v>
      </c>
      <c r="N353" s="1" t="s">
        <v>285</v>
      </c>
      <c r="O353" s="1" t="s">
        <v>286</v>
      </c>
      <c r="P353" s="2" t="s">
        <v>2477</v>
      </c>
      <c r="Q353" s="1" t="s">
        <v>56</v>
      </c>
      <c r="R353" s="1"/>
      <c r="S353" s="1" t="s">
        <v>488</v>
      </c>
      <c r="T353" s="1">
        <v>1714880.0</v>
      </c>
      <c r="U353" s="1" t="s">
        <v>2397</v>
      </c>
      <c r="V353" s="1" t="s">
        <v>490</v>
      </c>
      <c r="W353" s="1" t="s">
        <v>172</v>
      </c>
      <c r="X353" s="1"/>
      <c r="Y353" s="1" t="str">
        <f>"02029000128202113"</f>
        <v>02029000128202113</v>
      </c>
      <c r="Z353" s="1" t="s">
        <v>292</v>
      </c>
      <c r="AA353" s="1" t="s">
        <v>2478</v>
      </c>
      <c r="AB353" s="1" t="str">
        <f>"08009099000102"</f>
        <v>08009099000102</v>
      </c>
      <c r="AC353" s="1"/>
      <c r="AD353" s="1"/>
      <c r="AE353" s="1"/>
      <c r="AF353" s="1">
        <v>-48.426389</v>
      </c>
      <c r="AG353" s="1">
        <v>-7.632778</v>
      </c>
      <c r="AH353" s="1" t="s">
        <v>2479</v>
      </c>
      <c r="AI353" s="1"/>
      <c r="AJ353" s="1" t="s">
        <v>485</v>
      </c>
      <c r="AK353" s="1"/>
      <c r="AL353" s="1" t="s">
        <v>128</v>
      </c>
      <c r="AM353" s="1" t="s">
        <v>65</v>
      </c>
      <c r="AN353" s="1" t="s">
        <v>296</v>
      </c>
      <c r="AO353" s="2" t="s">
        <v>2407</v>
      </c>
      <c r="AP353" s="2" t="s">
        <v>2480</v>
      </c>
      <c r="AQ353" s="1" t="s">
        <v>132</v>
      </c>
      <c r="AR353" s="1" t="s">
        <v>531</v>
      </c>
      <c r="AS353" s="1"/>
      <c r="AT353" s="2" t="s">
        <v>70</v>
      </c>
    </row>
    <row r="354">
      <c r="A354" s="1">
        <v>2043353.0</v>
      </c>
      <c r="B354" s="1" t="s">
        <v>116</v>
      </c>
      <c r="C354" s="1" t="s">
        <v>117</v>
      </c>
      <c r="D354" s="1" t="s">
        <v>46</v>
      </c>
      <c r="E354" s="1" t="s">
        <v>2481</v>
      </c>
      <c r="F354" s="1"/>
      <c r="G354" s="1" t="s">
        <v>119</v>
      </c>
      <c r="H354" s="1" t="s">
        <v>50</v>
      </c>
      <c r="I354" s="1">
        <v>1000.0</v>
      </c>
      <c r="J354" s="1"/>
      <c r="K354" s="1"/>
      <c r="L354" s="1" t="s">
        <v>273</v>
      </c>
      <c r="M354" s="1" t="s">
        <v>2482</v>
      </c>
      <c r="N354" s="1" t="s">
        <v>186</v>
      </c>
      <c r="O354" s="1" t="s">
        <v>95</v>
      </c>
      <c r="P354" s="2" t="s">
        <v>2483</v>
      </c>
      <c r="Q354" s="1" t="s">
        <v>56</v>
      </c>
      <c r="R354" s="1"/>
      <c r="S354" s="1" t="s">
        <v>268</v>
      </c>
      <c r="T354" s="1">
        <v>4106902.0</v>
      </c>
      <c r="U354" s="1" t="s">
        <v>2404</v>
      </c>
      <c r="V354" s="1" t="s">
        <v>270</v>
      </c>
      <c r="W354" s="1" t="s">
        <v>78</v>
      </c>
      <c r="X354" s="1"/>
      <c r="Y354" s="1" t="str">
        <f>"02017000203202185"</f>
        <v>02017000203202185</v>
      </c>
      <c r="Z354" s="1" t="s">
        <v>101</v>
      </c>
      <c r="AA354" s="1" t="s">
        <v>2484</v>
      </c>
      <c r="AB354" s="1" t="str">
        <f>"***188759**"</f>
        <v>***188759**</v>
      </c>
      <c r="AC354" s="1"/>
      <c r="AD354" s="1"/>
      <c r="AE354" s="1"/>
      <c r="AF354" s="1">
        <v>-49.261139</v>
      </c>
      <c r="AG354" s="1">
        <v>-25.42675</v>
      </c>
      <c r="AH354" s="1" t="s">
        <v>2485</v>
      </c>
      <c r="AI354" s="1"/>
      <c r="AJ354" s="1" t="s">
        <v>273</v>
      </c>
      <c r="AK354" s="1"/>
      <c r="AL354" s="1" t="s">
        <v>128</v>
      </c>
      <c r="AM354" s="1" t="s">
        <v>65</v>
      </c>
      <c r="AN354" s="1" t="s">
        <v>432</v>
      </c>
      <c r="AO354" s="2" t="s">
        <v>2407</v>
      </c>
      <c r="AP354" s="2" t="s">
        <v>2486</v>
      </c>
      <c r="AQ354" s="1" t="s">
        <v>132</v>
      </c>
      <c r="AR354" s="1" t="s">
        <v>531</v>
      </c>
      <c r="AS354" s="1"/>
      <c r="AT354" s="2" t="s">
        <v>70</v>
      </c>
    </row>
    <row r="355">
      <c r="A355" s="1">
        <v>2043585.0</v>
      </c>
      <c r="B355" s="1" t="s">
        <v>116</v>
      </c>
      <c r="C355" s="1" t="s">
        <v>117</v>
      </c>
      <c r="D355" s="1" t="s">
        <v>46</v>
      </c>
      <c r="E355" s="1" t="s">
        <v>2487</v>
      </c>
      <c r="F355" s="1"/>
      <c r="G355" s="1" t="s">
        <v>119</v>
      </c>
      <c r="H355" s="1" t="s">
        <v>72</v>
      </c>
      <c r="I355" s="1">
        <v>7800.0</v>
      </c>
      <c r="J355" s="1"/>
      <c r="K355" s="1"/>
      <c r="L355" s="1" t="s">
        <v>442</v>
      </c>
      <c r="M355" s="1" t="s">
        <v>2488</v>
      </c>
      <c r="N355" s="1" t="s">
        <v>109</v>
      </c>
      <c r="O355" s="1" t="s">
        <v>110</v>
      </c>
      <c r="P355" s="2" t="s">
        <v>2489</v>
      </c>
      <c r="Q355" s="1" t="s">
        <v>56</v>
      </c>
      <c r="R355" s="1"/>
      <c r="S355" s="1" t="s">
        <v>437</v>
      </c>
      <c r="T355" s="1">
        <v>2303709.0</v>
      </c>
      <c r="U355" s="1" t="s">
        <v>438</v>
      </c>
      <c r="V355" s="1" t="s">
        <v>439</v>
      </c>
      <c r="W355" s="1" t="s">
        <v>291</v>
      </c>
      <c r="X355" s="1"/>
      <c r="Y355" s="1" t="str">
        <f>"02007000522202118"</f>
        <v>02007000522202118</v>
      </c>
      <c r="Z355" s="1" t="s">
        <v>112</v>
      </c>
      <c r="AA355" s="1" t="s">
        <v>2490</v>
      </c>
      <c r="AB355" s="1" t="str">
        <f>"72320146000125"</f>
        <v>72320146000125</v>
      </c>
      <c r="AC355" s="1"/>
      <c r="AD355" s="1"/>
      <c r="AE355" s="1"/>
      <c r="AF355" s="1">
        <v>-38.653056</v>
      </c>
      <c r="AG355" s="1">
        <v>-3.736111</v>
      </c>
      <c r="AH355" s="1" t="s">
        <v>2491</v>
      </c>
      <c r="AI355" s="1"/>
      <c r="AJ355" s="1" t="s">
        <v>442</v>
      </c>
      <c r="AK355" s="1"/>
      <c r="AL355" s="1" t="s">
        <v>128</v>
      </c>
      <c r="AM355" s="1" t="s">
        <v>65</v>
      </c>
      <c r="AN355" s="1" t="s">
        <v>159</v>
      </c>
      <c r="AO355" s="2" t="s">
        <v>1371</v>
      </c>
      <c r="AP355" s="2" t="s">
        <v>2492</v>
      </c>
      <c r="AQ355" s="1" t="s">
        <v>132</v>
      </c>
      <c r="AR355" s="1" t="s">
        <v>1236</v>
      </c>
      <c r="AS355" s="1"/>
      <c r="AT355" s="2" t="s">
        <v>70</v>
      </c>
    </row>
    <row r="356">
      <c r="A356" s="1">
        <v>2043342.0</v>
      </c>
      <c r="B356" s="1" t="s">
        <v>116</v>
      </c>
      <c r="C356" s="1" t="s">
        <v>117</v>
      </c>
      <c r="D356" s="1" t="s">
        <v>46</v>
      </c>
      <c r="E356" s="1" t="s">
        <v>2493</v>
      </c>
      <c r="F356" s="1"/>
      <c r="G356" s="1" t="s">
        <v>119</v>
      </c>
      <c r="H356" s="1" t="s">
        <v>50</v>
      </c>
      <c r="I356" s="1">
        <v>4300.0</v>
      </c>
      <c r="J356" s="1"/>
      <c r="K356" s="1"/>
      <c r="L356" s="1" t="s">
        <v>226</v>
      </c>
      <c r="M356" s="1" t="s">
        <v>2494</v>
      </c>
      <c r="N356" s="1" t="s">
        <v>74</v>
      </c>
      <c r="O356" s="1" t="s">
        <v>75</v>
      </c>
      <c r="P356" s="2" t="s">
        <v>2495</v>
      </c>
      <c r="Q356" s="1" t="s">
        <v>56</v>
      </c>
      <c r="R356" s="2" t="s">
        <v>2496</v>
      </c>
      <c r="S356" s="1" t="s">
        <v>784</v>
      </c>
      <c r="T356" s="1">
        <v>4205407.0</v>
      </c>
      <c r="U356" s="1" t="s">
        <v>2497</v>
      </c>
      <c r="V356" s="1" t="s">
        <v>222</v>
      </c>
      <c r="W356" s="1" t="s">
        <v>60</v>
      </c>
      <c r="X356" s="1"/>
      <c r="Y356" s="1" t="str">
        <f>"02026000423202108"</f>
        <v>02026000423202108</v>
      </c>
      <c r="Z356" s="1" t="s">
        <v>79</v>
      </c>
      <c r="AA356" s="1" t="s">
        <v>2498</v>
      </c>
      <c r="AB356" s="1" t="str">
        <f>"***603467**"</f>
        <v>***603467**</v>
      </c>
      <c r="AC356" s="1"/>
      <c r="AD356" s="1"/>
      <c r="AE356" s="1"/>
      <c r="AF356" s="1">
        <v>-48.593056</v>
      </c>
      <c r="AG356" s="1">
        <v>-27.612778</v>
      </c>
      <c r="AH356" s="1" t="s">
        <v>2499</v>
      </c>
      <c r="AI356" s="1"/>
      <c r="AJ356" s="1" t="s">
        <v>226</v>
      </c>
      <c r="AK356" s="1"/>
      <c r="AL356" s="1" t="s">
        <v>128</v>
      </c>
      <c r="AM356" s="1" t="s">
        <v>65</v>
      </c>
      <c r="AN356" s="1" t="s">
        <v>788</v>
      </c>
      <c r="AO356" s="2" t="s">
        <v>2407</v>
      </c>
      <c r="AP356" s="2" t="s">
        <v>2500</v>
      </c>
      <c r="AQ356" s="1" t="s">
        <v>132</v>
      </c>
      <c r="AR356" s="1" t="s">
        <v>2501</v>
      </c>
      <c r="AS356" s="1"/>
      <c r="AT356" s="2" t="s">
        <v>70</v>
      </c>
    </row>
    <row r="357">
      <c r="A357" s="1">
        <v>2043378.0</v>
      </c>
      <c r="B357" s="1" t="s">
        <v>116</v>
      </c>
      <c r="C357" s="1" t="s">
        <v>117</v>
      </c>
      <c r="D357" s="1" t="s">
        <v>46</v>
      </c>
      <c r="E357" s="1" t="s">
        <v>2502</v>
      </c>
      <c r="F357" s="1"/>
      <c r="G357" s="1" t="s">
        <v>119</v>
      </c>
      <c r="H357" s="1" t="s">
        <v>50</v>
      </c>
      <c r="I357" s="1">
        <v>761000.0</v>
      </c>
      <c r="J357" s="1"/>
      <c r="K357" s="1"/>
      <c r="L357" s="1" t="s">
        <v>64</v>
      </c>
      <c r="M357" s="1" t="s">
        <v>2503</v>
      </c>
      <c r="N357" s="1" t="s">
        <v>186</v>
      </c>
      <c r="O357" s="1" t="s">
        <v>95</v>
      </c>
      <c r="P357" s="2" t="s">
        <v>2504</v>
      </c>
      <c r="Q357" s="1" t="s">
        <v>56</v>
      </c>
      <c r="R357" s="2" t="s">
        <v>2496</v>
      </c>
      <c r="S357" s="1" t="s">
        <v>608</v>
      </c>
      <c r="T357" s="1">
        <v>3205309.0</v>
      </c>
      <c r="U357" s="1" t="s">
        <v>2037</v>
      </c>
      <c r="V357" s="1" t="s">
        <v>59</v>
      </c>
      <c r="W357" s="1" t="s">
        <v>78</v>
      </c>
      <c r="X357" s="1"/>
      <c r="Y357" s="1" t="str">
        <f>"02009000313202146"</f>
        <v>02009000313202146</v>
      </c>
      <c r="Z357" s="1" t="s">
        <v>101</v>
      </c>
      <c r="AA357" s="1" t="s">
        <v>2505</v>
      </c>
      <c r="AB357" s="1" t="str">
        <f>"02558157000162"</f>
        <v>02558157000162</v>
      </c>
      <c r="AC357" s="1"/>
      <c r="AD357" s="1"/>
      <c r="AE357" s="1"/>
      <c r="AF357" s="1">
        <v>-40.305</v>
      </c>
      <c r="AG357" s="1">
        <v>-20.316389</v>
      </c>
      <c r="AH357" s="1" t="s">
        <v>2039</v>
      </c>
      <c r="AI357" s="1"/>
      <c r="AJ357" s="1" t="s">
        <v>64</v>
      </c>
      <c r="AK357" s="1"/>
      <c r="AL357" s="1" t="s">
        <v>128</v>
      </c>
      <c r="AM357" s="1" t="s">
        <v>65</v>
      </c>
      <c r="AN357" s="1" t="s">
        <v>83</v>
      </c>
      <c r="AO357" s="2" t="s">
        <v>2275</v>
      </c>
      <c r="AP357" s="2" t="s">
        <v>2506</v>
      </c>
      <c r="AQ357" s="1" t="s">
        <v>132</v>
      </c>
      <c r="AR357" s="1" t="s">
        <v>693</v>
      </c>
      <c r="AS357" s="1"/>
      <c r="AT357" s="2" t="s">
        <v>70</v>
      </c>
    </row>
    <row r="358">
      <c r="A358" s="1">
        <v>2043715.0</v>
      </c>
      <c r="B358" s="1" t="s">
        <v>116</v>
      </c>
      <c r="C358" s="1" t="s">
        <v>117</v>
      </c>
      <c r="D358" s="1" t="s">
        <v>46</v>
      </c>
      <c r="E358" s="1" t="s">
        <v>2507</v>
      </c>
      <c r="F358" s="1"/>
      <c r="G358" s="1" t="s">
        <v>119</v>
      </c>
      <c r="H358" s="1" t="s">
        <v>50</v>
      </c>
      <c r="I358" s="1">
        <v>4000.0</v>
      </c>
      <c r="J358" s="1"/>
      <c r="K358" s="1"/>
      <c r="L358" s="1" t="s">
        <v>295</v>
      </c>
      <c r="M358" s="1" t="s">
        <v>2508</v>
      </c>
      <c r="N358" s="1" t="s">
        <v>53</v>
      </c>
      <c r="O358" s="1" t="s">
        <v>382</v>
      </c>
      <c r="P358" s="2" t="s">
        <v>2504</v>
      </c>
      <c r="Q358" s="1" t="s">
        <v>56</v>
      </c>
      <c r="R358" s="1"/>
      <c r="S358" s="1" t="s">
        <v>288</v>
      </c>
      <c r="T358" s="1">
        <v>2211001.0</v>
      </c>
      <c r="U358" s="1" t="s">
        <v>527</v>
      </c>
      <c r="V358" s="1" t="s">
        <v>290</v>
      </c>
      <c r="W358" s="1" t="s">
        <v>172</v>
      </c>
      <c r="X358" s="1"/>
      <c r="Y358" s="1" t="str">
        <f>"02020000318202111"</f>
        <v>02020000318202111</v>
      </c>
      <c r="Z358" s="1" t="s">
        <v>384</v>
      </c>
      <c r="AA358" s="1" t="s">
        <v>2509</v>
      </c>
      <c r="AB358" s="1" t="str">
        <f>"05419803000107"</f>
        <v>05419803000107</v>
      </c>
      <c r="AC358" s="1"/>
      <c r="AD358" s="1"/>
      <c r="AE358" s="1"/>
      <c r="AF358" s="1">
        <v>-42.751389</v>
      </c>
      <c r="AG358" s="1">
        <v>-5.094444</v>
      </c>
      <c r="AH358" s="1" t="s">
        <v>2510</v>
      </c>
      <c r="AI358" s="1"/>
      <c r="AJ358" s="1" t="s">
        <v>295</v>
      </c>
      <c r="AK358" s="1"/>
      <c r="AL358" s="1" t="s">
        <v>128</v>
      </c>
      <c r="AM358" s="1" t="s">
        <v>65</v>
      </c>
      <c r="AN358" s="1" t="s">
        <v>296</v>
      </c>
      <c r="AO358" s="2" t="s">
        <v>778</v>
      </c>
      <c r="AP358" s="2" t="s">
        <v>2511</v>
      </c>
      <c r="AQ358" s="1" t="s">
        <v>132</v>
      </c>
      <c r="AR358" s="1" t="s">
        <v>531</v>
      </c>
      <c r="AS358" s="1"/>
      <c r="AT358" s="2" t="s">
        <v>70</v>
      </c>
    </row>
    <row r="359">
      <c r="A359" s="1">
        <v>2043352.0</v>
      </c>
      <c r="B359" s="1" t="s">
        <v>116</v>
      </c>
      <c r="C359" s="1" t="s">
        <v>117</v>
      </c>
      <c r="D359" s="1" t="s">
        <v>46</v>
      </c>
      <c r="E359" s="1" t="s">
        <v>2512</v>
      </c>
      <c r="F359" s="1"/>
      <c r="G359" s="1" t="s">
        <v>119</v>
      </c>
      <c r="H359" s="1" t="s">
        <v>50</v>
      </c>
      <c r="I359" s="1">
        <v>1000.0</v>
      </c>
      <c r="J359" s="1"/>
      <c r="K359" s="1"/>
      <c r="L359" s="1" t="s">
        <v>273</v>
      </c>
      <c r="M359" s="1" t="s">
        <v>2513</v>
      </c>
      <c r="N359" s="1" t="s">
        <v>186</v>
      </c>
      <c r="O359" s="1" t="s">
        <v>95</v>
      </c>
      <c r="P359" s="2" t="s">
        <v>2514</v>
      </c>
      <c r="Q359" s="1" t="s">
        <v>56</v>
      </c>
      <c r="R359" s="1"/>
      <c r="S359" s="1" t="s">
        <v>268</v>
      </c>
      <c r="T359" s="1">
        <v>4106902.0</v>
      </c>
      <c r="U359" s="1" t="s">
        <v>2404</v>
      </c>
      <c r="V359" s="1" t="s">
        <v>270</v>
      </c>
      <c r="W359" s="1" t="s">
        <v>78</v>
      </c>
      <c r="X359" s="1"/>
      <c r="Y359" s="1" t="str">
        <f>"02017000202202131"</f>
        <v>02017000202202131</v>
      </c>
      <c r="Z359" s="1" t="s">
        <v>101</v>
      </c>
      <c r="AA359" s="1" t="s">
        <v>2515</v>
      </c>
      <c r="AB359" s="1" t="str">
        <f>"***785859**"</f>
        <v>***785859**</v>
      </c>
      <c r="AC359" s="1"/>
      <c r="AD359" s="1"/>
      <c r="AE359" s="1"/>
      <c r="AF359" s="1">
        <v>-49.261139</v>
      </c>
      <c r="AG359" s="1">
        <v>-25.42675</v>
      </c>
      <c r="AH359" s="1" t="s">
        <v>2516</v>
      </c>
      <c r="AI359" s="1"/>
      <c r="AJ359" s="1" t="s">
        <v>273</v>
      </c>
      <c r="AK359" s="1"/>
      <c r="AL359" s="1" t="s">
        <v>128</v>
      </c>
      <c r="AM359" s="1" t="s">
        <v>65</v>
      </c>
      <c r="AN359" s="1" t="s">
        <v>432</v>
      </c>
      <c r="AO359" s="2" t="s">
        <v>2407</v>
      </c>
      <c r="AP359" s="2" t="s">
        <v>2517</v>
      </c>
      <c r="AQ359" s="1" t="s">
        <v>132</v>
      </c>
      <c r="AR359" s="1" t="s">
        <v>531</v>
      </c>
      <c r="AS359" s="1"/>
      <c r="AT359" s="2" t="s">
        <v>70</v>
      </c>
    </row>
    <row r="360">
      <c r="A360" s="1">
        <v>2043454.0</v>
      </c>
      <c r="B360" s="1" t="s">
        <v>116</v>
      </c>
      <c r="C360" s="1" t="s">
        <v>117</v>
      </c>
      <c r="D360" s="1" t="s">
        <v>46</v>
      </c>
      <c r="E360" s="1" t="s">
        <v>2518</v>
      </c>
      <c r="F360" s="1"/>
      <c r="G360" s="1" t="s">
        <v>119</v>
      </c>
      <c r="H360" s="1" t="s">
        <v>50</v>
      </c>
      <c r="I360" s="1">
        <v>301000.0</v>
      </c>
      <c r="J360" s="1"/>
      <c r="K360" s="1"/>
      <c r="L360" s="1" t="s">
        <v>120</v>
      </c>
      <c r="M360" s="1" t="s">
        <v>2519</v>
      </c>
      <c r="N360" s="1" t="s">
        <v>186</v>
      </c>
      <c r="O360" s="1" t="s">
        <v>302</v>
      </c>
      <c r="P360" s="2" t="s">
        <v>2514</v>
      </c>
      <c r="Q360" s="1" t="s">
        <v>56</v>
      </c>
      <c r="R360" s="1"/>
      <c r="S360" s="1" t="s">
        <v>2022</v>
      </c>
      <c r="T360" s="1">
        <v>3302403.0</v>
      </c>
      <c r="U360" s="1" t="s">
        <v>2520</v>
      </c>
      <c r="V360" s="1" t="s">
        <v>1741</v>
      </c>
      <c r="W360" s="1" t="s">
        <v>60</v>
      </c>
      <c r="X360" s="1"/>
      <c r="Y360" s="1" t="str">
        <f>"02001003121202161"</f>
        <v>02001003121202161</v>
      </c>
      <c r="Z360" s="1" t="s">
        <v>306</v>
      </c>
      <c r="AA360" s="1" t="s">
        <v>2521</v>
      </c>
      <c r="AB360" s="1" t="str">
        <f>"33000167100750"</f>
        <v>33000167100750</v>
      </c>
      <c r="AC360" s="1"/>
      <c r="AD360" s="1"/>
      <c r="AE360" s="1"/>
      <c r="AF360" s="1">
        <v>-47.993333</v>
      </c>
      <c r="AG360" s="1">
        <v>-15.780278</v>
      </c>
      <c r="AH360" s="1" t="s">
        <v>2522</v>
      </c>
      <c r="AI360" s="1"/>
      <c r="AJ360" s="1" t="s">
        <v>120</v>
      </c>
      <c r="AK360" s="1"/>
      <c r="AL360" s="1" t="s">
        <v>128</v>
      </c>
      <c r="AM360" s="1" t="s">
        <v>65</v>
      </c>
      <c r="AN360" s="1" t="s">
        <v>66</v>
      </c>
      <c r="AO360" s="2" t="s">
        <v>1972</v>
      </c>
      <c r="AP360" s="2" t="s">
        <v>2523</v>
      </c>
      <c r="AQ360" s="1" t="s">
        <v>132</v>
      </c>
      <c r="AR360" s="1" t="s">
        <v>693</v>
      </c>
      <c r="AS360" s="1"/>
      <c r="AT360" s="2" t="s">
        <v>70</v>
      </c>
    </row>
    <row r="361">
      <c r="A361" s="1">
        <v>2043351.0</v>
      </c>
      <c r="B361" s="1" t="s">
        <v>116</v>
      </c>
      <c r="C361" s="1" t="s">
        <v>117</v>
      </c>
      <c r="D361" s="1" t="s">
        <v>46</v>
      </c>
      <c r="E361" s="1" t="s">
        <v>2524</v>
      </c>
      <c r="F361" s="1"/>
      <c r="G361" s="1" t="s">
        <v>119</v>
      </c>
      <c r="H361" s="1" t="s">
        <v>50</v>
      </c>
      <c r="I361" s="1">
        <v>1000.0</v>
      </c>
      <c r="J361" s="1"/>
      <c r="K361" s="1"/>
      <c r="L361" s="1" t="s">
        <v>273</v>
      </c>
      <c r="M361" s="1" t="s">
        <v>2525</v>
      </c>
      <c r="N361" s="1" t="s">
        <v>186</v>
      </c>
      <c r="O361" s="1" t="s">
        <v>95</v>
      </c>
      <c r="P361" s="2" t="s">
        <v>2526</v>
      </c>
      <c r="Q361" s="1" t="s">
        <v>56</v>
      </c>
      <c r="R361" s="1"/>
      <c r="S361" s="1" t="s">
        <v>220</v>
      </c>
      <c r="T361" s="1">
        <v>4127502.0</v>
      </c>
      <c r="U361" s="1" t="s">
        <v>2527</v>
      </c>
      <c r="V361" s="1" t="s">
        <v>270</v>
      </c>
      <c r="W361" s="1" t="s">
        <v>78</v>
      </c>
      <c r="X361" s="1"/>
      <c r="Y361" s="1" t="str">
        <f>"02017000201202196"</f>
        <v>02017000201202196</v>
      </c>
      <c r="Z361" s="1" t="s">
        <v>101</v>
      </c>
      <c r="AA361" s="1" t="s">
        <v>2528</v>
      </c>
      <c r="AB361" s="1" t="str">
        <f>"***339299**"</f>
        <v>***339299**</v>
      </c>
      <c r="AC361" s="1"/>
      <c r="AD361" s="1"/>
      <c r="AE361" s="1"/>
      <c r="AF361" s="1">
        <v>-49.261139</v>
      </c>
      <c r="AG361" s="1">
        <v>-25.42675</v>
      </c>
      <c r="AH361" s="1" t="s">
        <v>2529</v>
      </c>
      <c r="AI361" s="1"/>
      <c r="AJ361" s="1" t="s">
        <v>273</v>
      </c>
      <c r="AK361" s="1"/>
      <c r="AL361" s="1" t="s">
        <v>128</v>
      </c>
      <c r="AM361" s="1" t="s">
        <v>65</v>
      </c>
      <c r="AN361" s="1" t="s">
        <v>432</v>
      </c>
      <c r="AO361" s="2" t="s">
        <v>2407</v>
      </c>
      <c r="AP361" s="2" t="s">
        <v>2530</v>
      </c>
      <c r="AQ361" s="1" t="s">
        <v>132</v>
      </c>
      <c r="AR361" s="1" t="s">
        <v>531</v>
      </c>
      <c r="AS361" s="1"/>
      <c r="AT361" s="2" t="s">
        <v>70</v>
      </c>
    </row>
    <row r="362">
      <c r="A362" s="1">
        <v>2043787.0</v>
      </c>
      <c r="B362" s="1" t="s">
        <v>116</v>
      </c>
      <c r="C362" s="1" t="s">
        <v>117</v>
      </c>
      <c r="D362" s="1" t="s">
        <v>46</v>
      </c>
      <c r="E362" s="1" t="s">
        <v>2531</v>
      </c>
      <c r="F362" s="1"/>
      <c r="G362" s="1" t="s">
        <v>119</v>
      </c>
      <c r="H362" s="1" t="s">
        <v>72</v>
      </c>
      <c r="I362" s="1">
        <v>10500.0</v>
      </c>
      <c r="J362" s="1"/>
      <c r="K362" s="1"/>
      <c r="L362" s="1" t="s">
        <v>1518</v>
      </c>
      <c r="M362" s="1" t="s">
        <v>2532</v>
      </c>
      <c r="N362" s="1" t="s">
        <v>186</v>
      </c>
      <c r="O362" s="1" t="s">
        <v>302</v>
      </c>
      <c r="P362" s="2" t="s">
        <v>2526</v>
      </c>
      <c r="Q362" s="1" t="s">
        <v>137</v>
      </c>
      <c r="R362" s="1"/>
      <c r="S362" s="1" t="s">
        <v>1513</v>
      </c>
      <c r="T362" s="1">
        <v>2802106.0</v>
      </c>
      <c r="U362" s="1" t="s">
        <v>2533</v>
      </c>
      <c r="V362" s="1" t="s">
        <v>1515</v>
      </c>
      <c r="W362" s="1" t="s">
        <v>78</v>
      </c>
      <c r="X362" s="1"/>
      <c r="Y362" s="1"/>
      <c r="Z362" s="1" t="s">
        <v>306</v>
      </c>
      <c r="AA362" s="1" t="s">
        <v>2534</v>
      </c>
      <c r="AB362" s="1" t="str">
        <f>"***852975**"</f>
        <v>***852975**</v>
      </c>
      <c r="AC362" s="1"/>
      <c r="AD362" s="1"/>
      <c r="AE362" s="1"/>
      <c r="AF362" s="1">
        <v>-37.349722</v>
      </c>
      <c r="AG362" s="1">
        <v>-11.432222</v>
      </c>
      <c r="AH362" s="1" t="s">
        <v>2535</v>
      </c>
      <c r="AI362" s="1"/>
      <c r="AJ362" s="1" t="s">
        <v>1518</v>
      </c>
      <c r="AK362" s="1"/>
      <c r="AL362" s="1" t="s">
        <v>128</v>
      </c>
      <c r="AM362" s="1" t="s">
        <v>65</v>
      </c>
      <c r="AN362" s="1"/>
      <c r="AO362" s="2" t="s">
        <v>529</v>
      </c>
      <c r="AP362" s="2" t="s">
        <v>2536</v>
      </c>
      <c r="AQ362" s="1" t="s">
        <v>132</v>
      </c>
      <c r="AR362" s="1" t="s">
        <v>1242</v>
      </c>
      <c r="AS362" s="1"/>
      <c r="AT362" s="2" t="s">
        <v>70</v>
      </c>
    </row>
    <row r="363">
      <c r="A363" s="1">
        <v>2043788.0</v>
      </c>
      <c r="B363" s="1" t="s">
        <v>116</v>
      </c>
      <c r="C363" s="1" t="s">
        <v>117</v>
      </c>
      <c r="D363" s="1" t="s">
        <v>46</v>
      </c>
      <c r="E363" s="1" t="s">
        <v>2537</v>
      </c>
      <c r="F363" s="1"/>
      <c r="G363" s="1" t="s">
        <v>119</v>
      </c>
      <c r="H363" s="1" t="s">
        <v>72</v>
      </c>
      <c r="I363" s="1">
        <v>10000.0</v>
      </c>
      <c r="J363" s="1"/>
      <c r="K363" s="1"/>
      <c r="L363" s="1" t="s">
        <v>1518</v>
      </c>
      <c r="M363" s="1" t="s">
        <v>2538</v>
      </c>
      <c r="N363" s="1" t="s">
        <v>257</v>
      </c>
      <c r="O363" s="1" t="s">
        <v>258</v>
      </c>
      <c r="P363" s="2" t="s">
        <v>2526</v>
      </c>
      <c r="Q363" s="1" t="s">
        <v>77</v>
      </c>
      <c r="R363" s="2" t="s">
        <v>2496</v>
      </c>
      <c r="S363" s="1" t="s">
        <v>1513</v>
      </c>
      <c r="T363" s="1">
        <v>2802106.0</v>
      </c>
      <c r="U363" s="1" t="s">
        <v>2533</v>
      </c>
      <c r="V363" s="1" t="s">
        <v>1515</v>
      </c>
      <c r="W363" s="1" t="s">
        <v>78</v>
      </c>
      <c r="X363" s="1"/>
      <c r="Y363" s="1" t="str">
        <f>"02028000174202122"</f>
        <v>02028000174202122</v>
      </c>
      <c r="Z363" s="1" t="s">
        <v>260</v>
      </c>
      <c r="AA363" s="1" t="s">
        <v>2539</v>
      </c>
      <c r="AB363" s="1" t="str">
        <f>"***623715**"</f>
        <v>***623715**</v>
      </c>
      <c r="AC363" s="1"/>
      <c r="AD363" s="1"/>
      <c r="AE363" s="1"/>
      <c r="AF363" s="1">
        <v>-37.349722</v>
      </c>
      <c r="AG363" s="1">
        <v>-11.4325</v>
      </c>
      <c r="AH363" s="1" t="s">
        <v>2540</v>
      </c>
      <c r="AI363" s="1"/>
      <c r="AJ363" s="1" t="s">
        <v>1518</v>
      </c>
      <c r="AK363" s="1"/>
      <c r="AL363" s="1" t="s">
        <v>128</v>
      </c>
      <c r="AM363" s="1" t="s">
        <v>65</v>
      </c>
      <c r="AN363" s="1"/>
      <c r="AO363" s="2" t="s">
        <v>529</v>
      </c>
      <c r="AP363" s="2" t="s">
        <v>2541</v>
      </c>
      <c r="AQ363" s="1" t="s">
        <v>132</v>
      </c>
      <c r="AR363" s="1" t="s">
        <v>2426</v>
      </c>
      <c r="AS363" s="1"/>
      <c r="AT363" s="2" t="s">
        <v>70</v>
      </c>
    </row>
    <row r="364">
      <c r="A364" s="1">
        <v>2043314.0</v>
      </c>
      <c r="B364" s="1" t="s">
        <v>116</v>
      </c>
      <c r="C364" s="1" t="s">
        <v>117</v>
      </c>
      <c r="D364" s="1" t="s">
        <v>46</v>
      </c>
      <c r="E364" s="1" t="s">
        <v>2542</v>
      </c>
      <c r="F364" s="1"/>
      <c r="G364" s="1" t="s">
        <v>119</v>
      </c>
      <c r="H364" s="1" t="s">
        <v>50</v>
      </c>
      <c r="I364" s="1">
        <v>13000.0</v>
      </c>
      <c r="J364" s="1"/>
      <c r="K364" s="1"/>
      <c r="L364" s="1" t="s">
        <v>371</v>
      </c>
      <c r="M364" s="1" t="s">
        <v>2543</v>
      </c>
      <c r="N364" s="1" t="s">
        <v>109</v>
      </c>
      <c r="O364" s="1" t="s">
        <v>110</v>
      </c>
      <c r="P364" s="2" t="s">
        <v>2544</v>
      </c>
      <c r="Q364" s="1" t="s">
        <v>56</v>
      </c>
      <c r="R364" s="1"/>
      <c r="S364" s="1" t="s">
        <v>220</v>
      </c>
      <c r="T364" s="1">
        <v>3546603.0</v>
      </c>
      <c r="U364" s="1" t="s">
        <v>2545</v>
      </c>
      <c r="V364" s="1" t="s">
        <v>139</v>
      </c>
      <c r="W364" s="1" t="s">
        <v>78</v>
      </c>
      <c r="X364" s="1"/>
      <c r="Y364" s="1"/>
      <c r="Z364" s="1" t="s">
        <v>112</v>
      </c>
      <c r="AA364" s="1" t="s">
        <v>2546</v>
      </c>
      <c r="AB364" s="1" t="str">
        <f>"***866128**"</f>
        <v>***866128**</v>
      </c>
      <c r="AC364" s="1"/>
      <c r="AD364" s="1"/>
      <c r="AE364" s="1"/>
      <c r="AF364" s="1">
        <v>-50.976667</v>
      </c>
      <c r="AG364" s="1">
        <v>-20.258056</v>
      </c>
      <c r="AH364" s="1" t="s">
        <v>2547</v>
      </c>
      <c r="AI364" s="1"/>
      <c r="AJ364" s="1" t="s">
        <v>371</v>
      </c>
      <c r="AK364" s="1"/>
      <c r="AL364" s="1" t="s">
        <v>128</v>
      </c>
      <c r="AM364" s="1" t="s">
        <v>65</v>
      </c>
      <c r="AN364" s="1"/>
      <c r="AO364" s="2" t="s">
        <v>2407</v>
      </c>
      <c r="AP364" s="2" t="s">
        <v>2548</v>
      </c>
      <c r="AQ364" s="1" t="s">
        <v>132</v>
      </c>
      <c r="AR364" s="1" t="s">
        <v>2549</v>
      </c>
      <c r="AS364" s="1"/>
      <c r="AT364" s="2" t="s">
        <v>70</v>
      </c>
    </row>
    <row r="365">
      <c r="A365" s="1">
        <v>2043379.0</v>
      </c>
      <c r="B365" s="1" t="s">
        <v>116</v>
      </c>
      <c r="C365" s="1" t="s">
        <v>117</v>
      </c>
      <c r="D365" s="1" t="s">
        <v>46</v>
      </c>
      <c r="E365" s="1" t="s">
        <v>2550</v>
      </c>
      <c r="F365" s="1"/>
      <c r="G365" s="1" t="s">
        <v>119</v>
      </c>
      <c r="H365" s="1" t="s">
        <v>50</v>
      </c>
      <c r="I365" s="1">
        <v>1100.0</v>
      </c>
      <c r="J365" s="1"/>
      <c r="K365" s="1"/>
      <c r="L365" s="1" t="s">
        <v>64</v>
      </c>
      <c r="M365" s="1" t="s">
        <v>2551</v>
      </c>
      <c r="N365" s="1" t="s">
        <v>186</v>
      </c>
      <c r="O365" s="1" t="s">
        <v>95</v>
      </c>
      <c r="P365" s="2" t="s">
        <v>2552</v>
      </c>
      <c r="Q365" s="1" t="s">
        <v>56</v>
      </c>
      <c r="R365" s="2" t="s">
        <v>2496</v>
      </c>
      <c r="S365" s="1" t="s">
        <v>57</v>
      </c>
      <c r="T365" s="1">
        <v>3205309.0</v>
      </c>
      <c r="U365" s="1" t="s">
        <v>2037</v>
      </c>
      <c r="V365" s="1" t="s">
        <v>59</v>
      </c>
      <c r="W365" s="1" t="s">
        <v>78</v>
      </c>
      <c r="X365" s="1"/>
      <c r="Y365" s="1" t="str">
        <f>"02009000314202191"</f>
        <v>02009000314202191</v>
      </c>
      <c r="Z365" s="1" t="s">
        <v>101</v>
      </c>
      <c r="AA365" s="1" t="s">
        <v>2553</v>
      </c>
      <c r="AB365" s="1" t="str">
        <f>"05784011000123"</f>
        <v>05784011000123</v>
      </c>
      <c r="AC365" s="1"/>
      <c r="AD365" s="1"/>
      <c r="AE365" s="1"/>
      <c r="AF365" s="1">
        <v>-40.305</v>
      </c>
      <c r="AG365" s="1">
        <v>-20.316389</v>
      </c>
      <c r="AH365" s="1" t="s">
        <v>2039</v>
      </c>
      <c r="AI365" s="1"/>
      <c r="AJ365" s="1" t="s">
        <v>64</v>
      </c>
      <c r="AK365" s="1"/>
      <c r="AL365" s="1" t="s">
        <v>128</v>
      </c>
      <c r="AM365" s="1" t="s">
        <v>65</v>
      </c>
      <c r="AN365" s="1" t="s">
        <v>83</v>
      </c>
      <c r="AO365" s="2" t="s">
        <v>2275</v>
      </c>
      <c r="AP365" s="2" t="s">
        <v>2554</v>
      </c>
      <c r="AQ365" s="1" t="s">
        <v>132</v>
      </c>
      <c r="AR365" s="1" t="s">
        <v>531</v>
      </c>
      <c r="AS365" s="1"/>
      <c r="AT365" s="2" t="s">
        <v>70</v>
      </c>
    </row>
    <row r="366">
      <c r="A366" s="1">
        <v>2043380.0</v>
      </c>
      <c r="B366" s="1" t="s">
        <v>116</v>
      </c>
      <c r="C366" s="1" t="s">
        <v>117</v>
      </c>
      <c r="D366" s="1" t="s">
        <v>46</v>
      </c>
      <c r="E366" s="1" t="s">
        <v>2555</v>
      </c>
      <c r="F366" s="1"/>
      <c r="G366" s="1" t="s">
        <v>119</v>
      </c>
      <c r="H366" s="1" t="s">
        <v>50</v>
      </c>
      <c r="I366" s="1">
        <v>61000.0</v>
      </c>
      <c r="J366" s="1"/>
      <c r="K366" s="1"/>
      <c r="L366" s="1" t="s">
        <v>64</v>
      </c>
      <c r="M366" s="1" t="s">
        <v>2556</v>
      </c>
      <c r="N366" s="1" t="s">
        <v>53</v>
      </c>
      <c r="O366" s="1" t="s">
        <v>333</v>
      </c>
      <c r="P366" s="2" t="s">
        <v>2552</v>
      </c>
      <c r="Q366" s="1" t="s">
        <v>56</v>
      </c>
      <c r="R366" s="1"/>
      <c r="S366" s="1" t="s">
        <v>57</v>
      </c>
      <c r="T366" s="1">
        <v>3201902.0</v>
      </c>
      <c r="U366" s="1" t="s">
        <v>2557</v>
      </c>
      <c r="V366" s="1" t="s">
        <v>59</v>
      </c>
      <c r="W366" s="1" t="s">
        <v>78</v>
      </c>
      <c r="X366" s="1"/>
      <c r="Y366" s="1" t="str">
        <f>"02009000315202135"</f>
        <v>02009000315202135</v>
      </c>
      <c r="Z366" s="1" t="s">
        <v>223</v>
      </c>
      <c r="AA366" s="1" t="s">
        <v>2558</v>
      </c>
      <c r="AB366" s="1" t="str">
        <f t="shared" ref="AB366:AB367" si="22">"***189727**"</f>
        <v>***189727**</v>
      </c>
      <c r="AC366" s="1"/>
      <c r="AD366" s="1"/>
      <c r="AE366" s="1"/>
      <c r="AF366" s="1">
        <v>-40.627583</v>
      </c>
      <c r="AG366" s="1">
        <v>-20.357722</v>
      </c>
      <c r="AH366" s="1" t="s">
        <v>2559</v>
      </c>
      <c r="AI366" s="1"/>
      <c r="AJ366" s="1" t="s">
        <v>64</v>
      </c>
      <c r="AK366" s="1"/>
      <c r="AL366" s="1" t="s">
        <v>128</v>
      </c>
      <c r="AM366" s="1" t="s">
        <v>65</v>
      </c>
      <c r="AN366" s="1" t="s">
        <v>83</v>
      </c>
      <c r="AO366" s="2" t="s">
        <v>2275</v>
      </c>
      <c r="AP366" s="2" t="s">
        <v>2560</v>
      </c>
      <c r="AQ366" s="1" t="s">
        <v>132</v>
      </c>
      <c r="AR366" s="1" t="s">
        <v>494</v>
      </c>
      <c r="AS366" s="1"/>
      <c r="AT366" s="2" t="s">
        <v>70</v>
      </c>
    </row>
    <row r="367">
      <c r="A367" s="1">
        <v>2043381.0</v>
      </c>
      <c r="B367" s="1" t="s">
        <v>116</v>
      </c>
      <c r="C367" s="1" t="s">
        <v>117</v>
      </c>
      <c r="D367" s="1" t="s">
        <v>46</v>
      </c>
      <c r="E367" s="1" t="s">
        <v>2561</v>
      </c>
      <c r="F367" s="1"/>
      <c r="G367" s="1" t="s">
        <v>119</v>
      </c>
      <c r="H367" s="1" t="s">
        <v>72</v>
      </c>
      <c r="I367" s="1">
        <v>5000.0</v>
      </c>
      <c r="J367" s="1"/>
      <c r="K367" s="1"/>
      <c r="L367" s="1" t="s">
        <v>64</v>
      </c>
      <c r="M367" s="1" t="s">
        <v>2562</v>
      </c>
      <c r="N367" s="1" t="s">
        <v>109</v>
      </c>
      <c r="O367" s="1" t="s">
        <v>110</v>
      </c>
      <c r="P367" s="2" t="s">
        <v>2552</v>
      </c>
      <c r="Q367" s="1" t="s">
        <v>56</v>
      </c>
      <c r="R367" s="1"/>
      <c r="S367" s="1" t="s">
        <v>57</v>
      </c>
      <c r="T367" s="1">
        <v>3201902.0</v>
      </c>
      <c r="U367" s="1" t="s">
        <v>2557</v>
      </c>
      <c r="V367" s="1" t="s">
        <v>59</v>
      </c>
      <c r="W367" s="1" t="s">
        <v>78</v>
      </c>
      <c r="X367" s="1"/>
      <c r="Y367" s="1" t="str">
        <f>"02009000316202180"</f>
        <v>02009000316202180</v>
      </c>
      <c r="Z367" s="1" t="s">
        <v>112</v>
      </c>
      <c r="AA367" s="1" t="s">
        <v>2558</v>
      </c>
      <c r="AB367" s="1" t="str">
        <f t="shared" si="22"/>
        <v>***189727**</v>
      </c>
      <c r="AC367" s="1"/>
      <c r="AD367" s="1"/>
      <c r="AE367" s="1"/>
      <c r="AF367" s="1">
        <v>-40.627583</v>
      </c>
      <c r="AG367" s="1">
        <v>-20.357722</v>
      </c>
      <c r="AH367" s="1" t="s">
        <v>2559</v>
      </c>
      <c r="AI367" s="1"/>
      <c r="AJ367" s="1" t="s">
        <v>64</v>
      </c>
      <c r="AK367" s="1"/>
      <c r="AL367" s="1" t="s">
        <v>128</v>
      </c>
      <c r="AM367" s="1" t="s">
        <v>65</v>
      </c>
      <c r="AN367" s="1" t="s">
        <v>83</v>
      </c>
      <c r="AO367" s="2" t="s">
        <v>2275</v>
      </c>
      <c r="AP367" s="2" t="s">
        <v>2563</v>
      </c>
      <c r="AQ367" s="1" t="s">
        <v>132</v>
      </c>
      <c r="AR367" s="1" t="s">
        <v>2564</v>
      </c>
      <c r="AS367" s="1"/>
      <c r="AT367" s="2" t="s">
        <v>70</v>
      </c>
    </row>
    <row r="368">
      <c r="A368" s="1">
        <v>2043813.0</v>
      </c>
      <c r="B368" s="1" t="s">
        <v>116</v>
      </c>
      <c r="C368" s="1" t="s">
        <v>117</v>
      </c>
      <c r="D368" s="1" t="s">
        <v>46</v>
      </c>
      <c r="E368" s="1" t="s">
        <v>2565</v>
      </c>
      <c r="F368" s="1"/>
      <c r="G368" s="1" t="s">
        <v>119</v>
      </c>
      <c r="H368" s="1" t="s">
        <v>72</v>
      </c>
      <c r="I368" s="1">
        <v>5000.0</v>
      </c>
      <c r="J368" s="1"/>
      <c r="K368" s="1"/>
      <c r="L368" s="1" t="s">
        <v>120</v>
      </c>
      <c r="M368" s="1" t="s">
        <v>2566</v>
      </c>
      <c r="N368" s="1" t="s">
        <v>186</v>
      </c>
      <c r="O368" s="1" t="s">
        <v>95</v>
      </c>
      <c r="P368" s="2" t="s">
        <v>2567</v>
      </c>
      <c r="Q368" s="1" t="s">
        <v>56</v>
      </c>
      <c r="R368" s="1"/>
      <c r="S368" s="1" t="s">
        <v>169</v>
      </c>
      <c r="T368" s="1">
        <v>5300108.0</v>
      </c>
      <c r="U368" s="1" t="s">
        <v>304</v>
      </c>
      <c r="V368" s="1" t="s">
        <v>305</v>
      </c>
      <c r="W368" s="1" t="s">
        <v>172</v>
      </c>
      <c r="X368" s="1"/>
      <c r="Y368" s="1" t="str">
        <f>"02001004059202125"</f>
        <v>02001004059202125</v>
      </c>
      <c r="Z368" s="1" t="s">
        <v>101</v>
      </c>
      <c r="AA368" s="1" t="s">
        <v>2568</v>
      </c>
      <c r="AB368" s="1" t="str">
        <f>"***320181**"</f>
        <v>***320181**</v>
      </c>
      <c r="AC368" s="1"/>
      <c r="AD368" s="1"/>
      <c r="AE368" s="1"/>
      <c r="AF368" s="1">
        <v>-47.897778</v>
      </c>
      <c r="AG368" s="1">
        <v>-15.743056</v>
      </c>
      <c r="AH368" s="1" t="s">
        <v>2569</v>
      </c>
      <c r="AI368" s="1"/>
      <c r="AJ368" s="1" t="s">
        <v>120</v>
      </c>
      <c r="AK368" s="1"/>
      <c r="AL368" s="1" t="s">
        <v>128</v>
      </c>
      <c r="AM368" s="1" t="s">
        <v>65</v>
      </c>
      <c r="AN368" s="1" t="s">
        <v>66</v>
      </c>
      <c r="AO368" s="2" t="s">
        <v>468</v>
      </c>
      <c r="AP368" s="2" t="s">
        <v>2570</v>
      </c>
      <c r="AQ368" s="1" t="s">
        <v>132</v>
      </c>
      <c r="AR368" s="1" t="s">
        <v>693</v>
      </c>
      <c r="AS368" s="1"/>
      <c r="AT368" s="2" t="s">
        <v>70</v>
      </c>
    </row>
    <row r="369">
      <c r="A369" s="1">
        <v>2043369.0</v>
      </c>
      <c r="B369" s="1" t="s">
        <v>116</v>
      </c>
      <c r="C369" s="1" t="s">
        <v>117</v>
      </c>
      <c r="D369" s="1" t="s">
        <v>46</v>
      </c>
      <c r="E369" s="1" t="s">
        <v>2571</v>
      </c>
      <c r="F369" s="1"/>
      <c r="G369" s="1" t="s">
        <v>119</v>
      </c>
      <c r="H369" s="1" t="s">
        <v>72</v>
      </c>
      <c r="I369" s="1">
        <v>18480.0</v>
      </c>
      <c r="J369" s="1"/>
      <c r="K369" s="1"/>
      <c r="L369" s="1" t="s">
        <v>175</v>
      </c>
      <c r="M369" s="1" t="s">
        <v>2572</v>
      </c>
      <c r="N369" s="1" t="s">
        <v>109</v>
      </c>
      <c r="O369" s="1" t="s">
        <v>110</v>
      </c>
      <c r="P369" s="2" t="s">
        <v>2573</v>
      </c>
      <c r="Q369" s="1" t="s">
        <v>77</v>
      </c>
      <c r="R369" s="2" t="s">
        <v>2574</v>
      </c>
      <c r="S369" s="1" t="s">
        <v>220</v>
      </c>
      <c r="T369" s="1">
        <v>5208905.0</v>
      </c>
      <c r="U369" s="1" t="s">
        <v>2575</v>
      </c>
      <c r="V369" s="1" t="s">
        <v>171</v>
      </c>
      <c r="W369" s="1" t="s">
        <v>172</v>
      </c>
      <c r="X369" s="1"/>
      <c r="Y369" s="1" t="str">
        <f>"02010000236202195"</f>
        <v>02010000236202195</v>
      </c>
      <c r="Z369" s="1" t="s">
        <v>112</v>
      </c>
      <c r="AA369" s="1" t="s">
        <v>2576</v>
      </c>
      <c r="AB369" s="1" t="str">
        <f>"***224359**"</f>
        <v>***224359**</v>
      </c>
      <c r="AC369" s="1"/>
      <c r="AD369" s="1"/>
      <c r="AE369" s="1"/>
      <c r="AF369" s="1">
        <v>-50.003611</v>
      </c>
      <c r="AG369" s="1">
        <v>-16.021667</v>
      </c>
      <c r="AH369" s="1" t="s">
        <v>2577</v>
      </c>
      <c r="AI369" s="1"/>
      <c r="AJ369" s="1" t="s">
        <v>175</v>
      </c>
      <c r="AK369" s="1"/>
      <c r="AL369" s="1" t="s">
        <v>128</v>
      </c>
      <c r="AM369" s="1" t="s">
        <v>65</v>
      </c>
      <c r="AN369" s="1" t="s">
        <v>83</v>
      </c>
      <c r="AO369" s="2" t="s">
        <v>2407</v>
      </c>
      <c r="AP369" s="2" t="s">
        <v>2578</v>
      </c>
      <c r="AQ369" s="1" t="s">
        <v>132</v>
      </c>
      <c r="AR369" s="1" t="s">
        <v>470</v>
      </c>
      <c r="AS369" s="1"/>
      <c r="AT369" s="2" t="s">
        <v>70</v>
      </c>
    </row>
    <row r="370">
      <c r="A370" s="1">
        <v>2043584.0</v>
      </c>
      <c r="B370" s="1" t="s">
        <v>116</v>
      </c>
      <c r="C370" s="1" t="s">
        <v>117</v>
      </c>
      <c r="D370" s="1" t="s">
        <v>46</v>
      </c>
      <c r="E370" s="1" t="s">
        <v>2579</v>
      </c>
      <c r="F370" s="1"/>
      <c r="G370" s="1" t="s">
        <v>119</v>
      </c>
      <c r="H370" s="1" t="s">
        <v>50</v>
      </c>
      <c r="I370" s="1">
        <v>1000.0</v>
      </c>
      <c r="J370" s="1"/>
      <c r="K370" s="1"/>
      <c r="L370" s="1" t="s">
        <v>442</v>
      </c>
      <c r="M370" s="1" t="s">
        <v>2580</v>
      </c>
      <c r="N370" s="1" t="s">
        <v>285</v>
      </c>
      <c r="O370" s="1" t="s">
        <v>286</v>
      </c>
      <c r="P370" s="2" t="s">
        <v>2573</v>
      </c>
      <c r="Q370" s="1" t="s">
        <v>77</v>
      </c>
      <c r="R370" s="2" t="s">
        <v>2574</v>
      </c>
      <c r="S370" s="1" t="s">
        <v>437</v>
      </c>
      <c r="T370" s="1">
        <v>2304400.0</v>
      </c>
      <c r="U370" s="1" t="s">
        <v>592</v>
      </c>
      <c r="V370" s="1" t="s">
        <v>439</v>
      </c>
      <c r="W370" s="1" t="s">
        <v>60</v>
      </c>
      <c r="X370" s="1"/>
      <c r="Y370" s="1" t="str">
        <f>"02007000521202165"</f>
        <v>02007000521202165</v>
      </c>
      <c r="Z370" s="1" t="s">
        <v>292</v>
      </c>
      <c r="AA370" s="1" t="s">
        <v>2581</v>
      </c>
      <c r="AB370" s="1" t="str">
        <f>"41638941000132"</f>
        <v>41638941000132</v>
      </c>
      <c r="AC370" s="1"/>
      <c r="AD370" s="1"/>
      <c r="AE370" s="1"/>
      <c r="AF370" s="1">
        <v>-38.587778</v>
      </c>
      <c r="AG370" s="1">
        <v>-3.776111</v>
      </c>
      <c r="AH370" s="1" t="s">
        <v>2582</v>
      </c>
      <c r="AI370" s="1"/>
      <c r="AJ370" s="1" t="s">
        <v>442</v>
      </c>
      <c r="AK370" s="1"/>
      <c r="AL370" s="1" t="s">
        <v>128</v>
      </c>
      <c r="AM370" s="1" t="s">
        <v>65</v>
      </c>
      <c r="AN370" s="1" t="s">
        <v>159</v>
      </c>
      <c r="AO370" s="2" t="s">
        <v>1371</v>
      </c>
      <c r="AP370" s="2" t="s">
        <v>2583</v>
      </c>
      <c r="AQ370" s="1" t="s">
        <v>132</v>
      </c>
      <c r="AR370" s="1" t="s">
        <v>531</v>
      </c>
      <c r="AS370" s="1"/>
      <c r="AT370" s="2" t="s">
        <v>70</v>
      </c>
    </row>
    <row r="371">
      <c r="A371" s="1">
        <v>2043341.0</v>
      </c>
      <c r="B371" s="1" t="s">
        <v>116</v>
      </c>
      <c r="C371" s="1" t="s">
        <v>117</v>
      </c>
      <c r="D371" s="1" t="s">
        <v>46</v>
      </c>
      <c r="E371" s="1" t="s">
        <v>2584</v>
      </c>
      <c r="F371" s="1"/>
      <c r="G371" s="1" t="s">
        <v>119</v>
      </c>
      <c r="H371" s="1" t="s">
        <v>50</v>
      </c>
      <c r="I371" s="1">
        <v>10000.0</v>
      </c>
      <c r="J371" s="1"/>
      <c r="K371" s="1"/>
      <c r="L371" s="1" t="s">
        <v>226</v>
      </c>
      <c r="M371" s="1" t="s">
        <v>2585</v>
      </c>
      <c r="N371" s="1" t="s">
        <v>186</v>
      </c>
      <c r="O371" s="1" t="s">
        <v>302</v>
      </c>
      <c r="P371" s="2" t="s">
        <v>2586</v>
      </c>
      <c r="Q371" s="1" t="s">
        <v>56</v>
      </c>
      <c r="R371" s="1"/>
      <c r="S371" s="1" t="s">
        <v>784</v>
      </c>
      <c r="T371" s="1">
        <v>4205407.0</v>
      </c>
      <c r="U371" s="1" t="s">
        <v>2497</v>
      </c>
      <c r="V371" s="1" t="s">
        <v>222</v>
      </c>
      <c r="W371" s="1" t="s">
        <v>78</v>
      </c>
      <c r="X371" s="1"/>
      <c r="Y371" s="1"/>
      <c r="Z371" s="1" t="s">
        <v>306</v>
      </c>
      <c r="AA371" s="1" t="s">
        <v>2587</v>
      </c>
      <c r="AB371" s="1" t="str">
        <f>"01258944000550"</f>
        <v>01258944000550</v>
      </c>
      <c r="AC371" s="1"/>
      <c r="AD371" s="1"/>
      <c r="AE371" s="1"/>
      <c r="AF371" s="1">
        <v>-48.556667</v>
      </c>
      <c r="AG371" s="1">
        <v>-27.594167</v>
      </c>
      <c r="AH371" s="1" t="s">
        <v>2588</v>
      </c>
      <c r="AI371" s="1"/>
      <c r="AJ371" s="1" t="s">
        <v>226</v>
      </c>
      <c r="AK371" s="1"/>
      <c r="AL371" s="1" t="s">
        <v>128</v>
      </c>
      <c r="AM371" s="1" t="s">
        <v>65</v>
      </c>
      <c r="AN371" s="1" t="s">
        <v>2589</v>
      </c>
      <c r="AO371" s="2" t="s">
        <v>2407</v>
      </c>
      <c r="AP371" s="2" t="s">
        <v>2590</v>
      </c>
      <c r="AQ371" s="1" t="s">
        <v>132</v>
      </c>
      <c r="AR371" s="1" t="s">
        <v>531</v>
      </c>
      <c r="AS371" s="1"/>
      <c r="AT371" s="2" t="s">
        <v>70</v>
      </c>
    </row>
    <row r="372">
      <c r="A372" s="1">
        <v>2043370.0</v>
      </c>
      <c r="B372" s="1" t="s">
        <v>116</v>
      </c>
      <c r="C372" s="1" t="s">
        <v>117</v>
      </c>
      <c r="D372" s="1" t="s">
        <v>46</v>
      </c>
      <c r="E372" s="1" t="s">
        <v>2591</v>
      </c>
      <c r="F372" s="1"/>
      <c r="G372" s="1" t="s">
        <v>119</v>
      </c>
      <c r="H372" s="1" t="s">
        <v>72</v>
      </c>
      <c r="I372" s="1">
        <v>18480.0</v>
      </c>
      <c r="J372" s="1"/>
      <c r="K372" s="1"/>
      <c r="L372" s="1" t="s">
        <v>175</v>
      </c>
      <c r="M372" s="1" t="s">
        <v>2572</v>
      </c>
      <c r="N372" s="1" t="s">
        <v>53</v>
      </c>
      <c r="O372" s="1" t="s">
        <v>187</v>
      </c>
      <c r="P372" s="2" t="s">
        <v>2586</v>
      </c>
      <c r="Q372" s="1" t="s">
        <v>56</v>
      </c>
      <c r="R372" s="2" t="s">
        <v>2574</v>
      </c>
      <c r="S372" s="1" t="s">
        <v>220</v>
      </c>
      <c r="T372" s="1">
        <v>5208905.0</v>
      </c>
      <c r="U372" s="1" t="s">
        <v>2575</v>
      </c>
      <c r="V372" s="1" t="s">
        <v>171</v>
      </c>
      <c r="W372" s="1" t="s">
        <v>172</v>
      </c>
      <c r="X372" s="1"/>
      <c r="Y372" s="1" t="str">
        <f>"02010000237202130"</f>
        <v>02010000237202130</v>
      </c>
      <c r="Z372" s="1" t="s">
        <v>223</v>
      </c>
      <c r="AA372" s="1" t="s">
        <v>2592</v>
      </c>
      <c r="AB372" s="1" t="str">
        <f>"04445422000121"</f>
        <v>04445422000121</v>
      </c>
      <c r="AC372" s="1"/>
      <c r="AD372" s="1"/>
      <c r="AE372" s="1"/>
      <c r="AF372" s="1">
        <v>-50.003611</v>
      </c>
      <c r="AG372" s="1">
        <v>-16.005</v>
      </c>
      <c r="AH372" s="1" t="s">
        <v>2593</v>
      </c>
      <c r="AI372" s="1"/>
      <c r="AJ372" s="1" t="s">
        <v>175</v>
      </c>
      <c r="AK372" s="1"/>
      <c r="AL372" s="1" t="s">
        <v>128</v>
      </c>
      <c r="AM372" s="1" t="s">
        <v>65</v>
      </c>
      <c r="AN372" s="1" t="s">
        <v>83</v>
      </c>
      <c r="AO372" s="2" t="s">
        <v>2407</v>
      </c>
      <c r="AP372" s="2" t="s">
        <v>2594</v>
      </c>
      <c r="AQ372" s="1" t="s">
        <v>132</v>
      </c>
      <c r="AR372" s="1" t="s">
        <v>470</v>
      </c>
      <c r="AS372" s="1"/>
      <c r="AT372" s="2" t="s">
        <v>70</v>
      </c>
    </row>
    <row r="373">
      <c r="A373" s="1">
        <v>2043728.0</v>
      </c>
      <c r="B373" s="1" t="s">
        <v>116</v>
      </c>
      <c r="C373" s="1" t="s">
        <v>117</v>
      </c>
      <c r="D373" s="1" t="s">
        <v>46</v>
      </c>
      <c r="E373" s="1" t="s">
        <v>2595</v>
      </c>
      <c r="F373" s="1"/>
      <c r="G373" s="1" t="s">
        <v>119</v>
      </c>
      <c r="H373" s="1" t="s">
        <v>50</v>
      </c>
      <c r="I373" s="1">
        <v>4000.0</v>
      </c>
      <c r="J373" s="1"/>
      <c r="K373" s="1"/>
      <c r="L373" s="1" t="s">
        <v>405</v>
      </c>
      <c r="M373" s="1" t="s">
        <v>2596</v>
      </c>
      <c r="N373" s="1" t="s">
        <v>285</v>
      </c>
      <c r="O373" s="1" t="s">
        <v>286</v>
      </c>
      <c r="P373" s="2" t="s">
        <v>2597</v>
      </c>
      <c r="Q373" s="1" t="s">
        <v>56</v>
      </c>
      <c r="R373" s="1"/>
      <c r="S373" s="1" t="s">
        <v>400</v>
      </c>
      <c r="T373" s="1">
        <v>4315008.0</v>
      </c>
      <c r="U373" s="1" t="s">
        <v>2598</v>
      </c>
      <c r="V373" s="1" t="s">
        <v>402</v>
      </c>
      <c r="W373" s="1" t="s">
        <v>78</v>
      </c>
      <c r="X373" s="1"/>
      <c r="Y373" s="1" t="str">
        <f>"02023000405202148"</f>
        <v>02023000405202148</v>
      </c>
      <c r="Z373" s="1" t="s">
        <v>292</v>
      </c>
      <c r="AA373" s="1" t="s">
        <v>2599</v>
      </c>
      <c r="AB373" s="1" t="str">
        <f>"95821310000779"</f>
        <v>95821310000779</v>
      </c>
      <c r="AC373" s="1"/>
      <c r="AD373" s="1"/>
      <c r="AE373" s="1"/>
      <c r="AF373" s="1">
        <v>-55.010417</v>
      </c>
      <c r="AG373" s="1">
        <v>-27.856278</v>
      </c>
      <c r="AH373" s="1" t="s">
        <v>2600</v>
      </c>
      <c r="AI373" s="1"/>
      <c r="AJ373" s="1" t="s">
        <v>405</v>
      </c>
      <c r="AK373" s="1"/>
      <c r="AL373" s="1" t="s">
        <v>128</v>
      </c>
      <c r="AM373" s="1" t="s">
        <v>65</v>
      </c>
      <c r="AN373" s="1" t="s">
        <v>1302</v>
      </c>
      <c r="AO373" s="2" t="s">
        <v>778</v>
      </c>
      <c r="AP373" s="2" t="s">
        <v>2601</v>
      </c>
      <c r="AQ373" s="1" t="s">
        <v>132</v>
      </c>
      <c r="AR373" s="1" t="s">
        <v>693</v>
      </c>
      <c r="AS373" s="1"/>
      <c r="AT373" s="2" t="s">
        <v>70</v>
      </c>
    </row>
    <row r="374">
      <c r="A374" s="1">
        <v>2043493.0</v>
      </c>
      <c r="B374" s="1" t="s">
        <v>116</v>
      </c>
      <c r="C374" s="1" t="s">
        <v>117</v>
      </c>
      <c r="D374" s="1" t="s">
        <v>46</v>
      </c>
      <c r="E374" s="1" t="s">
        <v>2602</v>
      </c>
      <c r="F374" s="1"/>
      <c r="G374" s="1" t="s">
        <v>119</v>
      </c>
      <c r="H374" s="1" t="s">
        <v>50</v>
      </c>
      <c r="I374" s="1">
        <v>20500.0</v>
      </c>
      <c r="J374" s="1"/>
      <c r="K374" s="1"/>
      <c r="L374" s="1" t="s">
        <v>405</v>
      </c>
      <c r="M374" s="1" t="s">
        <v>2603</v>
      </c>
      <c r="N374" s="1" t="s">
        <v>53</v>
      </c>
      <c r="O374" s="1" t="s">
        <v>333</v>
      </c>
      <c r="P374" s="2" t="s">
        <v>2604</v>
      </c>
      <c r="Q374" s="1" t="s">
        <v>56</v>
      </c>
      <c r="R374" s="1"/>
      <c r="S374" s="1" t="s">
        <v>400</v>
      </c>
      <c r="T374" s="1">
        <v>4322202.0</v>
      </c>
      <c r="U374" s="1" t="s">
        <v>2605</v>
      </c>
      <c r="V374" s="1" t="s">
        <v>402</v>
      </c>
      <c r="W374" s="1" t="s">
        <v>314</v>
      </c>
      <c r="X374" s="1"/>
      <c r="Y374" s="1" t="str">
        <f>"02023000342202120"</f>
        <v>02023000342202120</v>
      </c>
      <c r="Z374" s="1" t="s">
        <v>223</v>
      </c>
      <c r="AA374" s="1" t="s">
        <v>2606</v>
      </c>
      <c r="AB374" s="1" t="str">
        <f>"***364750**"</f>
        <v>***364750**</v>
      </c>
      <c r="AC374" s="1"/>
      <c r="AD374" s="1"/>
      <c r="AE374" s="1"/>
      <c r="AF374" s="1">
        <v>-54.085833</v>
      </c>
      <c r="AG374" s="1">
        <v>-31.326944</v>
      </c>
      <c r="AH374" s="1" t="s">
        <v>2607</v>
      </c>
      <c r="AI374" s="1"/>
      <c r="AJ374" s="1" t="s">
        <v>405</v>
      </c>
      <c r="AK374" s="1"/>
      <c r="AL374" s="1" t="s">
        <v>128</v>
      </c>
      <c r="AM374" s="1" t="s">
        <v>65</v>
      </c>
      <c r="AN374" s="1" t="s">
        <v>2608</v>
      </c>
      <c r="AO374" s="2" t="s">
        <v>1972</v>
      </c>
      <c r="AP374" s="2" t="s">
        <v>2609</v>
      </c>
      <c r="AQ374" s="1" t="s">
        <v>132</v>
      </c>
      <c r="AR374" s="1" t="s">
        <v>2610</v>
      </c>
      <c r="AS374" s="1"/>
      <c r="AT374" s="2" t="s">
        <v>70</v>
      </c>
    </row>
    <row r="375">
      <c r="A375" s="1">
        <v>2043520.0</v>
      </c>
      <c r="B375" s="1" t="s">
        <v>116</v>
      </c>
      <c r="C375" s="1" t="s">
        <v>117</v>
      </c>
      <c r="D375" s="1" t="s">
        <v>46</v>
      </c>
      <c r="E375" s="1" t="s">
        <v>2611</v>
      </c>
      <c r="F375" s="1"/>
      <c r="G375" s="1" t="s">
        <v>119</v>
      </c>
      <c r="H375" s="1" t="s">
        <v>50</v>
      </c>
      <c r="I375" s="1">
        <v>1400.0</v>
      </c>
      <c r="J375" s="1"/>
      <c r="K375" s="1"/>
      <c r="L375" s="1" t="s">
        <v>295</v>
      </c>
      <c r="M375" s="1" t="s">
        <v>2612</v>
      </c>
      <c r="N375" s="1" t="s">
        <v>53</v>
      </c>
      <c r="O375" s="1" t="s">
        <v>382</v>
      </c>
      <c r="P375" s="2" t="s">
        <v>2604</v>
      </c>
      <c r="Q375" s="1" t="s">
        <v>56</v>
      </c>
      <c r="R375" s="1"/>
      <c r="S375" s="1" t="s">
        <v>550</v>
      </c>
      <c r="T375" s="1">
        <v>2933307.0</v>
      </c>
      <c r="U375" s="1" t="s">
        <v>2613</v>
      </c>
      <c r="V375" s="1" t="s">
        <v>552</v>
      </c>
      <c r="W375" s="1" t="s">
        <v>291</v>
      </c>
      <c r="X375" s="1"/>
      <c r="Y375" s="1" t="str">
        <f>"02020000284202164"</f>
        <v>02020000284202164</v>
      </c>
      <c r="Z375" s="1" t="s">
        <v>384</v>
      </c>
      <c r="AA375" s="1" t="s">
        <v>2614</v>
      </c>
      <c r="AB375" s="1" t="str">
        <f>"08997622000148"</f>
        <v>08997622000148</v>
      </c>
      <c r="AC375" s="1"/>
      <c r="AD375" s="1"/>
      <c r="AE375" s="1"/>
      <c r="AF375" s="1">
        <v>-42.763611</v>
      </c>
      <c r="AG375" s="1">
        <v>-5.06</v>
      </c>
      <c r="AH375" s="1" t="s">
        <v>2615</v>
      </c>
      <c r="AI375" s="1"/>
      <c r="AJ375" s="1" t="s">
        <v>295</v>
      </c>
      <c r="AK375" s="1"/>
      <c r="AL375" s="1" t="s">
        <v>128</v>
      </c>
      <c r="AM375" s="1" t="s">
        <v>65</v>
      </c>
      <c r="AN375" s="1" t="s">
        <v>159</v>
      </c>
      <c r="AO375" s="2" t="s">
        <v>1643</v>
      </c>
      <c r="AP375" s="2" t="s">
        <v>2616</v>
      </c>
      <c r="AQ375" s="1" t="s">
        <v>132</v>
      </c>
      <c r="AR375" s="1" t="s">
        <v>531</v>
      </c>
      <c r="AS375" s="1"/>
      <c r="AT375" s="2" t="s">
        <v>70</v>
      </c>
    </row>
    <row r="376">
      <c r="A376" s="1">
        <v>2043521.0</v>
      </c>
      <c r="B376" s="1" t="s">
        <v>116</v>
      </c>
      <c r="C376" s="1" t="s">
        <v>117</v>
      </c>
      <c r="D376" s="1" t="s">
        <v>46</v>
      </c>
      <c r="E376" s="1" t="s">
        <v>2617</v>
      </c>
      <c r="F376" s="1"/>
      <c r="G376" s="1" t="s">
        <v>119</v>
      </c>
      <c r="H376" s="1" t="s">
        <v>50</v>
      </c>
      <c r="I376" s="1">
        <v>1500.0</v>
      </c>
      <c r="J376" s="1"/>
      <c r="K376" s="1"/>
      <c r="L376" s="1" t="s">
        <v>295</v>
      </c>
      <c r="M376" s="1" t="s">
        <v>2618</v>
      </c>
      <c r="N376" s="1" t="s">
        <v>53</v>
      </c>
      <c r="O376" s="1" t="s">
        <v>382</v>
      </c>
      <c r="P376" s="2" t="s">
        <v>2604</v>
      </c>
      <c r="Q376" s="1" t="s">
        <v>56</v>
      </c>
      <c r="R376" s="1"/>
      <c r="S376" s="1" t="s">
        <v>288</v>
      </c>
      <c r="T376" s="1">
        <v>2206001.0</v>
      </c>
      <c r="U376" s="1" t="s">
        <v>980</v>
      </c>
      <c r="V376" s="1" t="s">
        <v>290</v>
      </c>
      <c r="W376" s="1" t="s">
        <v>291</v>
      </c>
      <c r="X376" s="1"/>
      <c r="Y376" s="1" t="str">
        <f>"02020000285202117"</f>
        <v>02020000285202117</v>
      </c>
      <c r="Z376" s="1" t="s">
        <v>384</v>
      </c>
      <c r="AA376" s="1" t="s">
        <v>981</v>
      </c>
      <c r="AB376" s="1" t="str">
        <f>"16403681000179"</f>
        <v>16403681000179</v>
      </c>
      <c r="AC376" s="1"/>
      <c r="AD376" s="1"/>
      <c r="AE376" s="1"/>
      <c r="AF376" s="1">
        <v>-42.763611</v>
      </c>
      <c r="AG376" s="1">
        <v>-5.06</v>
      </c>
      <c r="AH376" s="1" t="s">
        <v>2619</v>
      </c>
      <c r="AI376" s="1"/>
      <c r="AJ376" s="1" t="s">
        <v>295</v>
      </c>
      <c r="AK376" s="1"/>
      <c r="AL376" s="1" t="s">
        <v>128</v>
      </c>
      <c r="AM376" s="1" t="s">
        <v>65</v>
      </c>
      <c r="AN376" s="1" t="s">
        <v>159</v>
      </c>
      <c r="AO376" s="2" t="s">
        <v>1643</v>
      </c>
      <c r="AP376" s="2" t="s">
        <v>2620</v>
      </c>
      <c r="AQ376" s="1" t="s">
        <v>132</v>
      </c>
      <c r="AR376" s="1" t="s">
        <v>531</v>
      </c>
      <c r="AS376" s="1"/>
      <c r="AT376" s="2" t="s">
        <v>70</v>
      </c>
    </row>
    <row r="377">
      <c r="A377" s="1">
        <v>2043618.0</v>
      </c>
      <c r="B377" s="1" t="s">
        <v>116</v>
      </c>
      <c r="C377" s="1" t="s">
        <v>117</v>
      </c>
      <c r="D377" s="1" t="s">
        <v>46</v>
      </c>
      <c r="E377" s="1" t="s">
        <v>2621</v>
      </c>
      <c r="F377" s="1"/>
      <c r="G377" s="1" t="s">
        <v>119</v>
      </c>
      <c r="H377" s="1" t="s">
        <v>50</v>
      </c>
      <c r="I377" s="1">
        <v>170000.0</v>
      </c>
      <c r="J377" s="1"/>
      <c r="K377" s="1"/>
      <c r="L377" s="1" t="s">
        <v>2299</v>
      </c>
      <c r="M377" s="1" t="s">
        <v>2622</v>
      </c>
      <c r="N377" s="1" t="s">
        <v>186</v>
      </c>
      <c r="O377" s="1" t="s">
        <v>95</v>
      </c>
      <c r="P377" s="2" t="s">
        <v>2623</v>
      </c>
      <c r="Q377" s="1" t="s">
        <v>56</v>
      </c>
      <c r="R377" s="1"/>
      <c r="S377" s="1" t="s">
        <v>1349</v>
      </c>
      <c r="T377" s="1">
        <v>1502764.0</v>
      </c>
      <c r="U377" s="1" t="s">
        <v>2624</v>
      </c>
      <c r="V377" s="1" t="s">
        <v>917</v>
      </c>
      <c r="W377" s="1" t="s">
        <v>100</v>
      </c>
      <c r="X377" s="1"/>
      <c r="Y377" s="1" t="str">
        <f>"02047000052202116"</f>
        <v>02047000052202116</v>
      </c>
      <c r="Z377" s="1" t="s">
        <v>101</v>
      </c>
      <c r="AA377" s="1" t="s">
        <v>2625</v>
      </c>
      <c r="AB377" s="1" t="str">
        <f>"***818678**"</f>
        <v>***818678**</v>
      </c>
      <c r="AC377" s="1"/>
      <c r="AD377" s="1"/>
      <c r="AE377" s="1"/>
      <c r="AF377" s="1">
        <v>-51.426667</v>
      </c>
      <c r="AG377" s="1">
        <v>-8.692778</v>
      </c>
      <c r="AH377" s="1" t="s">
        <v>2626</v>
      </c>
      <c r="AI377" s="1"/>
      <c r="AJ377" s="1" t="s">
        <v>2299</v>
      </c>
      <c r="AK377" s="1"/>
      <c r="AL377" s="1" t="s">
        <v>128</v>
      </c>
      <c r="AM377" s="1" t="s">
        <v>65</v>
      </c>
      <c r="AN377" s="1" t="s">
        <v>2300</v>
      </c>
      <c r="AO377" s="2" t="s">
        <v>1371</v>
      </c>
      <c r="AP377" s="2" t="s">
        <v>2627</v>
      </c>
      <c r="AQ377" s="1" t="s">
        <v>132</v>
      </c>
      <c r="AR377" s="1" t="s">
        <v>494</v>
      </c>
      <c r="AS377" s="1"/>
      <c r="AT377" s="2" t="s">
        <v>70</v>
      </c>
    </row>
    <row r="378">
      <c r="A378" s="1">
        <v>2043391.0</v>
      </c>
      <c r="B378" s="1" t="s">
        <v>116</v>
      </c>
      <c r="C378" s="1" t="s">
        <v>117</v>
      </c>
      <c r="D378" s="1" t="s">
        <v>46</v>
      </c>
      <c r="E378" s="1" t="s">
        <v>2628</v>
      </c>
      <c r="F378" s="1"/>
      <c r="G378" s="1" t="s">
        <v>119</v>
      </c>
      <c r="H378" s="1" t="s">
        <v>50</v>
      </c>
      <c r="I378" s="1">
        <v>4780.0</v>
      </c>
      <c r="J378" s="1"/>
      <c r="K378" s="1"/>
      <c r="L378" s="1" t="s">
        <v>442</v>
      </c>
      <c r="M378" s="1" t="s">
        <v>2629</v>
      </c>
      <c r="N378" s="1" t="s">
        <v>74</v>
      </c>
      <c r="O378" s="1" t="s">
        <v>75</v>
      </c>
      <c r="P378" s="2" t="s">
        <v>2630</v>
      </c>
      <c r="Q378" s="1" t="s">
        <v>56</v>
      </c>
      <c r="R378" s="1"/>
      <c r="S378" s="1" t="s">
        <v>220</v>
      </c>
      <c r="T378" s="1">
        <v>2304251.0</v>
      </c>
      <c r="U378" s="1" t="s">
        <v>2631</v>
      </c>
      <c r="V378" s="1" t="s">
        <v>439</v>
      </c>
      <c r="W378" s="1" t="s">
        <v>60</v>
      </c>
      <c r="X378" s="1"/>
      <c r="Y378" s="1" t="str">
        <f>"02007000433202163"</f>
        <v>02007000433202163</v>
      </c>
      <c r="Z378" s="1" t="s">
        <v>79</v>
      </c>
      <c r="AA378" s="1" t="s">
        <v>2632</v>
      </c>
      <c r="AB378" s="1" t="str">
        <f>"***316883**"</f>
        <v>***316883**</v>
      </c>
      <c r="AC378" s="1"/>
      <c r="AD378" s="1"/>
      <c r="AE378" s="1"/>
      <c r="AF378" s="1">
        <v>-40.415556</v>
      </c>
      <c r="AG378" s="1">
        <v>-2.820556</v>
      </c>
      <c r="AH378" s="1" t="s">
        <v>2633</v>
      </c>
      <c r="AI378" s="1"/>
      <c r="AJ378" s="1" t="s">
        <v>442</v>
      </c>
      <c r="AK378" s="1"/>
      <c r="AL378" s="1" t="s">
        <v>128</v>
      </c>
      <c r="AM378" s="1" t="s">
        <v>65</v>
      </c>
      <c r="AN378" s="1" t="s">
        <v>159</v>
      </c>
      <c r="AO378" s="2" t="s">
        <v>2275</v>
      </c>
      <c r="AP378" s="2" t="s">
        <v>2634</v>
      </c>
      <c r="AQ378" s="1" t="s">
        <v>132</v>
      </c>
      <c r="AR378" s="1" t="s">
        <v>1001</v>
      </c>
      <c r="AS378" s="1" t="s">
        <v>2635</v>
      </c>
      <c r="AT378" s="2" t="s">
        <v>70</v>
      </c>
    </row>
    <row r="379">
      <c r="A379" s="1">
        <v>2043392.0</v>
      </c>
      <c r="B379" s="1" t="s">
        <v>116</v>
      </c>
      <c r="C379" s="1" t="s">
        <v>117</v>
      </c>
      <c r="D379" s="1" t="s">
        <v>46</v>
      </c>
      <c r="E379" s="1" t="s">
        <v>2636</v>
      </c>
      <c r="F379" s="1"/>
      <c r="G379" s="1" t="s">
        <v>119</v>
      </c>
      <c r="H379" s="1" t="s">
        <v>50</v>
      </c>
      <c r="I379" s="1">
        <v>7200.0</v>
      </c>
      <c r="J379" s="1"/>
      <c r="K379" s="1"/>
      <c r="L379" s="1" t="s">
        <v>442</v>
      </c>
      <c r="M379" s="1" t="s">
        <v>2637</v>
      </c>
      <c r="N379" s="1" t="s">
        <v>74</v>
      </c>
      <c r="O379" s="1" t="s">
        <v>75</v>
      </c>
      <c r="P379" s="2" t="s">
        <v>2630</v>
      </c>
      <c r="Q379" s="1" t="s">
        <v>56</v>
      </c>
      <c r="R379" s="1"/>
      <c r="S379" s="1" t="s">
        <v>220</v>
      </c>
      <c r="T379" s="1">
        <v>2300200.0</v>
      </c>
      <c r="U379" s="1" t="s">
        <v>1021</v>
      </c>
      <c r="V379" s="1" t="s">
        <v>439</v>
      </c>
      <c r="W379" s="1" t="s">
        <v>60</v>
      </c>
      <c r="X379" s="1"/>
      <c r="Y379" s="1" t="str">
        <f>"02007000434202116"</f>
        <v>02007000434202116</v>
      </c>
      <c r="Z379" s="1" t="s">
        <v>79</v>
      </c>
      <c r="AA379" s="1" t="s">
        <v>2638</v>
      </c>
      <c r="AB379" s="1" t="str">
        <f>"***297623**"</f>
        <v>***297623**</v>
      </c>
      <c r="AC379" s="1"/>
      <c r="AD379" s="1"/>
      <c r="AE379" s="1"/>
      <c r="AF379" s="1">
        <v>-39.995278</v>
      </c>
      <c r="AG379" s="1">
        <v>-2.850833</v>
      </c>
      <c r="AH379" s="1" t="s">
        <v>2639</v>
      </c>
      <c r="AI379" s="1"/>
      <c r="AJ379" s="1" t="s">
        <v>442</v>
      </c>
      <c r="AK379" s="1"/>
      <c r="AL379" s="1" t="s">
        <v>128</v>
      </c>
      <c r="AM379" s="1" t="s">
        <v>65</v>
      </c>
      <c r="AN379" s="1" t="s">
        <v>159</v>
      </c>
      <c r="AO379" s="2" t="s">
        <v>2275</v>
      </c>
      <c r="AP379" s="2" t="s">
        <v>2640</v>
      </c>
      <c r="AQ379" s="1" t="s">
        <v>132</v>
      </c>
      <c r="AR379" s="1" t="s">
        <v>1001</v>
      </c>
      <c r="AS379" s="1" t="s">
        <v>2635</v>
      </c>
      <c r="AT379" s="2" t="s">
        <v>70</v>
      </c>
    </row>
    <row r="380">
      <c r="A380" s="1">
        <v>2043708.0</v>
      </c>
      <c r="B380" s="1" t="s">
        <v>116</v>
      </c>
      <c r="C380" s="1" t="s">
        <v>117</v>
      </c>
      <c r="D380" s="1" t="s">
        <v>46</v>
      </c>
      <c r="E380" s="1" t="s">
        <v>2641</v>
      </c>
      <c r="F380" s="1"/>
      <c r="G380" s="1" t="s">
        <v>119</v>
      </c>
      <c r="H380" s="1" t="s">
        <v>50</v>
      </c>
      <c r="I380" s="1">
        <v>5000.0</v>
      </c>
      <c r="J380" s="1"/>
      <c r="K380" s="1"/>
      <c r="L380" s="1" t="s">
        <v>295</v>
      </c>
      <c r="M380" s="1" t="s">
        <v>2642</v>
      </c>
      <c r="N380" s="1" t="s">
        <v>109</v>
      </c>
      <c r="O380" s="1" t="s">
        <v>110</v>
      </c>
      <c r="P380" s="2" t="s">
        <v>2630</v>
      </c>
      <c r="Q380" s="1" t="s">
        <v>56</v>
      </c>
      <c r="R380" s="1"/>
      <c r="S380" s="1" t="s">
        <v>288</v>
      </c>
      <c r="T380" s="1">
        <v>2210300.0</v>
      </c>
      <c r="U380" s="1" t="s">
        <v>2643</v>
      </c>
      <c r="V380" s="1" t="s">
        <v>290</v>
      </c>
      <c r="W380" s="1" t="s">
        <v>291</v>
      </c>
      <c r="X380" s="1"/>
      <c r="Y380" s="1" t="str">
        <f>"02020000316202121"</f>
        <v>02020000316202121</v>
      </c>
      <c r="Z380" s="1" t="s">
        <v>112</v>
      </c>
      <c r="AA380" s="1" t="s">
        <v>2644</v>
      </c>
      <c r="AB380" s="1" t="str">
        <f>"09068779000151"</f>
        <v>09068779000151</v>
      </c>
      <c r="AC380" s="1"/>
      <c r="AD380" s="1"/>
      <c r="AE380" s="1"/>
      <c r="AF380" s="1">
        <v>-42.751389</v>
      </c>
      <c r="AG380" s="1">
        <v>-5.094444</v>
      </c>
      <c r="AH380" s="1" t="s">
        <v>2645</v>
      </c>
      <c r="AI380" s="1"/>
      <c r="AJ380" s="1" t="s">
        <v>295</v>
      </c>
      <c r="AK380" s="1"/>
      <c r="AL380" s="1" t="s">
        <v>128</v>
      </c>
      <c r="AM380" s="1" t="s">
        <v>65</v>
      </c>
      <c r="AN380" s="1" t="s">
        <v>296</v>
      </c>
      <c r="AO380" s="2" t="s">
        <v>778</v>
      </c>
      <c r="AP380" s="2" t="s">
        <v>2646</v>
      </c>
      <c r="AQ380" s="1" t="s">
        <v>132</v>
      </c>
      <c r="AR380" s="1" t="s">
        <v>247</v>
      </c>
      <c r="AS380" s="1"/>
      <c r="AT380" s="2" t="s">
        <v>70</v>
      </c>
    </row>
    <row r="381">
      <c r="A381" s="1"/>
      <c r="B381" s="1" t="s">
        <v>46</v>
      </c>
      <c r="C381" s="1" t="s">
        <v>47</v>
      </c>
      <c r="D381" s="1"/>
      <c r="E381" s="1" t="s">
        <v>2647</v>
      </c>
      <c r="F381" s="1"/>
      <c r="G381" s="1" t="s">
        <v>49</v>
      </c>
      <c r="H381" s="1" t="s">
        <v>50</v>
      </c>
      <c r="I381" s="1">
        <v>101500.0</v>
      </c>
      <c r="J381" s="1"/>
      <c r="K381" s="1" t="s">
        <v>51</v>
      </c>
      <c r="L381" s="1"/>
      <c r="M381" s="1" t="s">
        <v>2648</v>
      </c>
      <c r="N381" s="1" t="s">
        <v>2649</v>
      </c>
      <c r="O381" s="1" t="s">
        <v>2650</v>
      </c>
      <c r="P381" s="2" t="s">
        <v>2651</v>
      </c>
      <c r="Q381" s="1" t="s">
        <v>56</v>
      </c>
      <c r="R381" s="1"/>
      <c r="S381" s="1" t="s">
        <v>220</v>
      </c>
      <c r="T381" s="1">
        <v>4312138.0</v>
      </c>
      <c r="U381" s="1" t="s">
        <v>2652</v>
      </c>
      <c r="V381" s="1" t="s">
        <v>402</v>
      </c>
      <c r="W381" s="1" t="s">
        <v>78</v>
      </c>
      <c r="X381" s="1"/>
      <c r="Y381" s="1"/>
      <c r="Z381" s="1" t="s">
        <v>2653</v>
      </c>
      <c r="AA381" s="1" t="s">
        <v>2654</v>
      </c>
      <c r="AB381" s="1" t="str">
        <f>"***855550**"</f>
        <v>***855550**</v>
      </c>
      <c r="AC381" s="1"/>
      <c r="AD381" s="1" t="s">
        <v>81</v>
      </c>
      <c r="AE381" s="1"/>
      <c r="AF381" s="1">
        <v>-52.167917</v>
      </c>
      <c r="AG381" s="1">
        <v>-28.318333</v>
      </c>
      <c r="AH381" s="1" t="s">
        <v>2655</v>
      </c>
      <c r="AI381" s="1"/>
      <c r="AJ381" s="1" t="s">
        <v>405</v>
      </c>
      <c r="AK381" s="1"/>
      <c r="AL381" s="1"/>
      <c r="AM381" s="1" t="s">
        <v>65</v>
      </c>
      <c r="AN381" s="1" t="s">
        <v>159</v>
      </c>
      <c r="AO381" s="1"/>
      <c r="AP381" s="2" t="s">
        <v>2656</v>
      </c>
      <c r="AQ381" s="1"/>
      <c r="AR381" s="1" t="s">
        <v>2657</v>
      </c>
      <c r="AS381" s="1" t="s">
        <v>2658</v>
      </c>
      <c r="AT381" s="2" t="s">
        <v>70</v>
      </c>
    </row>
    <row r="382">
      <c r="A382" s="1">
        <v>2043786.0</v>
      </c>
      <c r="B382" s="1" t="s">
        <v>116</v>
      </c>
      <c r="C382" s="1" t="s">
        <v>117</v>
      </c>
      <c r="D382" s="1" t="s">
        <v>46</v>
      </c>
      <c r="E382" s="1" t="s">
        <v>2659</v>
      </c>
      <c r="F382" s="1"/>
      <c r="G382" s="1" t="s">
        <v>119</v>
      </c>
      <c r="H382" s="1" t="s">
        <v>72</v>
      </c>
      <c r="I382" s="1">
        <v>11583.0</v>
      </c>
      <c r="J382" s="1"/>
      <c r="K382" s="1"/>
      <c r="L382" s="1" t="s">
        <v>480</v>
      </c>
      <c r="M382" s="1" t="s">
        <v>2660</v>
      </c>
      <c r="N382" s="1" t="s">
        <v>109</v>
      </c>
      <c r="O382" s="1" t="s">
        <v>110</v>
      </c>
      <c r="P382" s="2" t="s">
        <v>2661</v>
      </c>
      <c r="Q382" s="1" t="s">
        <v>56</v>
      </c>
      <c r="R382" s="2" t="s">
        <v>467</v>
      </c>
      <c r="S382" s="1" t="s">
        <v>220</v>
      </c>
      <c r="T382" s="1">
        <v>3136702.0</v>
      </c>
      <c r="U382" s="1" t="s">
        <v>476</v>
      </c>
      <c r="V382" s="1" t="s">
        <v>477</v>
      </c>
      <c r="W382" s="1" t="s">
        <v>100</v>
      </c>
      <c r="X382" s="1"/>
      <c r="Y382" s="1" t="str">
        <f>"02555000031202152"</f>
        <v>02555000031202152</v>
      </c>
      <c r="Z382" s="1" t="s">
        <v>112</v>
      </c>
      <c r="AA382" s="1" t="s">
        <v>2662</v>
      </c>
      <c r="AB382" s="1" t="str">
        <f>"05342134000104"</f>
        <v>05342134000104</v>
      </c>
      <c r="AC382" s="1"/>
      <c r="AD382" s="1"/>
      <c r="AE382" s="1"/>
      <c r="AF382" s="1">
        <v>-43.457472</v>
      </c>
      <c r="AG382" s="1">
        <v>-21.599</v>
      </c>
      <c r="AH382" s="1" t="s">
        <v>2663</v>
      </c>
      <c r="AI382" s="1"/>
      <c r="AJ382" s="1" t="s">
        <v>480</v>
      </c>
      <c r="AK382" s="1"/>
      <c r="AL382" s="1" t="s">
        <v>128</v>
      </c>
      <c r="AM382" s="1" t="s">
        <v>65</v>
      </c>
      <c r="AN382" s="1" t="s">
        <v>83</v>
      </c>
      <c r="AO382" s="2" t="s">
        <v>529</v>
      </c>
      <c r="AP382" s="2" t="s">
        <v>2664</v>
      </c>
      <c r="AQ382" s="1" t="s">
        <v>132</v>
      </c>
      <c r="AR382" s="1" t="s">
        <v>133</v>
      </c>
      <c r="AS382" s="1"/>
      <c r="AT382" s="2" t="s">
        <v>70</v>
      </c>
    </row>
    <row r="383">
      <c r="A383" s="1">
        <v>2043251.0</v>
      </c>
      <c r="B383" s="1" t="s">
        <v>116</v>
      </c>
      <c r="C383" s="1" t="s">
        <v>117</v>
      </c>
      <c r="D383" s="1" t="s">
        <v>46</v>
      </c>
      <c r="E383" s="1" t="s">
        <v>2665</v>
      </c>
      <c r="F383" s="1"/>
      <c r="G383" s="1" t="s">
        <v>119</v>
      </c>
      <c r="H383" s="1" t="s">
        <v>72</v>
      </c>
      <c r="I383" s="1">
        <v>768.0</v>
      </c>
      <c r="J383" s="1"/>
      <c r="K383" s="1"/>
      <c r="L383" s="1" t="s">
        <v>1365</v>
      </c>
      <c r="M383" s="1" t="s">
        <v>2666</v>
      </c>
      <c r="N383" s="1" t="s">
        <v>109</v>
      </c>
      <c r="O383" s="1" t="s">
        <v>110</v>
      </c>
      <c r="P383" s="2" t="s">
        <v>2667</v>
      </c>
      <c r="Q383" s="1" t="s">
        <v>56</v>
      </c>
      <c r="R383" s="1"/>
      <c r="S383" s="1" t="s">
        <v>475</v>
      </c>
      <c r="T383" s="1">
        <v>3131703.0</v>
      </c>
      <c r="U383" s="1" t="s">
        <v>2668</v>
      </c>
      <c r="V383" s="1" t="s">
        <v>477</v>
      </c>
      <c r="W383" s="1" t="s">
        <v>78</v>
      </c>
      <c r="X383" s="1"/>
      <c r="Y383" s="1" t="str">
        <f>"02015000387202101"</f>
        <v>02015000387202101</v>
      </c>
      <c r="Z383" s="1" t="s">
        <v>112</v>
      </c>
      <c r="AA383" s="1" t="s">
        <v>2669</v>
      </c>
      <c r="AB383" s="1" t="str">
        <f>"01369679000153"</f>
        <v>01369679000153</v>
      </c>
      <c r="AC383" s="1"/>
      <c r="AD383" s="1"/>
      <c r="AE383" s="1"/>
      <c r="AF383" s="1">
        <v>-43.222528</v>
      </c>
      <c r="AG383" s="1">
        <v>-19.681028</v>
      </c>
      <c r="AH383" s="1" t="s">
        <v>2670</v>
      </c>
      <c r="AI383" s="1">
        <v>643683.0</v>
      </c>
      <c r="AJ383" s="1" t="s">
        <v>1365</v>
      </c>
      <c r="AK383" s="1"/>
      <c r="AL383" s="1" t="s">
        <v>128</v>
      </c>
      <c r="AM383" s="1" t="s">
        <v>65</v>
      </c>
      <c r="AN383" s="1" t="s">
        <v>83</v>
      </c>
      <c r="AO383" s="2" t="s">
        <v>2671</v>
      </c>
      <c r="AP383" s="2" t="s">
        <v>2672</v>
      </c>
      <c r="AQ383" s="1" t="s">
        <v>132</v>
      </c>
      <c r="AR383" s="1" t="s">
        <v>1373</v>
      </c>
      <c r="AS383" s="1"/>
      <c r="AT383" s="2" t="s">
        <v>70</v>
      </c>
    </row>
    <row r="384">
      <c r="A384" s="1">
        <v>2043249.0</v>
      </c>
      <c r="B384" s="1" t="s">
        <v>116</v>
      </c>
      <c r="C384" s="1" t="s">
        <v>117</v>
      </c>
      <c r="D384" s="1" t="s">
        <v>46</v>
      </c>
      <c r="E384" s="1" t="s">
        <v>2673</v>
      </c>
      <c r="F384" s="1"/>
      <c r="G384" s="1" t="s">
        <v>119</v>
      </c>
      <c r="H384" s="1" t="s">
        <v>72</v>
      </c>
      <c r="I384" s="1">
        <v>1149.0</v>
      </c>
      <c r="J384" s="1"/>
      <c r="K384" s="1"/>
      <c r="L384" s="1" t="s">
        <v>1365</v>
      </c>
      <c r="M384" s="1" t="s">
        <v>2674</v>
      </c>
      <c r="N384" s="1" t="s">
        <v>109</v>
      </c>
      <c r="O384" s="1" t="s">
        <v>110</v>
      </c>
      <c r="P384" s="2" t="s">
        <v>2675</v>
      </c>
      <c r="Q384" s="1" t="s">
        <v>56</v>
      </c>
      <c r="R384" s="1"/>
      <c r="S384" s="1" t="s">
        <v>475</v>
      </c>
      <c r="T384" s="1">
        <v>3144805.0</v>
      </c>
      <c r="U384" s="1" t="s">
        <v>2676</v>
      </c>
      <c r="V384" s="1" t="s">
        <v>477</v>
      </c>
      <c r="W384" s="1" t="s">
        <v>78</v>
      </c>
      <c r="X384" s="1"/>
      <c r="Y384" s="1" t="str">
        <f>"02015000385202112"</f>
        <v>02015000385202112</v>
      </c>
      <c r="Z384" s="1" t="s">
        <v>112</v>
      </c>
      <c r="AA384" s="1" t="s">
        <v>2677</v>
      </c>
      <c r="AB384" s="1" t="str">
        <f>"66478157000135"</f>
        <v>66478157000135</v>
      </c>
      <c r="AC384" s="1"/>
      <c r="AD384" s="1"/>
      <c r="AE384" s="1"/>
      <c r="AF384" s="1">
        <v>-43.874583</v>
      </c>
      <c r="AG384" s="1">
        <v>-19.991556</v>
      </c>
      <c r="AH384" s="1" t="s">
        <v>2678</v>
      </c>
      <c r="AI384" s="1">
        <v>643684.0</v>
      </c>
      <c r="AJ384" s="1" t="s">
        <v>1365</v>
      </c>
      <c r="AK384" s="1"/>
      <c r="AL384" s="1" t="s">
        <v>128</v>
      </c>
      <c r="AM384" s="1" t="s">
        <v>65</v>
      </c>
      <c r="AN384" s="1" t="s">
        <v>83</v>
      </c>
      <c r="AO384" s="2" t="s">
        <v>2671</v>
      </c>
      <c r="AP384" s="2" t="s">
        <v>2679</v>
      </c>
      <c r="AQ384" s="1" t="s">
        <v>132</v>
      </c>
      <c r="AR384" s="1" t="s">
        <v>1373</v>
      </c>
      <c r="AS384" s="1"/>
      <c r="AT384" s="2" t="s">
        <v>70</v>
      </c>
    </row>
    <row r="385">
      <c r="A385" s="1">
        <v>2043250.0</v>
      </c>
      <c r="B385" s="1" t="s">
        <v>116</v>
      </c>
      <c r="C385" s="1" t="s">
        <v>117</v>
      </c>
      <c r="D385" s="1" t="s">
        <v>46</v>
      </c>
      <c r="E385" s="1" t="s">
        <v>2680</v>
      </c>
      <c r="F385" s="1"/>
      <c r="G385" s="1" t="s">
        <v>119</v>
      </c>
      <c r="H385" s="1" t="s">
        <v>72</v>
      </c>
      <c r="I385" s="1">
        <v>741.0</v>
      </c>
      <c r="J385" s="1"/>
      <c r="K385" s="1"/>
      <c r="L385" s="1" t="s">
        <v>1365</v>
      </c>
      <c r="M385" s="1" t="s">
        <v>2681</v>
      </c>
      <c r="N385" s="1" t="s">
        <v>109</v>
      </c>
      <c r="O385" s="1" t="s">
        <v>110</v>
      </c>
      <c r="P385" s="2" t="s">
        <v>2675</v>
      </c>
      <c r="Q385" s="1" t="s">
        <v>56</v>
      </c>
      <c r="R385" s="1"/>
      <c r="S385" s="1" t="s">
        <v>475</v>
      </c>
      <c r="T385" s="1">
        <v>3105400.0</v>
      </c>
      <c r="U385" s="1" t="s">
        <v>2682</v>
      </c>
      <c r="V385" s="1" t="s">
        <v>477</v>
      </c>
      <c r="W385" s="1" t="s">
        <v>78</v>
      </c>
      <c r="X385" s="1"/>
      <c r="Y385" s="1" t="str">
        <f>"02015000386202159"</f>
        <v>02015000386202159</v>
      </c>
      <c r="Z385" s="1" t="s">
        <v>112</v>
      </c>
      <c r="AA385" s="1" t="s">
        <v>2683</v>
      </c>
      <c r="AB385" s="1" t="str">
        <f>"11099006000184"</f>
        <v>11099006000184</v>
      </c>
      <c r="AC385" s="1"/>
      <c r="AD385" s="1"/>
      <c r="AE385" s="1"/>
      <c r="AF385" s="1">
        <v>-43.475944</v>
      </c>
      <c r="AG385" s="1">
        <v>-19.939417</v>
      </c>
      <c r="AH385" s="1" t="s">
        <v>2684</v>
      </c>
      <c r="AI385" s="1">
        <v>643682.0</v>
      </c>
      <c r="AJ385" s="1" t="s">
        <v>1365</v>
      </c>
      <c r="AK385" s="1"/>
      <c r="AL385" s="1" t="s">
        <v>128</v>
      </c>
      <c r="AM385" s="1" t="s">
        <v>65</v>
      </c>
      <c r="AN385" s="1" t="s">
        <v>83</v>
      </c>
      <c r="AO385" s="2" t="s">
        <v>2671</v>
      </c>
      <c r="AP385" s="2" t="s">
        <v>2685</v>
      </c>
      <c r="AQ385" s="1" t="s">
        <v>132</v>
      </c>
      <c r="AR385" s="1" t="s">
        <v>1373</v>
      </c>
      <c r="AS385" s="1"/>
      <c r="AT385" s="2" t="s">
        <v>70</v>
      </c>
    </row>
    <row r="386">
      <c r="A386" s="1">
        <v>2043343.0</v>
      </c>
      <c r="B386" s="1" t="s">
        <v>116</v>
      </c>
      <c r="C386" s="1" t="s">
        <v>117</v>
      </c>
      <c r="D386" s="1" t="s">
        <v>46</v>
      </c>
      <c r="E386" s="1" t="s">
        <v>2686</v>
      </c>
      <c r="F386" s="1"/>
      <c r="G386" s="1" t="s">
        <v>119</v>
      </c>
      <c r="H386" s="1" t="s">
        <v>50</v>
      </c>
      <c r="I386" s="1">
        <v>10000.0</v>
      </c>
      <c r="J386" s="1"/>
      <c r="K386" s="1"/>
      <c r="L386" s="1" t="s">
        <v>1178</v>
      </c>
      <c r="M386" s="1" t="s">
        <v>2687</v>
      </c>
      <c r="N386" s="1" t="s">
        <v>109</v>
      </c>
      <c r="O386" s="1" t="s">
        <v>110</v>
      </c>
      <c r="P386" s="2" t="s">
        <v>2688</v>
      </c>
      <c r="Q386" s="1" t="s">
        <v>56</v>
      </c>
      <c r="R386" s="2" t="s">
        <v>2574</v>
      </c>
      <c r="S386" s="1" t="s">
        <v>1173</v>
      </c>
      <c r="T386" s="1">
        <v>2501708.0</v>
      </c>
      <c r="U386" s="1" t="s">
        <v>2689</v>
      </c>
      <c r="V386" s="1" t="s">
        <v>1175</v>
      </c>
      <c r="W386" s="1" t="s">
        <v>291</v>
      </c>
      <c r="X386" s="1"/>
      <c r="Y386" s="1" t="str">
        <f>"02016000295202111"</f>
        <v>02016000295202111</v>
      </c>
      <c r="Z386" s="1" t="s">
        <v>112</v>
      </c>
      <c r="AA386" s="1" t="s">
        <v>2690</v>
      </c>
      <c r="AB386" s="1" t="str">
        <f>"***784464**"</f>
        <v>***784464**</v>
      </c>
      <c r="AC386" s="1"/>
      <c r="AD386" s="1"/>
      <c r="AE386" s="1"/>
      <c r="AF386" s="1">
        <v>-36.289722</v>
      </c>
      <c r="AG386" s="1">
        <v>-7.591333</v>
      </c>
      <c r="AH386" s="1" t="s">
        <v>2691</v>
      </c>
      <c r="AI386" s="1"/>
      <c r="AJ386" s="1" t="s">
        <v>1178</v>
      </c>
      <c r="AK386" s="1"/>
      <c r="AL386" s="1" t="s">
        <v>128</v>
      </c>
      <c r="AM386" s="1" t="s">
        <v>65</v>
      </c>
      <c r="AN386" s="1" t="s">
        <v>296</v>
      </c>
      <c r="AO386" s="2" t="s">
        <v>2407</v>
      </c>
      <c r="AP386" s="2" t="s">
        <v>2692</v>
      </c>
      <c r="AQ386" s="1" t="s">
        <v>132</v>
      </c>
      <c r="AR386" s="1" t="s">
        <v>494</v>
      </c>
      <c r="AS386" s="1"/>
      <c r="AT386" s="2" t="s">
        <v>70</v>
      </c>
    </row>
    <row r="387">
      <c r="A387" s="1"/>
      <c r="B387" s="1" t="s">
        <v>46</v>
      </c>
      <c r="C387" s="1" t="s">
        <v>47</v>
      </c>
      <c r="D387" s="1"/>
      <c r="E387" s="1" t="s">
        <v>2693</v>
      </c>
      <c r="F387" s="1"/>
      <c r="G387" s="1" t="s">
        <v>49</v>
      </c>
      <c r="H387" s="1" t="s">
        <v>72</v>
      </c>
      <c r="I387" s="1">
        <v>14100.0</v>
      </c>
      <c r="J387" s="1"/>
      <c r="K387" s="1"/>
      <c r="L387" s="1"/>
      <c r="M387" s="1" t="s">
        <v>2694</v>
      </c>
      <c r="N387" s="1" t="s">
        <v>109</v>
      </c>
      <c r="O387" s="1" t="s">
        <v>110</v>
      </c>
      <c r="P387" s="2" t="s">
        <v>2695</v>
      </c>
      <c r="Q387" s="1" t="s">
        <v>56</v>
      </c>
      <c r="R387" s="1"/>
      <c r="S387" s="1" t="s">
        <v>1513</v>
      </c>
      <c r="T387" s="1">
        <v>2804805.0</v>
      </c>
      <c r="U387" s="1" t="s">
        <v>2696</v>
      </c>
      <c r="V387" s="1" t="s">
        <v>1515</v>
      </c>
      <c r="W387" s="1" t="s">
        <v>100</v>
      </c>
      <c r="X387" s="1"/>
      <c r="Y387" s="1"/>
      <c r="Z387" s="1" t="s">
        <v>112</v>
      </c>
      <c r="AA387" s="1" t="s">
        <v>2697</v>
      </c>
      <c r="AB387" s="1" t="str">
        <f>"21540589000190"</f>
        <v>21540589000190</v>
      </c>
      <c r="AC387" s="1"/>
      <c r="AD387" s="1" t="s">
        <v>62</v>
      </c>
      <c r="AE387" s="1"/>
      <c r="AF387" s="1">
        <v>-37.065278</v>
      </c>
      <c r="AG387" s="1">
        <v>-10.843611</v>
      </c>
      <c r="AH387" s="1" t="s">
        <v>2698</v>
      </c>
      <c r="AI387" s="1"/>
      <c r="AJ387" s="1" t="s">
        <v>1518</v>
      </c>
      <c r="AK387" s="1"/>
      <c r="AL387" s="1"/>
      <c r="AM387" s="1" t="s">
        <v>65</v>
      </c>
      <c r="AN387" s="1"/>
      <c r="AO387" s="1"/>
      <c r="AP387" s="2" t="s">
        <v>2699</v>
      </c>
      <c r="AQ387" s="1"/>
      <c r="AR387" s="1" t="s">
        <v>2700</v>
      </c>
      <c r="AS387" s="1" t="s">
        <v>2701</v>
      </c>
      <c r="AT387" s="2" t="s">
        <v>70</v>
      </c>
    </row>
    <row r="388">
      <c r="A388" s="1"/>
      <c r="B388" s="1" t="s">
        <v>46</v>
      </c>
      <c r="C388" s="1" t="s">
        <v>47</v>
      </c>
      <c r="D388" s="1"/>
      <c r="E388" s="1" t="s">
        <v>2702</v>
      </c>
      <c r="F388" s="1"/>
      <c r="G388" s="1" t="s">
        <v>49</v>
      </c>
      <c r="H388" s="1" t="s">
        <v>50</v>
      </c>
      <c r="I388" s="1">
        <v>1000.0</v>
      </c>
      <c r="J388" s="1"/>
      <c r="K388" s="1" t="s">
        <v>51</v>
      </c>
      <c r="L388" s="1"/>
      <c r="M388" s="1" t="s">
        <v>2703</v>
      </c>
      <c r="N388" s="1" t="s">
        <v>53</v>
      </c>
      <c r="O388" s="1" t="s">
        <v>333</v>
      </c>
      <c r="P388" s="2" t="s">
        <v>2704</v>
      </c>
      <c r="Q388" s="1" t="s">
        <v>56</v>
      </c>
      <c r="R388" s="1"/>
      <c r="S388" s="1" t="s">
        <v>1513</v>
      </c>
      <c r="T388" s="1">
        <v>2804607.0</v>
      </c>
      <c r="U388" s="1" t="s">
        <v>2705</v>
      </c>
      <c r="V388" s="1" t="s">
        <v>1515</v>
      </c>
      <c r="W388" s="1" t="s">
        <v>291</v>
      </c>
      <c r="X388" s="1"/>
      <c r="Y388" s="1"/>
      <c r="Z388" s="1" t="s">
        <v>223</v>
      </c>
      <c r="AA388" s="1" t="s">
        <v>2706</v>
      </c>
      <c r="AB388" s="1" t="str">
        <f t="shared" ref="AB388:AB389" si="23">"08929844000123"</f>
        <v>08929844000123</v>
      </c>
      <c r="AC388" s="1"/>
      <c r="AD388" s="1" t="s">
        <v>62</v>
      </c>
      <c r="AE388" s="1"/>
      <c r="AF388" s="1">
        <v>-37.198889</v>
      </c>
      <c r="AG388" s="1">
        <v>-10.495</v>
      </c>
      <c r="AH388" s="1" t="s">
        <v>2707</v>
      </c>
      <c r="AI388" s="1"/>
      <c r="AJ388" s="1" t="s">
        <v>1518</v>
      </c>
      <c r="AK388" s="1"/>
      <c r="AL388" s="1"/>
      <c r="AM388" s="1" t="s">
        <v>65</v>
      </c>
      <c r="AN388" s="1"/>
      <c r="AO388" s="1"/>
      <c r="AP388" s="2" t="s">
        <v>2708</v>
      </c>
      <c r="AQ388" s="1"/>
      <c r="AR388" s="1" t="s">
        <v>318</v>
      </c>
      <c r="AS388" s="1"/>
      <c r="AT388" s="2" t="s">
        <v>70</v>
      </c>
    </row>
    <row r="389">
      <c r="A389" s="1"/>
      <c r="B389" s="1" t="s">
        <v>46</v>
      </c>
      <c r="C389" s="1" t="s">
        <v>47</v>
      </c>
      <c r="D389" s="1"/>
      <c r="E389" s="1" t="s">
        <v>2709</v>
      </c>
      <c r="F389" s="1"/>
      <c r="G389" s="1" t="s">
        <v>49</v>
      </c>
      <c r="H389" s="1" t="s">
        <v>50</v>
      </c>
      <c r="I389" s="1">
        <v>1500.0</v>
      </c>
      <c r="J389" s="1"/>
      <c r="K389" s="1" t="s">
        <v>51</v>
      </c>
      <c r="L389" s="1"/>
      <c r="M389" s="1" t="s">
        <v>2710</v>
      </c>
      <c r="N389" s="1" t="s">
        <v>53</v>
      </c>
      <c r="O389" s="1" t="s">
        <v>333</v>
      </c>
      <c r="P389" s="2" t="s">
        <v>2711</v>
      </c>
      <c r="Q389" s="1" t="s">
        <v>56</v>
      </c>
      <c r="R389" s="1"/>
      <c r="S389" s="1" t="s">
        <v>1513</v>
      </c>
      <c r="T389" s="1">
        <v>2804607.0</v>
      </c>
      <c r="U389" s="1" t="s">
        <v>2705</v>
      </c>
      <c r="V389" s="1" t="s">
        <v>1515</v>
      </c>
      <c r="W389" s="1" t="s">
        <v>291</v>
      </c>
      <c r="X389" s="1"/>
      <c r="Y389" s="1"/>
      <c r="Z389" s="1" t="s">
        <v>223</v>
      </c>
      <c r="AA389" s="1" t="s">
        <v>2706</v>
      </c>
      <c r="AB389" s="1" t="str">
        <f t="shared" si="23"/>
        <v>08929844000123</v>
      </c>
      <c r="AC389" s="1"/>
      <c r="AD389" s="1" t="s">
        <v>62</v>
      </c>
      <c r="AE389" s="1"/>
      <c r="AF389" s="1">
        <v>-37.198889</v>
      </c>
      <c r="AG389" s="1">
        <v>-10.495</v>
      </c>
      <c r="AH389" s="1" t="s">
        <v>2712</v>
      </c>
      <c r="AI389" s="1"/>
      <c r="AJ389" s="1" t="s">
        <v>1518</v>
      </c>
      <c r="AK389" s="1"/>
      <c r="AL389" s="1"/>
      <c r="AM389" s="1" t="s">
        <v>65</v>
      </c>
      <c r="AN389" s="1"/>
      <c r="AO389" s="1"/>
      <c r="AP389" s="2" t="s">
        <v>2713</v>
      </c>
      <c r="AQ389" s="1"/>
      <c r="AR389" s="1" t="s">
        <v>106</v>
      </c>
      <c r="AS389" s="1"/>
      <c r="AT389" s="2" t="s">
        <v>70</v>
      </c>
    </row>
    <row r="390">
      <c r="A390" s="1"/>
      <c r="B390" s="1" t="s">
        <v>46</v>
      </c>
      <c r="C390" s="1" t="s">
        <v>47</v>
      </c>
      <c r="D390" s="1"/>
      <c r="E390" s="1" t="s">
        <v>2714</v>
      </c>
      <c r="F390" s="1"/>
      <c r="G390" s="1" t="s">
        <v>49</v>
      </c>
      <c r="H390" s="1" t="s">
        <v>72</v>
      </c>
      <c r="I390" s="1">
        <v>6302.1</v>
      </c>
      <c r="J390" s="1"/>
      <c r="K390" s="1"/>
      <c r="L390" s="1"/>
      <c r="M390" s="1" t="s">
        <v>2715</v>
      </c>
      <c r="N390" s="1" t="s">
        <v>109</v>
      </c>
      <c r="O390" s="1" t="s">
        <v>110</v>
      </c>
      <c r="P390" s="2" t="s">
        <v>2716</v>
      </c>
      <c r="Q390" s="1" t="s">
        <v>56</v>
      </c>
      <c r="R390" s="1"/>
      <c r="S390" s="1" t="s">
        <v>1513</v>
      </c>
      <c r="T390" s="1">
        <v>2802908.0</v>
      </c>
      <c r="U390" s="1" t="s">
        <v>2717</v>
      </c>
      <c r="V390" s="1" t="s">
        <v>1515</v>
      </c>
      <c r="W390" s="1" t="s">
        <v>100</v>
      </c>
      <c r="X390" s="1"/>
      <c r="Y390" s="1"/>
      <c r="Z390" s="1" t="s">
        <v>112</v>
      </c>
      <c r="AA390" s="1" t="s">
        <v>2718</v>
      </c>
      <c r="AB390" s="1" t="str">
        <f>"03224754000113"</f>
        <v>03224754000113</v>
      </c>
      <c r="AC390" s="1"/>
      <c r="AD390" s="1" t="s">
        <v>62</v>
      </c>
      <c r="AE390" s="1"/>
      <c r="AF390" s="1">
        <v>-37.306667</v>
      </c>
      <c r="AG390" s="1">
        <v>-10.537222</v>
      </c>
      <c r="AH390" s="1" t="s">
        <v>2719</v>
      </c>
      <c r="AI390" s="1"/>
      <c r="AJ390" s="1" t="s">
        <v>1518</v>
      </c>
      <c r="AK390" s="1"/>
      <c r="AL390" s="1"/>
      <c r="AM390" s="1" t="s">
        <v>65</v>
      </c>
      <c r="AN390" s="1"/>
      <c r="AO390" s="1"/>
      <c r="AP390" s="2" t="s">
        <v>2720</v>
      </c>
      <c r="AQ390" s="1"/>
      <c r="AR390" s="1" t="s">
        <v>2700</v>
      </c>
      <c r="AS390" s="1" t="s">
        <v>2701</v>
      </c>
      <c r="AT390" s="2" t="s">
        <v>70</v>
      </c>
    </row>
    <row r="391">
      <c r="A391" s="1">
        <v>2043253.0</v>
      </c>
      <c r="B391" s="1" t="s">
        <v>116</v>
      </c>
      <c r="C391" s="1" t="s">
        <v>117</v>
      </c>
      <c r="D391" s="1" t="s">
        <v>46</v>
      </c>
      <c r="E391" s="1" t="s">
        <v>2721</v>
      </c>
      <c r="F391" s="1"/>
      <c r="G391" s="1" t="s">
        <v>119</v>
      </c>
      <c r="H391" s="1" t="s">
        <v>50</v>
      </c>
      <c r="I391" s="1">
        <v>2635000.0</v>
      </c>
      <c r="J391" s="1"/>
      <c r="K391" s="1"/>
      <c r="L391" s="1" t="s">
        <v>1096</v>
      </c>
      <c r="M391" s="1" t="s">
        <v>2722</v>
      </c>
      <c r="N391" s="1" t="s">
        <v>186</v>
      </c>
      <c r="O391" s="1" t="s">
        <v>302</v>
      </c>
      <c r="P391" s="2" t="s">
        <v>2723</v>
      </c>
      <c r="Q391" s="1" t="s">
        <v>56</v>
      </c>
      <c r="R391" s="2" t="s">
        <v>2574</v>
      </c>
      <c r="S391" s="1" t="s">
        <v>241</v>
      </c>
      <c r="T391" s="1">
        <v>3170206.0</v>
      </c>
      <c r="U391" s="1" t="s">
        <v>1099</v>
      </c>
      <c r="V391" s="1" t="s">
        <v>477</v>
      </c>
      <c r="W391" s="1" t="s">
        <v>78</v>
      </c>
      <c r="X391" s="1"/>
      <c r="Y391" s="1" t="str">
        <f>"02553000025202115"</f>
        <v>02553000025202115</v>
      </c>
      <c r="Z391" s="1" t="s">
        <v>306</v>
      </c>
      <c r="AA391" s="1" t="s">
        <v>2724</v>
      </c>
      <c r="AB391" s="1" t="str">
        <f>"26707830000147"</f>
        <v>26707830000147</v>
      </c>
      <c r="AC391" s="1"/>
      <c r="AD391" s="1"/>
      <c r="AE391" s="1"/>
      <c r="AF391" s="1">
        <v>-48.255</v>
      </c>
      <c r="AG391" s="1">
        <v>-18.891667</v>
      </c>
      <c r="AH391" s="1" t="s">
        <v>2725</v>
      </c>
      <c r="AI391" s="1"/>
      <c r="AJ391" s="1" t="s">
        <v>1096</v>
      </c>
      <c r="AK391" s="1"/>
      <c r="AL391" s="1" t="s">
        <v>128</v>
      </c>
      <c r="AM391" s="1" t="s">
        <v>65</v>
      </c>
      <c r="AN391" s="1"/>
      <c r="AO391" s="2" t="s">
        <v>2671</v>
      </c>
      <c r="AP391" s="2" t="s">
        <v>2726</v>
      </c>
      <c r="AQ391" s="1" t="s">
        <v>132</v>
      </c>
      <c r="AR391" s="1" t="s">
        <v>1088</v>
      </c>
      <c r="AS391" s="1" t="s">
        <v>2727</v>
      </c>
      <c r="AT391" s="2" t="s">
        <v>70</v>
      </c>
    </row>
    <row r="392">
      <c r="A392" s="1">
        <v>2043252.0</v>
      </c>
      <c r="B392" s="1" t="s">
        <v>116</v>
      </c>
      <c r="C392" s="1" t="s">
        <v>117</v>
      </c>
      <c r="D392" s="1" t="s">
        <v>46</v>
      </c>
      <c r="E392" s="1" t="s">
        <v>2728</v>
      </c>
      <c r="F392" s="1"/>
      <c r="G392" s="1" t="s">
        <v>119</v>
      </c>
      <c r="H392" s="1" t="s">
        <v>50</v>
      </c>
      <c r="I392" s="1">
        <v>2635000.0</v>
      </c>
      <c r="J392" s="1"/>
      <c r="K392" s="1"/>
      <c r="L392" s="1" t="s">
        <v>1096</v>
      </c>
      <c r="M392" s="1" t="s">
        <v>2729</v>
      </c>
      <c r="N392" s="1" t="s">
        <v>186</v>
      </c>
      <c r="O392" s="1" t="s">
        <v>302</v>
      </c>
      <c r="P392" s="2" t="s">
        <v>2730</v>
      </c>
      <c r="Q392" s="1" t="s">
        <v>56</v>
      </c>
      <c r="R392" s="2" t="s">
        <v>2574</v>
      </c>
      <c r="S392" s="1" t="s">
        <v>608</v>
      </c>
      <c r="T392" s="1">
        <v>3170206.0</v>
      </c>
      <c r="U392" s="1" t="s">
        <v>1099</v>
      </c>
      <c r="V392" s="1" t="s">
        <v>477</v>
      </c>
      <c r="W392" s="1" t="s">
        <v>78</v>
      </c>
      <c r="X392" s="1"/>
      <c r="Y392" s="1" t="str">
        <f>"02553000024202171"</f>
        <v>02553000024202171</v>
      </c>
      <c r="Z392" s="1" t="s">
        <v>306</v>
      </c>
      <c r="AA392" s="1" t="s">
        <v>2731</v>
      </c>
      <c r="AB392" s="1" t="str">
        <f>"26712591000113"</f>
        <v>26712591000113</v>
      </c>
      <c r="AC392" s="1"/>
      <c r="AD392" s="1"/>
      <c r="AE392" s="1"/>
      <c r="AF392" s="1">
        <v>-48.255</v>
      </c>
      <c r="AG392" s="1">
        <v>-18.891667</v>
      </c>
      <c r="AH392" s="1" t="s">
        <v>2732</v>
      </c>
      <c r="AI392" s="1"/>
      <c r="AJ392" s="1" t="s">
        <v>1096</v>
      </c>
      <c r="AK392" s="1"/>
      <c r="AL392" s="1" t="s">
        <v>128</v>
      </c>
      <c r="AM392" s="1" t="s">
        <v>65</v>
      </c>
      <c r="AN392" s="1"/>
      <c r="AO392" s="2" t="s">
        <v>2671</v>
      </c>
      <c r="AP392" s="2" t="s">
        <v>2733</v>
      </c>
      <c r="AQ392" s="1" t="s">
        <v>132</v>
      </c>
      <c r="AR392" s="1" t="s">
        <v>1088</v>
      </c>
      <c r="AS392" s="1" t="s">
        <v>2734</v>
      </c>
      <c r="AT392" s="2" t="s">
        <v>70</v>
      </c>
    </row>
    <row r="393">
      <c r="A393" s="1">
        <v>2043375.0</v>
      </c>
      <c r="B393" s="1" t="s">
        <v>116</v>
      </c>
      <c r="C393" s="1" t="s">
        <v>117</v>
      </c>
      <c r="D393" s="1" t="s">
        <v>46</v>
      </c>
      <c r="E393" s="1" t="s">
        <v>2735</v>
      </c>
      <c r="F393" s="1"/>
      <c r="G393" s="1" t="s">
        <v>119</v>
      </c>
      <c r="H393" s="1" t="s">
        <v>72</v>
      </c>
      <c r="I393" s="1">
        <v>10000.0</v>
      </c>
      <c r="J393" s="1"/>
      <c r="K393" s="1"/>
      <c r="L393" s="1" t="s">
        <v>485</v>
      </c>
      <c r="M393" s="1" t="s">
        <v>2736</v>
      </c>
      <c r="N393" s="1" t="s">
        <v>2737</v>
      </c>
      <c r="O393" s="1" t="s">
        <v>2738</v>
      </c>
      <c r="P393" s="2" t="s">
        <v>2739</v>
      </c>
      <c r="Q393" s="1" t="s">
        <v>56</v>
      </c>
      <c r="R393" s="2" t="s">
        <v>2421</v>
      </c>
      <c r="S393" s="1" t="s">
        <v>220</v>
      </c>
      <c r="T393" s="1">
        <v>1705557.0</v>
      </c>
      <c r="U393" s="1" t="s">
        <v>2740</v>
      </c>
      <c r="V393" s="1" t="s">
        <v>490</v>
      </c>
      <c r="W393" s="1" t="s">
        <v>172</v>
      </c>
      <c r="X393" s="1" t="s">
        <v>2741</v>
      </c>
      <c r="Y393" s="1" t="str">
        <f>"02029000136202160"</f>
        <v>02029000136202160</v>
      </c>
      <c r="Z393" s="1" t="s">
        <v>2742</v>
      </c>
      <c r="AA393" s="1" t="s">
        <v>2743</v>
      </c>
      <c r="AB393" s="1" t="str">
        <f>"***617881**"</f>
        <v>***617881**</v>
      </c>
      <c r="AC393" s="1"/>
      <c r="AD393" s="1"/>
      <c r="AE393" s="1"/>
      <c r="AF393" s="1">
        <v>-46.551389</v>
      </c>
      <c r="AG393" s="1">
        <v>-12.812222</v>
      </c>
      <c r="AH393" s="1" t="s">
        <v>2744</v>
      </c>
      <c r="AI393" s="1"/>
      <c r="AJ393" s="1" t="s">
        <v>485</v>
      </c>
      <c r="AK393" s="1"/>
      <c r="AL393" s="1" t="s">
        <v>128</v>
      </c>
      <c r="AM393" s="1" t="s">
        <v>65</v>
      </c>
      <c r="AN393" s="1" t="s">
        <v>274</v>
      </c>
      <c r="AO393" s="2" t="s">
        <v>2275</v>
      </c>
      <c r="AP393" s="2" t="s">
        <v>2745</v>
      </c>
      <c r="AQ393" s="1" t="s">
        <v>132</v>
      </c>
      <c r="AR393" s="1" t="s">
        <v>2746</v>
      </c>
      <c r="AS393" s="1" t="s">
        <v>2747</v>
      </c>
      <c r="AT393" s="2" t="s">
        <v>70</v>
      </c>
    </row>
    <row r="394">
      <c r="A394" s="1">
        <v>2043376.0</v>
      </c>
      <c r="B394" s="1" t="s">
        <v>116</v>
      </c>
      <c r="C394" s="1" t="s">
        <v>117</v>
      </c>
      <c r="D394" s="1" t="s">
        <v>46</v>
      </c>
      <c r="E394" s="1" t="s">
        <v>2748</v>
      </c>
      <c r="F394" s="1"/>
      <c r="G394" s="1" t="s">
        <v>119</v>
      </c>
      <c r="H394" s="1" t="s">
        <v>72</v>
      </c>
      <c r="I394" s="1">
        <v>10000.0</v>
      </c>
      <c r="J394" s="1"/>
      <c r="K394" s="1"/>
      <c r="L394" s="1" t="s">
        <v>485</v>
      </c>
      <c r="M394" s="1" t="s">
        <v>2736</v>
      </c>
      <c r="N394" s="1" t="s">
        <v>2737</v>
      </c>
      <c r="O394" s="1" t="s">
        <v>2738</v>
      </c>
      <c r="P394" s="2" t="s">
        <v>2739</v>
      </c>
      <c r="Q394" s="1" t="s">
        <v>56</v>
      </c>
      <c r="R394" s="2" t="s">
        <v>2421</v>
      </c>
      <c r="S394" s="1" t="s">
        <v>220</v>
      </c>
      <c r="T394" s="1">
        <v>1705557.0</v>
      </c>
      <c r="U394" s="1" t="s">
        <v>2740</v>
      </c>
      <c r="V394" s="1" t="s">
        <v>490</v>
      </c>
      <c r="W394" s="1" t="s">
        <v>172</v>
      </c>
      <c r="X394" s="1" t="s">
        <v>2741</v>
      </c>
      <c r="Y394" s="1" t="str">
        <f>"02029000137202112"</f>
        <v>02029000137202112</v>
      </c>
      <c r="Z394" s="1" t="s">
        <v>2742</v>
      </c>
      <c r="AA394" s="1" t="s">
        <v>2749</v>
      </c>
      <c r="AB394" s="1" t="str">
        <f>"***296531**"</f>
        <v>***296531**</v>
      </c>
      <c r="AC394" s="1"/>
      <c r="AD394" s="1"/>
      <c r="AE394" s="1"/>
      <c r="AF394" s="1">
        <v>-46.553056</v>
      </c>
      <c r="AG394" s="1">
        <v>-12.8125</v>
      </c>
      <c r="AH394" s="1" t="s">
        <v>2750</v>
      </c>
      <c r="AI394" s="1"/>
      <c r="AJ394" s="1" t="s">
        <v>485</v>
      </c>
      <c r="AK394" s="1"/>
      <c r="AL394" s="1" t="s">
        <v>128</v>
      </c>
      <c r="AM394" s="1" t="s">
        <v>65</v>
      </c>
      <c r="AN394" s="1" t="s">
        <v>274</v>
      </c>
      <c r="AO394" s="2" t="s">
        <v>2275</v>
      </c>
      <c r="AP394" s="2" t="s">
        <v>2751</v>
      </c>
      <c r="AQ394" s="1" t="s">
        <v>132</v>
      </c>
      <c r="AR394" s="1" t="s">
        <v>2746</v>
      </c>
      <c r="AS394" s="1" t="s">
        <v>2752</v>
      </c>
      <c r="AT394" s="2" t="s">
        <v>70</v>
      </c>
    </row>
    <row r="395">
      <c r="A395" s="1">
        <v>2043705.0</v>
      </c>
      <c r="B395" s="1" t="s">
        <v>116</v>
      </c>
      <c r="C395" s="1" t="s">
        <v>117</v>
      </c>
      <c r="D395" s="1" t="s">
        <v>46</v>
      </c>
      <c r="E395" s="1" t="s">
        <v>2753</v>
      </c>
      <c r="F395" s="1"/>
      <c r="G395" s="1" t="s">
        <v>119</v>
      </c>
      <c r="H395" s="1" t="s">
        <v>50</v>
      </c>
      <c r="I395" s="1">
        <v>10500.0</v>
      </c>
      <c r="J395" s="1"/>
      <c r="K395" s="1"/>
      <c r="L395" s="1" t="s">
        <v>405</v>
      </c>
      <c r="M395" s="1" t="s">
        <v>2754</v>
      </c>
      <c r="N395" s="1" t="s">
        <v>53</v>
      </c>
      <c r="O395" s="1" t="s">
        <v>54</v>
      </c>
      <c r="P395" s="2" t="s">
        <v>2755</v>
      </c>
      <c r="Q395" s="1" t="s">
        <v>56</v>
      </c>
      <c r="R395" s="2" t="s">
        <v>2756</v>
      </c>
      <c r="S395" s="1" t="s">
        <v>400</v>
      </c>
      <c r="T395" s="1">
        <v>4322400.0</v>
      </c>
      <c r="U395" s="1" t="s">
        <v>2757</v>
      </c>
      <c r="V395" s="1" t="s">
        <v>402</v>
      </c>
      <c r="W395" s="1" t="s">
        <v>314</v>
      </c>
      <c r="X395" s="1"/>
      <c r="Y395" s="1" t="str">
        <f>"02023000403202159"</f>
        <v>02023000403202159</v>
      </c>
      <c r="Z395" s="1" t="s">
        <v>223</v>
      </c>
      <c r="AA395" s="1" t="s">
        <v>2758</v>
      </c>
      <c r="AB395" s="1" t="str">
        <f>"06009235000120"</f>
        <v>06009235000120</v>
      </c>
      <c r="AC395" s="1"/>
      <c r="AD395" s="1"/>
      <c r="AE395" s="1"/>
      <c r="AF395" s="1">
        <v>-57.05195</v>
      </c>
      <c r="AG395" s="1">
        <v>-29.772333</v>
      </c>
      <c r="AH395" s="1" t="s">
        <v>2759</v>
      </c>
      <c r="AI395" s="1"/>
      <c r="AJ395" s="1" t="s">
        <v>405</v>
      </c>
      <c r="AK395" s="1"/>
      <c r="AL395" s="1" t="s">
        <v>128</v>
      </c>
      <c r="AM395" s="1" t="s">
        <v>65</v>
      </c>
      <c r="AN395" s="1" t="s">
        <v>274</v>
      </c>
      <c r="AO395" s="2" t="s">
        <v>1068</v>
      </c>
      <c r="AP395" s="2" t="s">
        <v>2760</v>
      </c>
      <c r="AQ395" s="1" t="s">
        <v>132</v>
      </c>
      <c r="AR395" s="1" t="s">
        <v>2761</v>
      </c>
      <c r="AS395" s="1"/>
      <c r="AT395" s="2" t="s">
        <v>70</v>
      </c>
    </row>
    <row r="396">
      <c r="A396" s="1">
        <v>2043344.0</v>
      </c>
      <c r="B396" s="1" t="s">
        <v>116</v>
      </c>
      <c r="C396" s="1" t="s">
        <v>117</v>
      </c>
      <c r="D396" s="1" t="s">
        <v>46</v>
      </c>
      <c r="E396" s="1" t="s">
        <v>2762</v>
      </c>
      <c r="F396" s="1"/>
      <c r="G396" s="1" t="s">
        <v>119</v>
      </c>
      <c r="H396" s="1" t="s">
        <v>50</v>
      </c>
      <c r="I396" s="1">
        <v>2500.0</v>
      </c>
      <c r="J396" s="1"/>
      <c r="K396" s="1"/>
      <c r="L396" s="1" t="s">
        <v>1178</v>
      </c>
      <c r="M396" s="1" t="s">
        <v>2763</v>
      </c>
      <c r="N396" s="1" t="s">
        <v>53</v>
      </c>
      <c r="O396" s="1" t="s">
        <v>382</v>
      </c>
      <c r="P396" s="2" t="s">
        <v>2764</v>
      </c>
      <c r="Q396" s="1" t="s">
        <v>56</v>
      </c>
      <c r="R396" s="1"/>
      <c r="S396" s="1" t="s">
        <v>765</v>
      </c>
      <c r="T396" s="1">
        <v>2614887.0</v>
      </c>
      <c r="U396" s="1" t="s">
        <v>2765</v>
      </c>
      <c r="V396" s="1" t="s">
        <v>507</v>
      </c>
      <c r="W396" s="1" t="s">
        <v>60</v>
      </c>
      <c r="X396" s="1"/>
      <c r="Y396" s="1" t="str">
        <f>"02016000296202158"</f>
        <v>02016000296202158</v>
      </c>
      <c r="Z396" s="1" t="s">
        <v>384</v>
      </c>
      <c r="AA396" s="1" t="s">
        <v>2766</v>
      </c>
      <c r="AB396" s="1" t="str">
        <f>"25383494000161"</f>
        <v>25383494000161</v>
      </c>
      <c r="AC396" s="1"/>
      <c r="AD396" s="1"/>
      <c r="AE396" s="1"/>
      <c r="AF396" s="1">
        <v>-34.853611</v>
      </c>
      <c r="AG396" s="1">
        <v>-7.151667</v>
      </c>
      <c r="AH396" s="1" t="s">
        <v>2767</v>
      </c>
      <c r="AI396" s="1"/>
      <c r="AJ396" s="1" t="s">
        <v>1178</v>
      </c>
      <c r="AK396" s="1"/>
      <c r="AL396" s="1" t="s">
        <v>128</v>
      </c>
      <c r="AM396" s="1" t="s">
        <v>65</v>
      </c>
      <c r="AN396" s="1" t="s">
        <v>296</v>
      </c>
      <c r="AO396" s="2" t="s">
        <v>2407</v>
      </c>
      <c r="AP396" s="2" t="s">
        <v>2768</v>
      </c>
      <c r="AQ396" s="1" t="s">
        <v>132</v>
      </c>
      <c r="AR396" s="1" t="s">
        <v>2769</v>
      </c>
      <c r="AS396" s="1" t="s">
        <v>2770</v>
      </c>
      <c r="AT396" s="2" t="s">
        <v>70</v>
      </c>
    </row>
    <row r="397">
      <c r="A397" s="1"/>
      <c r="B397" s="1" t="s">
        <v>46</v>
      </c>
      <c r="C397" s="1" t="s">
        <v>47</v>
      </c>
      <c r="D397" s="1"/>
      <c r="E397" s="1" t="s">
        <v>2771</v>
      </c>
      <c r="F397" s="1"/>
      <c r="G397" s="1" t="s">
        <v>49</v>
      </c>
      <c r="H397" s="1" t="s">
        <v>50</v>
      </c>
      <c r="I397" s="1">
        <v>35300.0</v>
      </c>
      <c r="J397" s="1"/>
      <c r="K397" s="1" t="s">
        <v>92</v>
      </c>
      <c r="L397" s="1"/>
      <c r="M397" s="1" t="s">
        <v>2772</v>
      </c>
      <c r="N397" s="1" t="s">
        <v>74</v>
      </c>
      <c r="O397" s="1" t="s">
        <v>75</v>
      </c>
      <c r="P397" s="2" t="s">
        <v>2773</v>
      </c>
      <c r="Q397" s="1" t="s">
        <v>77</v>
      </c>
      <c r="R397" s="1"/>
      <c r="S397" s="1" t="s">
        <v>400</v>
      </c>
      <c r="T397" s="1">
        <v>4306767.0</v>
      </c>
      <c r="U397" s="1" t="s">
        <v>1947</v>
      </c>
      <c r="V397" s="1" t="s">
        <v>402</v>
      </c>
      <c r="W397" s="1" t="s">
        <v>78</v>
      </c>
      <c r="X397" s="1"/>
      <c r="Y397" s="1"/>
      <c r="Z397" s="1" t="s">
        <v>79</v>
      </c>
      <c r="AA397" s="1" t="s">
        <v>2774</v>
      </c>
      <c r="AB397" s="1" t="str">
        <f>"***826259**"</f>
        <v>***826259**</v>
      </c>
      <c r="AC397" s="1"/>
      <c r="AD397" s="1" t="s">
        <v>81</v>
      </c>
      <c r="AE397" s="1"/>
      <c r="AF397" s="1">
        <v>-51.327778</v>
      </c>
      <c r="AG397" s="1">
        <v>-30.036111</v>
      </c>
      <c r="AH397" s="1" t="s">
        <v>2775</v>
      </c>
      <c r="AI397" s="1"/>
      <c r="AJ397" s="1" t="s">
        <v>405</v>
      </c>
      <c r="AK397" s="1"/>
      <c r="AL397" s="1"/>
      <c r="AM397" s="1" t="s">
        <v>65</v>
      </c>
      <c r="AN397" s="1" t="s">
        <v>159</v>
      </c>
      <c r="AO397" s="1"/>
      <c r="AP397" s="2" t="s">
        <v>2776</v>
      </c>
      <c r="AQ397" s="1"/>
      <c r="AR397" s="1" t="s">
        <v>502</v>
      </c>
      <c r="AS397" s="1" t="s">
        <v>2777</v>
      </c>
      <c r="AT397" s="2" t="s">
        <v>70</v>
      </c>
    </row>
    <row r="398">
      <c r="A398" s="1"/>
      <c r="B398" s="1" t="s">
        <v>46</v>
      </c>
      <c r="C398" s="1" t="s">
        <v>47</v>
      </c>
      <c r="D398" s="1"/>
      <c r="E398" s="1" t="s">
        <v>2778</v>
      </c>
      <c r="F398" s="1"/>
      <c r="G398" s="1" t="s">
        <v>49</v>
      </c>
      <c r="H398" s="1" t="s">
        <v>50</v>
      </c>
      <c r="I398" s="1">
        <v>53500.0</v>
      </c>
      <c r="J398" s="1"/>
      <c r="K398" s="1" t="s">
        <v>92</v>
      </c>
      <c r="L398" s="1"/>
      <c r="M398" s="1" t="s">
        <v>2779</v>
      </c>
      <c r="N398" s="1" t="s">
        <v>74</v>
      </c>
      <c r="O398" s="1" t="s">
        <v>75</v>
      </c>
      <c r="P398" s="2" t="s">
        <v>2780</v>
      </c>
      <c r="Q398" s="1" t="s">
        <v>77</v>
      </c>
      <c r="R398" s="1"/>
      <c r="S398" s="1" t="s">
        <v>400</v>
      </c>
      <c r="T398" s="1">
        <v>4306767.0</v>
      </c>
      <c r="U398" s="1" t="s">
        <v>1947</v>
      </c>
      <c r="V398" s="1" t="s">
        <v>402</v>
      </c>
      <c r="W398" s="1" t="s">
        <v>78</v>
      </c>
      <c r="X398" s="1"/>
      <c r="Y398" s="1"/>
      <c r="Z398" s="1" t="s">
        <v>79</v>
      </c>
      <c r="AA398" s="1" t="s">
        <v>2781</v>
      </c>
      <c r="AB398" s="1" t="str">
        <f>"***059349**"</f>
        <v>***059349**</v>
      </c>
      <c r="AC398" s="1"/>
      <c r="AD398" s="1" t="s">
        <v>81</v>
      </c>
      <c r="AE398" s="1"/>
      <c r="AF398" s="1">
        <v>-51.3275</v>
      </c>
      <c r="AG398" s="1">
        <v>-30.036389</v>
      </c>
      <c r="AH398" s="1" t="s">
        <v>2782</v>
      </c>
      <c r="AI398" s="1"/>
      <c r="AJ398" s="1" t="s">
        <v>405</v>
      </c>
      <c r="AK398" s="1"/>
      <c r="AL398" s="1"/>
      <c r="AM398" s="1" t="s">
        <v>65</v>
      </c>
      <c r="AN398" s="1" t="s">
        <v>159</v>
      </c>
      <c r="AO398" s="1"/>
      <c r="AP398" s="2" t="s">
        <v>2783</v>
      </c>
      <c r="AQ398" s="1"/>
      <c r="AR398" s="1" t="s">
        <v>502</v>
      </c>
      <c r="AS398" s="1" t="s">
        <v>408</v>
      </c>
      <c r="AT398" s="2" t="s">
        <v>70</v>
      </c>
    </row>
    <row r="399">
      <c r="A399" s="1">
        <v>2043239.0</v>
      </c>
      <c r="B399" s="1" t="s">
        <v>116</v>
      </c>
      <c r="C399" s="1" t="s">
        <v>117</v>
      </c>
      <c r="D399" s="1" t="s">
        <v>46</v>
      </c>
      <c r="E399" s="1" t="s">
        <v>2784</v>
      </c>
      <c r="F399" s="1"/>
      <c r="G399" s="1" t="s">
        <v>119</v>
      </c>
      <c r="H399" s="1" t="s">
        <v>50</v>
      </c>
      <c r="I399" s="1">
        <v>4500.0</v>
      </c>
      <c r="J399" s="1"/>
      <c r="K399" s="1"/>
      <c r="L399" s="1" t="s">
        <v>226</v>
      </c>
      <c r="M399" s="1" t="s">
        <v>2785</v>
      </c>
      <c r="N399" s="1" t="s">
        <v>285</v>
      </c>
      <c r="O399" s="1" t="s">
        <v>286</v>
      </c>
      <c r="P399" s="2" t="s">
        <v>2786</v>
      </c>
      <c r="Q399" s="1" t="s">
        <v>56</v>
      </c>
      <c r="R399" s="1"/>
      <c r="S399" s="1" t="s">
        <v>784</v>
      </c>
      <c r="T399" s="1">
        <v>4205407.0</v>
      </c>
      <c r="U399" s="1" t="s">
        <v>2497</v>
      </c>
      <c r="V399" s="1" t="s">
        <v>222</v>
      </c>
      <c r="W399" s="1" t="s">
        <v>78</v>
      </c>
      <c r="X399" s="1"/>
      <c r="Y399" s="1"/>
      <c r="Z399" s="1" t="s">
        <v>292</v>
      </c>
      <c r="AA399" s="1" t="s">
        <v>2787</v>
      </c>
      <c r="AB399" s="1" t="str">
        <f t="shared" ref="AB399:AB402" si="24">"83951236000211"</f>
        <v>83951236000211</v>
      </c>
      <c r="AC399" s="1"/>
      <c r="AD399" s="1"/>
      <c r="AE399" s="1"/>
      <c r="AF399" s="1">
        <v>-48.556667</v>
      </c>
      <c r="AG399" s="1">
        <v>-27.594167</v>
      </c>
      <c r="AH399" s="1" t="s">
        <v>2588</v>
      </c>
      <c r="AI399" s="1"/>
      <c r="AJ399" s="1" t="s">
        <v>226</v>
      </c>
      <c r="AK399" s="1"/>
      <c r="AL399" s="1" t="s">
        <v>128</v>
      </c>
      <c r="AM399" s="1" t="s">
        <v>65</v>
      </c>
      <c r="AN399" s="1" t="s">
        <v>1419</v>
      </c>
      <c r="AO399" s="2" t="s">
        <v>2788</v>
      </c>
      <c r="AP399" s="2" t="s">
        <v>2789</v>
      </c>
      <c r="AQ399" s="1" t="s">
        <v>132</v>
      </c>
      <c r="AR399" s="1" t="s">
        <v>247</v>
      </c>
      <c r="AS399" s="1" t="s">
        <v>2790</v>
      </c>
      <c r="AT399" s="2" t="s">
        <v>70</v>
      </c>
    </row>
    <row r="400">
      <c r="A400" s="1">
        <v>2043240.0</v>
      </c>
      <c r="B400" s="1" t="s">
        <v>116</v>
      </c>
      <c r="C400" s="1" t="s">
        <v>117</v>
      </c>
      <c r="D400" s="1" t="s">
        <v>46</v>
      </c>
      <c r="E400" s="1" t="s">
        <v>2791</v>
      </c>
      <c r="F400" s="1"/>
      <c r="G400" s="1" t="s">
        <v>119</v>
      </c>
      <c r="H400" s="1" t="s">
        <v>50</v>
      </c>
      <c r="I400" s="1">
        <v>4500.0</v>
      </c>
      <c r="J400" s="1"/>
      <c r="K400" s="1"/>
      <c r="L400" s="1" t="s">
        <v>226</v>
      </c>
      <c r="M400" s="1" t="s">
        <v>2792</v>
      </c>
      <c r="N400" s="1" t="s">
        <v>285</v>
      </c>
      <c r="O400" s="1" t="s">
        <v>286</v>
      </c>
      <c r="P400" s="2" t="s">
        <v>2786</v>
      </c>
      <c r="Q400" s="1" t="s">
        <v>56</v>
      </c>
      <c r="R400" s="1"/>
      <c r="S400" s="1" t="s">
        <v>784</v>
      </c>
      <c r="T400" s="1">
        <v>4205407.0</v>
      </c>
      <c r="U400" s="1" t="s">
        <v>2497</v>
      </c>
      <c r="V400" s="1" t="s">
        <v>222</v>
      </c>
      <c r="W400" s="1" t="s">
        <v>78</v>
      </c>
      <c r="X400" s="1"/>
      <c r="Y400" s="1"/>
      <c r="Z400" s="1" t="s">
        <v>292</v>
      </c>
      <c r="AA400" s="1" t="s">
        <v>2787</v>
      </c>
      <c r="AB400" s="1" t="str">
        <f t="shared" si="24"/>
        <v>83951236000211</v>
      </c>
      <c r="AC400" s="1"/>
      <c r="AD400" s="1"/>
      <c r="AE400" s="1"/>
      <c r="AF400" s="1">
        <v>-48.556667</v>
      </c>
      <c r="AG400" s="1">
        <v>-27.594167</v>
      </c>
      <c r="AH400" s="1" t="s">
        <v>2588</v>
      </c>
      <c r="AI400" s="1"/>
      <c r="AJ400" s="1" t="s">
        <v>226</v>
      </c>
      <c r="AK400" s="1"/>
      <c r="AL400" s="1" t="s">
        <v>128</v>
      </c>
      <c r="AM400" s="1" t="s">
        <v>65</v>
      </c>
      <c r="AN400" s="1" t="s">
        <v>1419</v>
      </c>
      <c r="AO400" s="2" t="s">
        <v>2788</v>
      </c>
      <c r="AP400" s="2" t="s">
        <v>2793</v>
      </c>
      <c r="AQ400" s="1" t="s">
        <v>132</v>
      </c>
      <c r="AR400" s="1" t="s">
        <v>247</v>
      </c>
      <c r="AS400" s="1" t="s">
        <v>2790</v>
      </c>
      <c r="AT400" s="2" t="s">
        <v>70</v>
      </c>
    </row>
    <row r="401">
      <c r="A401" s="1">
        <v>2043237.0</v>
      </c>
      <c r="B401" s="1" t="s">
        <v>116</v>
      </c>
      <c r="C401" s="1" t="s">
        <v>117</v>
      </c>
      <c r="D401" s="1" t="s">
        <v>46</v>
      </c>
      <c r="E401" s="1" t="s">
        <v>2794</v>
      </c>
      <c r="F401" s="1"/>
      <c r="G401" s="1" t="s">
        <v>119</v>
      </c>
      <c r="H401" s="1" t="s">
        <v>50</v>
      </c>
      <c r="I401" s="1">
        <v>4500.0</v>
      </c>
      <c r="J401" s="1"/>
      <c r="K401" s="1"/>
      <c r="L401" s="1" t="s">
        <v>226</v>
      </c>
      <c r="M401" s="1" t="s">
        <v>2795</v>
      </c>
      <c r="N401" s="1" t="s">
        <v>285</v>
      </c>
      <c r="O401" s="1" t="s">
        <v>286</v>
      </c>
      <c r="P401" s="2" t="s">
        <v>2796</v>
      </c>
      <c r="Q401" s="1" t="s">
        <v>56</v>
      </c>
      <c r="R401" s="1"/>
      <c r="S401" s="1" t="s">
        <v>784</v>
      </c>
      <c r="T401" s="1">
        <v>4205407.0</v>
      </c>
      <c r="U401" s="1" t="s">
        <v>2497</v>
      </c>
      <c r="V401" s="1" t="s">
        <v>222</v>
      </c>
      <c r="W401" s="1" t="s">
        <v>78</v>
      </c>
      <c r="X401" s="1"/>
      <c r="Y401" s="1"/>
      <c r="Z401" s="1" t="s">
        <v>292</v>
      </c>
      <c r="AA401" s="1" t="s">
        <v>2787</v>
      </c>
      <c r="AB401" s="1" t="str">
        <f t="shared" si="24"/>
        <v>83951236000211</v>
      </c>
      <c r="AC401" s="1"/>
      <c r="AD401" s="1"/>
      <c r="AE401" s="1"/>
      <c r="AF401" s="1">
        <v>-48.556667</v>
      </c>
      <c r="AG401" s="1">
        <v>-27.594167</v>
      </c>
      <c r="AH401" s="1" t="s">
        <v>2588</v>
      </c>
      <c r="AI401" s="1"/>
      <c r="AJ401" s="1" t="s">
        <v>226</v>
      </c>
      <c r="AK401" s="1"/>
      <c r="AL401" s="1" t="s">
        <v>128</v>
      </c>
      <c r="AM401" s="1" t="s">
        <v>65</v>
      </c>
      <c r="AN401" s="1" t="s">
        <v>1419</v>
      </c>
      <c r="AO401" s="2" t="s">
        <v>2788</v>
      </c>
      <c r="AP401" s="2" t="s">
        <v>2797</v>
      </c>
      <c r="AQ401" s="1" t="s">
        <v>132</v>
      </c>
      <c r="AR401" s="1" t="s">
        <v>247</v>
      </c>
      <c r="AS401" s="1" t="s">
        <v>2790</v>
      </c>
      <c r="AT401" s="2" t="s">
        <v>70</v>
      </c>
    </row>
    <row r="402">
      <c r="A402" s="1">
        <v>2043238.0</v>
      </c>
      <c r="B402" s="1" t="s">
        <v>116</v>
      </c>
      <c r="C402" s="1" t="s">
        <v>117</v>
      </c>
      <c r="D402" s="1" t="s">
        <v>46</v>
      </c>
      <c r="E402" s="1" t="s">
        <v>2798</v>
      </c>
      <c r="F402" s="1"/>
      <c r="G402" s="1" t="s">
        <v>119</v>
      </c>
      <c r="H402" s="1" t="s">
        <v>50</v>
      </c>
      <c r="I402" s="1">
        <v>4500.0</v>
      </c>
      <c r="J402" s="1"/>
      <c r="K402" s="1"/>
      <c r="L402" s="1" t="s">
        <v>226</v>
      </c>
      <c r="M402" s="1" t="s">
        <v>2799</v>
      </c>
      <c r="N402" s="1" t="s">
        <v>285</v>
      </c>
      <c r="O402" s="1" t="s">
        <v>286</v>
      </c>
      <c r="P402" s="2" t="s">
        <v>2796</v>
      </c>
      <c r="Q402" s="1" t="s">
        <v>56</v>
      </c>
      <c r="R402" s="1"/>
      <c r="S402" s="1" t="s">
        <v>784</v>
      </c>
      <c r="T402" s="1">
        <v>4205407.0</v>
      </c>
      <c r="U402" s="1" t="s">
        <v>2497</v>
      </c>
      <c r="V402" s="1" t="s">
        <v>222</v>
      </c>
      <c r="W402" s="1" t="s">
        <v>78</v>
      </c>
      <c r="X402" s="1"/>
      <c r="Y402" s="1"/>
      <c r="Z402" s="1" t="s">
        <v>292</v>
      </c>
      <c r="AA402" s="1" t="s">
        <v>2787</v>
      </c>
      <c r="AB402" s="1" t="str">
        <f t="shared" si="24"/>
        <v>83951236000211</v>
      </c>
      <c r="AC402" s="1"/>
      <c r="AD402" s="1"/>
      <c r="AE402" s="1"/>
      <c r="AF402" s="1">
        <v>-48.556667</v>
      </c>
      <c r="AG402" s="1">
        <v>-27.594167</v>
      </c>
      <c r="AH402" s="1" t="s">
        <v>2588</v>
      </c>
      <c r="AI402" s="1"/>
      <c r="AJ402" s="1" t="s">
        <v>226</v>
      </c>
      <c r="AK402" s="1"/>
      <c r="AL402" s="1" t="s">
        <v>128</v>
      </c>
      <c r="AM402" s="1" t="s">
        <v>65</v>
      </c>
      <c r="AN402" s="1" t="s">
        <v>1419</v>
      </c>
      <c r="AO402" s="2" t="s">
        <v>2788</v>
      </c>
      <c r="AP402" s="2" t="s">
        <v>2800</v>
      </c>
      <c r="AQ402" s="1" t="s">
        <v>132</v>
      </c>
      <c r="AR402" s="1" t="s">
        <v>247</v>
      </c>
      <c r="AS402" s="1" t="s">
        <v>2790</v>
      </c>
      <c r="AT402" s="2" t="s">
        <v>70</v>
      </c>
    </row>
    <row r="403">
      <c r="A403" s="1">
        <v>2043696.0</v>
      </c>
      <c r="B403" s="1" t="s">
        <v>116</v>
      </c>
      <c r="C403" s="1" t="s">
        <v>117</v>
      </c>
      <c r="D403" s="1" t="s">
        <v>46</v>
      </c>
      <c r="E403" s="1" t="s">
        <v>2801</v>
      </c>
      <c r="F403" s="1"/>
      <c r="G403" s="1" t="s">
        <v>119</v>
      </c>
      <c r="H403" s="1" t="s">
        <v>72</v>
      </c>
      <c r="I403" s="1">
        <v>56543.1</v>
      </c>
      <c r="J403" s="1"/>
      <c r="K403" s="1"/>
      <c r="L403" s="1" t="s">
        <v>120</v>
      </c>
      <c r="M403" s="1" t="s">
        <v>2802</v>
      </c>
      <c r="N403" s="1" t="s">
        <v>109</v>
      </c>
      <c r="O403" s="1" t="s">
        <v>110</v>
      </c>
      <c r="P403" s="2" t="s">
        <v>2796</v>
      </c>
      <c r="Q403" s="1" t="s">
        <v>77</v>
      </c>
      <c r="R403" s="2" t="s">
        <v>2803</v>
      </c>
      <c r="S403" s="1" t="s">
        <v>220</v>
      </c>
      <c r="T403" s="1">
        <v>1500859.0</v>
      </c>
      <c r="U403" s="1" t="s">
        <v>1723</v>
      </c>
      <c r="V403" s="1" t="s">
        <v>917</v>
      </c>
      <c r="W403" s="1" t="s">
        <v>100</v>
      </c>
      <c r="X403" s="1"/>
      <c r="Y403" s="1" t="str">
        <f>"02001003673202170"</f>
        <v>02001003673202170</v>
      </c>
      <c r="Z403" s="1" t="s">
        <v>112</v>
      </c>
      <c r="AA403" s="1" t="s">
        <v>2804</v>
      </c>
      <c r="AB403" s="1" t="str">
        <f>"36936930000107"</f>
        <v>36936930000107</v>
      </c>
      <c r="AC403" s="1"/>
      <c r="AD403" s="1"/>
      <c r="AE403" s="1"/>
      <c r="AF403" s="1">
        <v>-51.204167</v>
      </c>
      <c r="AG403" s="1">
        <v>-3.465278</v>
      </c>
      <c r="AH403" s="1" t="s">
        <v>2805</v>
      </c>
      <c r="AI403" s="1"/>
      <c r="AJ403" s="1" t="s">
        <v>120</v>
      </c>
      <c r="AK403" s="1"/>
      <c r="AL403" s="1" t="s">
        <v>128</v>
      </c>
      <c r="AM403" s="1" t="s">
        <v>65</v>
      </c>
      <c r="AN403" s="1" t="s">
        <v>1726</v>
      </c>
      <c r="AO403" s="2" t="s">
        <v>1068</v>
      </c>
      <c r="AP403" s="2" t="s">
        <v>2806</v>
      </c>
      <c r="AQ403" s="1" t="s">
        <v>132</v>
      </c>
      <c r="AR403" s="1" t="s">
        <v>2807</v>
      </c>
      <c r="AS403" s="1"/>
      <c r="AT403" s="2" t="s">
        <v>70</v>
      </c>
    </row>
    <row r="404">
      <c r="A404" s="1"/>
      <c r="B404" s="1" t="s">
        <v>46</v>
      </c>
      <c r="C404" s="1" t="s">
        <v>47</v>
      </c>
      <c r="D404" s="1"/>
      <c r="E404" s="1" t="s">
        <v>2808</v>
      </c>
      <c r="F404" s="1"/>
      <c r="G404" s="1" t="s">
        <v>49</v>
      </c>
      <c r="H404" s="1" t="s">
        <v>50</v>
      </c>
      <c r="I404" s="1">
        <v>51500.0</v>
      </c>
      <c r="J404" s="1"/>
      <c r="K404" s="1" t="s">
        <v>92</v>
      </c>
      <c r="L404" s="1"/>
      <c r="M404" s="1" t="s">
        <v>2809</v>
      </c>
      <c r="N404" s="1" t="s">
        <v>53</v>
      </c>
      <c r="O404" s="1" t="s">
        <v>333</v>
      </c>
      <c r="P404" s="2" t="s">
        <v>2810</v>
      </c>
      <c r="Q404" s="1" t="s">
        <v>77</v>
      </c>
      <c r="R404" s="1"/>
      <c r="S404" s="1" t="s">
        <v>400</v>
      </c>
      <c r="T404" s="1">
        <v>4319802.0</v>
      </c>
      <c r="U404" s="1" t="s">
        <v>2811</v>
      </c>
      <c r="V404" s="1" t="s">
        <v>402</v>
      </c>
      <c r="W404" s="1" t="s">
        <v>78</v>
      </c>
      <c r="X404" s="1"/>
      <c r="Y404" s="1"/>
      <c r="Z404" s="1" t="s">
        <v>223</v>
      </c>
      <c r="AA404" s="1" t="s">
        <v>2812</v>
      </c>
      <c r="AB404" s="1" t="str">
        <f>"***323260**"</f>
        <v>***323260**</v>
      </c>
      <c r="AC404" s="1"/>
      <c r="AD404" s="1" t="s">
        <v>81</v>
      </c>
      <c r="AE404" s="1"/>
      <c r="AF404" s="1">
        <v>-54.665333</v>
      </c>
      <c r="AG404" s="1">
        <v>-29.684586</v>
      </c>
      <c r="AH404" s="1" t="s">
        <v>2813</v>
      </c>
      <c r="AI404" s="1"/>
      <c r="AJ404" s="1" t="s">
        <v>405</v>
      </c>
      <c r="AK404" s="1"/>
      <c r="AL404" s="1"/>
      <c r="AM404" s="1" t="s">
        <v>65</v>
      </c>
      <c r="AN404" s="1" t="s">
        <v>274</v>
      </c>
      <c r="AO404" s="1"/>
      <c r="AP404" s="2" t="s">
        <v>2814</v>
      </c>
      <c r="AQ404" s="1"/>
      <c r="AR404" s="1" t="s">
        <v>2815</v>
      </c>
      <c r="AS404" s="1" t="s">
        <v>2816</v>
      </c>
      <c r="AT404" s="2" t="s">
        <v>70</v>
      </c>
    </row>
    <row r="405">
      <c r="A405" s="1">
        <v>2043315.0</v>
      </c>
      <c r="B405" s="1" t="s">
        <v>116</v>
      </c>
      <c r="C405" s="1" t="s">
        <v>117</v>
      </c>
      <c r="D405" s="1" t="s">
        <v>46</v>
      </c>
      <c r="E405" s="1" t="s">
        <v>2817</v>
      </c>
      <c r="F405" s="1"/>
      <c r="G405" s="1" t="s">
        <v>119</v>
      </c>
      <c r="H405" s="1" t="s">
        <v>72</v>
      </c>
      <c r="I405" s="1">
        <v>1000.0</v>
      </c>
      <c r="J405" s="1"/>
      <c r="K405" s="1"/>
      <c r="L405" s="1" t="s">
        <v>64</v>
      </c>
      <c r="M405" s="1" t="s">
        <v>2818</v>
      </c>
      <c r="N405" s="1" t="s">
        <v>257</v>
      </c>
      <c r="O405" s="1" t="s">
        <v>258</v>
      </c>
      <c r="P405" s="2" t="s">
        <v>2819</v>
      </c>
      <c r="Q405" s="1" t="s">
        <v>77</v>
      </c>
      <c r="R405" s="2" t="s">
        <v>2803</v>
      </c>
      <c r="S405" s="1" t="s">
        <v>220</v>
      </c>
      <c r="T405" s="1">
        <v>3200409.0</v>
      </c>
      <c r="U405" s="1" t="s">
        <v>58</v>
      </c>
      <c r="V405" s="1" t="s">
        <v>59</v>
      </c>
      <c r="W405" s="1" t="s">
        <v>78</v>
      </c>
      <c r="X405" s="1"/>
      <c r="Y405" s="1" t="str">
        <f>"02009000308202133"</f>
        <v>02009000308202133</v>
      </c>
      <c r="Z405" s="1" t="s">
        <v>260</v>
      </c>
      <c r="AA405" s="1" t="s">
        <v>2820</v>
      </c>
      <c r="AB405" s="1" t="str">
        <f>"***221457**"</f>
        <v>***221457**</v>
      </c>
      <c r="AC405" s="1"/>
      <c r="AD405" s="1"/>
      <c r="AE405" s="1"/>
      <c r="AF405" s="1">
        <v>-40.697778</v>
      </c>
      <c r="AG405" s="1">
        <v>-20.775278</v>
      </c>
      <c r="AH405" s="1" t="s">
        <v>2821</v>
      </c>
      <c r="AI405" s="1"/>
      <c r="AJ405" s="1" t="s">
        <v>64</v>
      </c>
      <c r="AK405" s="1"/>
      <c r="AL405" s="1" t="s">
        <v>128</v>
      </c>
      <c r="AM405" s="1" t="s">
        <v>65</v>
      </c>
      <c r="AN405" s="1" t="s">
        <v>2822</v>
      </c>
      <c r="AO405" s="2" t="s">
        <v>2407</v>
      </c>
      <c r="AP405" s="2" t="s">
        <v>2823</v>
      </c>
      <c r="AQ405" s="1" t="s">
        <v>132</v>
      </c>
      <c r="AR405" s="1" t="s">
        <v>2824</v>
      </c>
      <c r="AS405" s="1"/>
      <c r="AT405" s="2" t="s">
        <v>70</v>
      </c>
    </row>
    <row r="406">
      <c r="A406" s="1">
        <v>2043456.0</v>
      </c>
      <c r="B406" s="1" t="s">
        <v>116</v>
      </c>
      <c r="C406" s="1" t="s">
        <v>117</v>
      </c>
      <c r="D406" s="1" t="s">
        <v>46</v>
      </c>
      <c r="E406" s="1" t="s">
        <v>2825</v>
      </c>
      <c r="F406" s="1"/>
      <c r="G406" s="1" t="s">
        <v>119</v>
      </c>
      <c r="H406" s="1" t="s">
        <v>50</v>
      </c>
      <c r="I406" s="1">
        <v>500500.0</v>
      </c>
      <c r="J406" s="1"/>
      <c r="K406" s="1"/>
      <c r="L406" s="1" t="s">
        <v>120</v>
      </c>
      <c r="M406" s="1" t="s">
        <v>2826</v>
      </c>
      <c r="N406" s="1" t="s">
        <v>186</v>
      </c>
      <c r="O406" s="1" t="s">
        <v>302</v>
      </c>
      <c r="P406" s="2" t="s">
        <v>2827</v>
      </c>
      <c r="Q406" s="1" t="s">
        <v>56</v>
      </c>
      <c r="R406" s="1"/>
      <c r="S406" s="1" t="s">
        <v>241</v>
      </c>
      <c r="T406" s="1">
        <v>2800308.0</v>
      </c>
      <c r="U406" s="1" t="s">
        <v>2828</v>
      </c>
      <c r="V406" s="1" t="s">
        <v>1515</v>
      </c>
      <c r="W406" s="1" t="s">
        <v>60</v>
      </c>
      <c r="X406" s="1"/>
      <c r="Y406" s="1" t="str">
        <f>"02001003123202151"</f>
        <v>02001003123202151</v>
      </c>
      <c r="Z406" s="1" t="s">
        <v>306</v>
      </c>
      <c r="AA406" s="1" t="s">
        <v>2829</v>
      </c>
      <c r="AB406" s="1" t="str">
        <f>"33000167057723"</f>
        <v>33000167057723</v>
      </c>
      <c r="AC406" s="1"/>
      <c r="AD406" s="1"/>
      <c r="AE406" s="1"/>
      <c r="AF406" s="1">
        <v>-36.871389</v>
      </c>
      <c r="AG406" s="1">
        <v>-11.036667</v>
      </c>
      <c r="AH406" s="1" t="s">
        <v>2830</v>
      </c>
      <c r="AI406" s="1"/>
      <c r="AJ406" s="1" t="s">
        <v>120</v>
      </c>
      <c r="AK406" s="1"/>
      <c r="AL406" s="1" t="s">
        <v>128</v>
      </c>
      <c r="AM406" s="1" t="s">
        <v>65</v>
      </c>
      <c r="AN406" s="1" t="s">
        <v>66</v>
      </c>
      <c r="AO406" s="2" t="s">
        <v>1972</v>
      </c>
      <c r="AP406" s="2" t="s">
        <v>2831</v>
      </c>
      <c r="AQ406" s="1" t="s">
        <v>132</v>
      </c>
      <c r="AR406" s="1" t="s">
        <v>1242</v>
      </c>
      <c r="AS406" s="1" t="s">
        <v>2832</v>
      </c>
      <c r="AT406" s="2" t="s">
        <v>70</v>
      </c>
    </row>
    <row r="407">
      <c r="A407" s="1">
        <v>2043682.0</v>
      </c>
      <c r="B407" s="1" t="s">
        <v>116</v>
      </c>
      <c r="C407" s="1" t="s">
        <v>117</v>
      </c>
      <c r="D407" s="1" t="s">
        <v>46</v>
      </c>
      <c r="E407" s="1" t="s">
        <v>2833</v>
      </c>
      <c r="F407" s="1"/>
      <c r="G407" s="1" t="s">
        <v>119</v>
      </c>
      <c r="H407" s="1" t="s">
        <v>72</v>
      </c>
      <c r="I407" s="1">
        <v>161500.0</v>
      </c>
      <c r="J407" s="1"/>
      <c r="K407" s="1"/>
      <c r="L407" s="1" t="s">
        <v>120</v>
      </c>
      <c r="M407" s="1" t="s">
        <v>2834</v>
      </c>
      <c r="N407" s="1" t="s">
        <v>186</v>
      </c>
      <c r="O407" s="1" t="s">
        <v>95</v>
      </c>
      <c r="P407" s="2" t="s">
        <v>2835</v>
      </c>
      <c r="Q407" s="1" t="s">
        <v>137</v>
      </c>
      <c r="R407" s="1"/>
      <c r="S407" s="1" t="s">
        <v>1349</v>
      </c>
      <c r="T407" s="1">
        <v>1500859.0</v>
      </c>
      <c r="U407" s="1" t="s">
        <v>1723</v>
      </c>
      <c r="V407" s="1" t="s">
        <v>917</v>
      </c>
      <c r="W407" s="1" t="s">
        <v>100</v>
      </c>
      <c r="X407" s="1"/>
      <c r="Y407" s="1" t="str">
        <f>"02001003637202114"</f>
        <v>02001003637202114</v>
      </c>
      <c r="Z407" s="1" t="s">
        <v>101</v>
      </c>
      <c r="AA407" s="1" t="s">
        <v>2836</v>
      </c>
      <c r="AB407" s="1" t="str">
        <f>"20616891000112"</f>
        <v>20616891000112</v>
      </c>
      <c r="AC407" s="1"/>
      <c r="AD407" s="1"/>
      <c r="AE407" s="1"/>
      <c r="AF407" s="1">
        <v>-51.1875</v>
      </c>
      <c r="AG407" s="1">
        <v>-3.478889</v>
      </c>
      <c r="AH407" s="1" t="s">
        <v>2837</v>
      </c>
      <c r="AI407" s="1"/>
      <c r="AJ407" s="1" t="s">
        <v>120</v>
      </c>
      <c r="AK407" s="1"/>
      <c r="AL407" s="1" t="s">
        <v>128</v>
      </c>
      <c r="AM407" s="1" t="s">
        <v>65</v>
      </c>
      <c r="AN407" s="1" t="s">
        <v>1726</v>
      </c>
      <c r="AO407" s="2" t="s">
        <v>1068</v>
      </c>
      <c r="AP407" s="2" t="s">
        <v>2838</v>
      </c>
      <c r="AQ407" s="1" t="s">
        <v>132</v>
      </c>
      <c r="AR407" s="1" t="s">
        <v>247</v>
      </c>
      <c r="AS407" s="1"/>
      <c r="AT407" s="2" t="s">
        <v>70</v>
      </c>
    </row>
    <row r="408">
      <c r="A408" s="1">
        <v>2043697.0</v>
      </c>
      <c r="B408" s="1" t="s">
        <v>116</v>
      </c>
      <c r="C408" s="1" t="s">
        <v>117</v>
      </c>
      <c r="D408" s="1" t="s">
        <v>46</v>
      </c>
      <c r="E408" s="1" t="s">
        <v>2839</v>
      </c>
      <c r="F408" s="1"/>
      <c r="G408" s="1" t="s">
        <v>119</v>
      </c>
      <c r="H408" s="1" t="s">
        <v>50</v>
      </c>
      <c r="I408" s="1">
        <v>52500.0</v>
      </c>
      <c r="J408" s="1"/>
      <c r="K408" s="1"/>
      <c r="L408" s="1" t="s">
        <v>120</v>
      </c>
      <c r="M408" s="1" t="s">
        <v>2840</v>
      </c>
      <c r="N408" s="1" t="s">
        <v>186</v>
      </c>
      <c r="O408" s="1" t="s">
        <v>95</v>
      </c>
      <c r="P408" s="2" t="s">
        <v>2835</v>
      </c>
      <c r="Q408" s="1" t="s">
        <v>77</v>
      </c>
      <c r="R408" s="2" t="s">
        <v>2803</v>
      </c>
      <c r="S408" s="1" t="s">
        <v>1349</v>
      </c>
      <c r="T408" s="1">
        <v>1500859.0</v>
      </c>
      <c r="U408" s="1" t="s">
        <v>1723</v>
      </c>
      <c r="V408" s="1" t="s">
        <v>917</v>
      </c>
      <c r="W408" s="1" t="s">
        <v>100</v>
      </c>
      <c r="X408" s="1"/>
      <c r="Y408" s="1" t="str">
        <f>"02001003674202114"</f>
        <v>02001003674202114</v>
      </c>
      <c r="Z408" s="1" t="s">
        <v>101</v>
      </c>
      <c r="AA408" s="1" t="s">
        <v>2841</v>
      </c>
      <c r="AB408" s="1" t="str">
        <f t="shared" ref="AB408:AB410" si="25">"83577098000171"</f>
        <v>83577098000171</v>
      </c>
      <c r="AC408" s="1"/>
      <c r="AD408" s="1"/>
      <c r="AE408" s="1"/>
      <c r="AF408" s="1">
        <v>-51.543889</v>
      </c>
      <c r="AG408" s="1">
        <v>-3.085833</v>
      </c>
      <c r="AH408" s="1" t="s">
        <v>2842</v>
      </c>
      <c r="AI408" s="1"/>
      <c r="AJ408" s="1" t="s">
        <v>120</v>
      </c>
      <c r="AK408" s="1"/>
      <c r="AL408" s="1" t="s">
        <v>128</v>
      </c>
      <c r="AM408" s="1" t="s">
        <v>65</v>
      </c>
      <c r="AN408" s="1" t="s">
        <v>1726</v>
      </c>
      <c r="AO408" s="2" t="s">
        <v>1068</v>
      </c>
      <c r="AP408" s="2" t="s">
        <v>2843</v>
      </c>
      <c r="AQ408" s="1" t="s">
        <v>132</v>
      </c>
      <c r="AR408" s="1" t="s">
        <v>247</v>
      </c>
      <c r="AS408" s="1"/>
      <c r="AT408" s="2" t="s">
        <v>70</v>
      </c>
    </row>
    <row r="409">
      <c r="A409" s="1"/>
      <c r="B409" s="1" t="s">
        <v>46</v>
      </c>
      <c r="C409" s="1" t="s">
        <v>571</v>
      </c>
      <c r="D409" s="1" t="s">
        <v>116</v>
      </c>
      <c r="E409" s="1" t="s">
        <v>2844</v>
      </c>
      <c r="F409" s="1"/>
      <c r="G409" s="1" t="s">
        <v>49</v>
      </c>
      <c r="H409" s="1" t="s">
        <v>50</v>
      </c>
      <c r="I409" s="1">
        <v>52500.0</v>
      </c>
      <c r="J409" s="1"/>
      <c r="K409" s="1" t="s">
        <v>51</v>
      </c>
      <c r="L409" s="1"/>
      <c r="M409" s="1" t="s">
        <v>2845</v>
      </c>
      <c r="N409" s="1" t="s">
        <v>109</v>
      </c>
      <c r="O409" s="1" t="s">
        <v>110</v>
      </c>
      <c r="P409" s="2" t="s">
        <v>2846</v>
      </c>
      <c r="Q409" s="1" t="s">
        <v>77</v>
      </c>
      <c r="R409" s="1"/>
      <c r="S409" s="1" t="s">
        <v>1349</v>
      </c>
      <c r="T409" s="1">
        <v>1500859.0</v>
      </c>
      <c r="U409" s="1" t="s">
        <v>1723</v>
      </c>
      <c r="V409" s="1" t="s">
        <v>917</v>
      </c>
      <c r="W409" s="1" t="s">
        <v>100</v>
      </c>
      <c r="X409" s="1"/>
      <c r="Y409" s="1"/>
      <c r="Z409" s="1" t="s">
        <v>112</v>
      </c>
      <c r="AA409" s="1" t="s">
        <v>2841</v>
      </c>
      <c r="AB409" s="1" t="str">
        <f t="shared" si="25"/>
        <v>83577098000171</v>
      </c>
      <c r="AC409" s="1"/>
      <c r="AD409" s="1" t="s">
        <v>62</v>
      </c>
      <c r="AE409" s="1"/>
      <c r="AF409" s="1">
        <v>-51.543889</v>
      </c>
      <c r="AG409" s="1">
        <v>-3.085833</v>
      </c>
      <c r="AH409" s="1" t="s">
        <v>2842</v>
      </c>
      <c r="AI409" s="1"/>
      <c r="AJ409" s="1" t="s">
        <v>1763</v>
      </c>
      <c r="AK409" s="1"/>
      <c r="AL409" s="1"/>
      <c r="AM409" s="1" t="s">
        <v>65</v>
      </c>
      <c r="AN409" s="1" t="s">
        <v>1726</v>
      </c>
      <c r="AO409" s="1"/>
      <c r="AP409" s="2" t="s">
        <v>2847</v>
      </c>
      <c r="AQ409" s="1"/>
      <c r="AR409" s="1" t="s">
        <v>603</v>
      </c>
      <c r="AS409" s="1"/>
      <c r="AT409" s="2" t="s">
        <v>70</v>
      </c>
    </row>
    <row r="410">
      <c r="A410" s="1">
        <v>2043679.0</v>
      </c>
      <c r="B410" s="1" t="s">
        <v>116</v>
      </c>
      <c r="C410" s="1" t="s">
        <v>117</v>
      </c>
      <c r="D410" s="1" t="s">
        <v>46</v>
      </c>
      <c r="E410" s="1" t="s">
        <v>2848</v>
      </c>
      <c r="F410" s="1"/>
      <c r="G410" s="1" t="s">
        <v>119</v>
      </c>
      <c r="H410" s="1" t="s">
        <v>50</v>
      </c>
      <c r="I410" s="1">
        <v>52500.0</v>
      </c>
      <c r="J410" s="1"/>
      <c r="K410" s="1"/>
      <c r="L410" s="1" t="s">
        <v>120</v>
      </c>
      <c r="M410" s="1" t="s">
        <v>2849</v>
      </c>
      <c r="N410" s="1" t="s">
        <v>109</v>
      </c>
      <c r="O410" s="1" t="s">
        <v>110</v>
      </c>
      <c r="P410" s="2" t="s">
        <v>2850</v>
      </c>
      <c r="Q410" s="1" t="s">
        <v>77</v>
      </c>
      <c r="R410" s="2" t="s">
        <v>2803</v>
      </c>
      <c r="S410" s="1" t="s">
        <v>1349</v>
      </c>
      <c r="T410" s="1">
        <v>1500859.0</v>
      </c>
      <c r="U410" s="1" t="s">
        <v>1723</v>
      </c>
      <c r="V410" s="1" t="s">
        <v>917</v>
      </c>
      <c r="W410" s="1" t="s">
        <v>100</v>
      </c>
      <c r="X410" s="1"/>
      <c r="Y410" s="1" t="str">
        <f>"02001003634202172"</f>
        <v>02001003634202172</v>
      </c>
      <c r="Z410" s="1" t="s">
        <v>112</v>
      </c>
      <c r="AA410" s="1" t="s">
        <v>2841</v>
      </c>
      <c r="AB410" s="1" t="str">
        <f t="shared" si="25"/>
        <v>83577098000171</v>
      </c>
      <c r="AC410" s="1"/>
      <c r="AD410" s="1"/>
      <c r="AE410" s="1"/>
      <c r="AF410" s="1">
        <v>-51.543889</v>
      </c>
      <c r="AG410" s="1">
        <v>-3.085833</v>
      </c>
      <c r="AH410" s="1" t="s">
        <v>2842</v>
      </c>
      <c r="AI410" s="1"/>
      <c r="AJ410" s="1" t="s">
        <v>120</v>
      </c>
      <c r="AK410" s="1"/>
      <c r="AL410" s="1" t="s">
        <v>128</v>
      </c>
      <c r="AM410" s="1" t="s">
        <v>65</v>
      </c>
      <c r="AN410" s="1" t="s">
        <v>1726</v>
      </c>
      <c r="AO410" s="2" t="s">
        <v>1068</v>
      </c>
      <c r="AP410" s="2" t="s">
        <v>2851</v>
      </c>
      <c r="AQ410" s="1" t="s">
        <v>132</v>
      </c>
      <c r="AR410" s="1" t="s">
        <v>247</v>
      </c>
      <c r="AS410" s="1"/>
      <c r="AT410" s="2" t="s">
        <v>70</v>
      </c>
    </row>
    <row r="411">
      <c r="A411" s="1">
        <v>2043683.0</v>
      </c>
      <c r="B411" s="1" t="s">
        <v>116</v>
      </c>
      <c r="C411" s="1" t="s">
        <v>117</v>
      </c>
      <c r="D411" s="1" t="s">
        <v>46</v>
      </c>
      <c r="E411" s="1" t="s">
        <v>2852</v>
      </c>
      <c r="F411" s="1"/>
      <c r="G411" s="1" t="s">
        <v>119</v>
      </c>
      <c r="H411" s="1" t="s">
        <v>72</v>
      </c>
      <c r="I411" s="1">
        <v>27473.31</v>
      </c>
      <c r="J411" s="1"/>
      <c r="K411" s="1"/>
      <c r="L411" s="1" t="s">
        <v>120</v>
      </c>
      <c r="M411" s="1" t="s">
        <v>2853</v>
      </c>
      <c r="N411" s="1" t="s">
        <v>109</v>
      </c>
      <c r="O411" s="1" t="s">
        <v>110</v>
      </c>
      <c r="P411" s="2" t="s">
        <v>2850</v>
      </c>
      <c r="Q411" s="1" t="s">
        <v>137</v>
      </c>
      <c r="R411" s="1"/>
      <c r="S411" s="1" t="s">
        <v>1349</v>
      </c>
      <c r="T411" s="1">
        <v>1500859.0</v>
      </c>
      <c r="U411" s="1" t="s">
        <v>1723</v>
      </c>
      <c r="V411" s="1" t="s">
        <v>917</v>
      </c>
      <c r="W411" s="1" t="s">
        <v>100</v>
      </c>
      <c r="X411" s="1"/>
      <c r="Y411" s="1" t="str">
        <f>"02001003638202151"</f>
        <v>02001003638202151</v>
      </c>
      <c r="Z411" s="1" t="s">
        <v>112</v>
      </c>
      <c r="AA411" s="1" t="s">
        <v>2836</v>
      </c>
      <c r="AB411" s="1" t="str">
        <f>"20616891000112"</f>
        <v>20616891000112</v>
      </c>
      <c r="AC411" s="1"/>
      <c r="AD411" s="1"/>
      <c r="AE411" s="1"/>
      <c r="AF411" s="1">
        <v>-51.1875</v>
      </c>
      <c r="AG411" s="1">
        <v>-3.478889</v>
      </c>
      <c r="AH411" s="1" t="s">
        <v>2837</v>
      </c>
      <c r="AI411" s="1"/>
      <c r="AJ411" s="1" t="s">
        <v>120</v>
      </c>
      <c r="AK411" s="1"/>
      <c r="AL411" s="1" t="s">
        <v>128</v>
      </c>
      <c r="AM411" s="1" t="s">
        <v>65</v>
      </c>
      <c r="AN411" s="1" t="s">
        <v>1726</v>
      </c>
      <c r="AO411" s="2" t="s">
        <v>1068</v>
      </c>
      <c r="AP411" s="2" t="s">
        <v>2854</v>
      </c>
      <c r="AQ411" s="1" t="s">
        <v>132</v>
      </c>
      <c r="AR411" s="1" t="s">
        <v>133</v>
      </c>
      <c r="AS411" s="1"/>
      <c r="AT411" s="2" t="s">
        <v>70</v>
      </c>
    </row>
    <row r="412">
      <c r="A412" s="1">
        <v>2043329.0</v>
      </c>
      <c r="B412" s="1" t="s">
        <v>116</v>
      </c>
      <c r="C412" s="1" t="s">
        <v>117</v>
      </c>
      <c r="D412" s="1" t="s">
        <v>46</v>
      </c>
      <c r="E412" s="1" t="s">
        <v>2855</v>
      </c>
      <c r="F412" s="1"/>
      <c r="G412" s="1" t="s">
        <v>119</v>
      </c>
      <c r="H412" s="1" t="s">
        <v>50</v>
      </c>
      <c r="I412" s="1">
        <v>500.0</v>
      </c>
      <c r="J412" s="1"/>
      <c r="K412" s="1"/>
      <c r="L412" s="1" t="s">
        <v>2856</v>
      </c>
      <c r="M412" s="1" t="s">
        <v>2857</v>
      </c>
      <c r="N412" s="1" t="s">
        <v>186</v>
      </c>
      <c r="O412" s="1" t="s">
        <v>302</v>
      </c>
      <c r="P412" s="2" t="s">
        <v>2858</v>
      </c>
      <c r="Q412" s="1" t="s">
        <v>77</v>
      </c>
      <c r="R412" s="2" t="s">
        <v>2803</v>
      </c>
      <c r="S412" s="1" t="s">
        <v>2859</v>
      </c>
      <c r="T412" s="1">
        <v>2408102.0</v>
      </c>
      <c r="U412" s="1" t="s">
        <v>1083</v>
      </c>
      <c r="V412" s="1" t="s">
        <v>1084</v>
      </c>
      <c r="W412" s="1" t="s">
        <v>60</v>
      </c>
      <c r="X412" s="1"/>
      <c r="Y412" s="1" t="str">
        <f>"02021000107202178"</f>
        <v>02021000107202178</v>
      </c>
      <c r="Z412" s="1" t="s">
        <v>306</v>
      </c>
      <c r="AA412" s="1" t="s">
        <v>2860</v>
      </c>
      <c r="AB412" s="1" t="str">
        <f>"41004243000185"</f>
        <v>41004243000185</v>
      </c>
      <c r="AC412" s="1"/>
      <c r="AD412" s="1"/>
      <c r="AE412" s="1"/>
      <c r="AF412" s="1">
        <v>-35.248611</v>
      </c>
      <c r="AG412" s="1">
        <v>-5.815278</v>
      </c>
      <c r="AH412" s="1" t="s">
        <v>2861</v>
      </c>
      <c r="AI412" s="1"/>
      <c r="AJ412" s="1" t="s">
        <v>2856</v>
      </c>
      <c r="AK412" s="1"/>
      <c r="AL412" s="1" t="s">
        <v>128</v>
      </c>
      <c r="AM412" s="1" t="s">
        <v>65</v>
      </c>
      <c r="AN412" s="1" t="s">
        <v>159</v>
      </c>
      <c r="AO412" s="2" t="s">
        <v>2407</v>
      </c>
      <c r="AP412" s="2" t="s">
        <v>2862</v>
      </c>
      <c r="AQ412" s="1" t="s">
        <v>132</v>
      </c>
      <c r="AR412" s="1" t="s">
        <v>1242</v>
      </c>
      <c r="AS412" s="1"/>
      <c r="AT412" s="2" t="s">
        <v>70</v>
      </c>
    </row>
    <row r="413">
      <c r="A413" s="1">
        <v>2043334.0</v>
      </c>
      <c r="B413" s="1" t="s">
        <v>116</v>
      </c>
      <c r="C413" s="1" t="s">
        <v>117</v>
      </c>
      <c r="D413" s="1" t="s">
        <v>46</v>
      </c>
      <c r="E413" s="1" t="s">
        <v>2863</v>
      </c>
      <c r="F413" s="1"/>
      <c r="G413" s="1" t="s">
        <v>119</v>
      </c>
      <c r="H413" s="1" t="s">
        <v>50</v>
      </c>
      <c r="I413" s="1">
        <v>161500.0</v>
      </c>
      <c r="J413" s="1"/>
      <c r="K413" s="1"/>
      <c r="L413" s="1" t="s">
        <v>1227</v>
      </c>
      <c r="M413" s="1" t="s">
        <v>2864</v>
      </c>
      <c r="N413" s="1" t="s">
        <v>53</v>
      </c>
      <c r="O413" s="1" t="s">
        <v>333</v>
      </c>
      <c r="P413" s="2" t="s">
        <v>2858</v>
      </c>
      <c r="Q413" s="1" t="s">
        <v>56</v>
      </c>
      <c r="R413" s="1"/>
      <c r="S413" s="1" t="s">
        <v>123</v>
      </c>
      <c r="T413" s="1">
        <v>1100098.0</v>
      </c>
      <c r="U413" s="1" t="s">
        <v>2306</v>
      </c>
      <c r="V413" s="1" t="s">
        <v>125</v>
      </c>
      <c r="W413" s="1" t="s">
        <v>100</v>
      </c>
      <c r="X413" s="1"/>
      <c r="Y413" s="1" t="str">
        <f>"02049000032202117"</f>
        <v>02049000032202117</v>
      </c>
      <c r="Z413" s="1" t="s">
        <v>223</v>
      </c>
      <c r="AA413" s="1" t="s">
        <v>2865</v>
      </c>
      <c r="AB413" s="1" t="str">
        <f>"10616048000182"</f>
        <v>10616048000182</v>
      </c>
      <c r="AC413" s="1"/>
      <c r="AD413" s="1"/>
      <c r="AE413" s="1"/>
      <c r="AF413" s="1">
        <v>-61.024444</v>
      </c>
      <c r="AG413" s="1">
        <v>-11.546111</v>
      </c>
      <c r="AH413" s="1" t="s">
        <v>2866</v>
      </c>
      <c r="AI413" s="1"/>
      <c r="AJ413" s="1" t="s">
        <v>1227</v>
      </c>
      <c r="AK413" s="1"/>
      <c r="AL413" s="1" t="s">
        <v>128</v>
      </c>
      <c r="AM413" s="1" t="s">
        <v>65</v>
      </c>
      <c r="AN413" s="1" t="s">
        <v>274</v>
      </c>
      <c r="AO413" s="2" t="s">
        <v>2407</v>
      </c>
      <c r="AP413" s="2" t="s">
        <v>2867</v>
      </c>
      <c r="AQ413" s="1" t="s">
        <v>132</v>
      </c>
      <c r="AR413" s="1" t="s">
        <v>247</v>
      </c>
      <c r="AS413" s="1" t="s">
        <v>2310</v>
      </c>
      <c r="AT413" s="2" t="s">
        <v>70</v>
      </c>
    </row>
    <row r="414">
      <c r="A414" s="1">
        <v>2043581.0</v>
      </c>
      <c r="B414" s="1" t="s">
        <v>116</v>
      </c>
      <c r="C414" s="1" t="s">
        <v>117</v>
      </c>
      <c r="D414" s="1" t="s">
        <v>46</v>
      </c>
      <c r="E414" s="1" t="s">
        <v>2868</v>
      </c>
      <c r="F414" s="1"/>
      <c r="G414" s="1" t="s">
        <v>119</v>
      </c>
      <c r="H414" s="1" t="s">
        <v>72</v>
      </c>
      <c r="I414" s="1">
        <v>86761.66</v>
      </c>
      <c r="J414" s="1"/>
      <c r="K414" s="1"/>
      <c r="L414" s="1" t="s">
        <v>120</v>
      </c>
      <c r="M414" s="1" t="s">
        <v>2869</v>
      </c>
      <c r="N414" s="1" t="s">
        <v>109</v>
      </c>
      <c r="O414" s="1" t="s">
        <v>110</v>
      </c>
      <c r="P414" s="2" t="s">
        <v>2858</v>
      </c>
      <c r="Q414" s="1" t="s">
        <v>77</v>
      </c>
      <c r="R414" s="2" t="s">
        <v>2803</v>
      </c>
      <c r="S414" s="1" t="s">
        <v>1349</v>
      </c>
      <c r="T414" s="1">
        <v>1500859.0</v>
      </c>
      <c r="U414" s="1" t="s">
        <v>1723</v>
      </c>
      <c r="V414" s="1" t="s">
        <v>917</v>
      </c>
      <c r="W414" s="1" t="s">
        <v>100</v>
      </c>
      <c r="X414" s="1"/>
      <c r="Y414" s="1" t="str">
        <f>"02001003403202169"</f>
        <v>02001003403202169</v>
      </c>
      <c r="Z414" s="1" t="s">
        <v>112</v>
      </c>
      <c r="AA414" s="1" t="s">
        <v>2841</v>
      </c>
      <c r="AB414" s="1" t="str">
        <f>"83577098000171"</f>
        <v>83577098000171</v>
      </c>
      <c r="AC414" s="1"/>
      <c r="AD414" s="1"/>
      <c r="AE414" s="1"/>
      <c r="AF414" s="1">
        <v>-51.544111</v>
      </c>
      <c r="AG414" s="1">
        <v>-3.085833</v>
      </c>
      <c r="AH414" s="1" t="s">
        <v>2870</v>
      </c>
      <c r="AI414" s="1"/>
      <c r="AJ414" s="1" t="s">
        <v>120</v>
      </c>
      <c r="AK414" s="1"/>
      <c r="AL414" s="1" t="s">
        <v>128</v>
      </c>
      <c r="AM414" s="1" t="s">
        <v>65</v>
      </c>
      <c r="AN414" s="1" t="s">
        <v>1726</v>
      </c>
      <c r="AO414" s="2" t="s">
        <v>1371</v>
      </c>
      <c r="AP414" s="2" t="s">
        <v>2871</v>
      </c>
      <c r="AQ414" s="1" t="s">
        <v>132</v>
      </c>
      <c r="AR414" s="1" t="s">
        <v>133</v>
      </c>
      <c r="AS414" s="1"/>
      <c r="AT414" s="2" t="s">
        <v>70</v>
      </c>
    </row>
    <row r="415">
      <c r="A415" s="1"/>
      <c r="B415" s="1" t="s">
        <v>46</v>
      </c>
      <c r="C415" s="1" t="s">
        <v>47</v>
      </c>
      <c r="D415" s="1"/>
      <c r="E415" s="1" t="s">
        <v>2872</v>
      </c>
      <c r="F415" s="1"/>
      <c r="G415" s="1" t="s">
        <v>49</v>
      </c>
      <c r="H415" s="1" t="s">
        <v>50</v>
      </c>
      <c r="I415" s="1">
        <v>52500.0</v>
      </c>
      <c r="J415" s="1"/>
      <c r="K415" s="1" t="s">
        <v>51</v>
      </c>
      <c r="L415" s="1"/>
      <c r="M415" s="1" t="s">
        <v>2873</v>
      </c>
      <c r="N415" s="1" t="s">
        <v>94</v>
      </c>
      <c r="O415" s="1" t="s">
        <v>95</v>
      </c>
      <c r="P415" s="2" t="s">
        <v>2874</v>
      </c>
      <c r="Q415" s="1" t="s">
        <v>77</v>
      </c>
      <c r="R415" s="1"/>
      <c r="S415" s="1" t="s">
        <v>148</v>
      </c>
      <c r="T415" s="1">
        <v>1100098.0</v>
      </c>
      <c r="U415" s="1" t="s">
        <v>335</v>
      </c>
      <c r="V415" s="1" t="s">
        <v>125</v>
      </c>
      <c r="W415" s="1" t="s">
        <v>100</v>
      </c>
      <c r="X415" s="1"/>
      <c r="Y415" s="1"/>
      <c r="Z415" s="1" t="s">
        <v>101</v>
      </c>
      <c r="AA415" s="1" t="s">
        <v>336</v>
      </c>
      <c r="AB415" s="1" t="str">
        <f>"15235515000148"</f>
        <v>15235515000148</v>
      </c>
      <c r="AC415" s="1"/>
      <c r="AD415" s="1" t="s">
        <v>81</v>
      </c>
      <c r="AE415" s="1"/>
      <c r="AF415" s="1">
        <v>-61.004167</v>
      </c>
      <c r="AG415" s="1">
        <v>-11.532222</v>
      </c>
      <c r="AH415" s="1" t="s">
        <v>2875</v>
      </c>
      <c r="AI415" s="1"/>
      <c r="AJ415" s="1" t="s">
        <v>1227</v>
      </c>
      <c r="AK415" s="1"/>
      <c r="AL415" s="1"/>
      <c r="AM415" s="1" t="s">
        <v>65</v>
      </c>
      <c r="AN415" s="1" t="s">
        <v>274</v>
      </c>
      <c r="AO415" s="1"/>
      <c r="AP415" s="2" t="s">
        <v>2876</v>
      </c>
      <c r="AQ415" s="1"/>
      <c r="AR415" s="1" t="s">
        <v>106</v>
      </c>
      <c r="AS415" s="1" t="s">
        <v>2877</v>
      </c>
      <c r="AT415" s="2" t="s">
        <v>70</v>
      </c>
    </row>
    <row r="416">
      <c r="A416" s="1">
        <v>2043218.0</v>
      </c>
      <c r="B416" s="1" t="s">
        <v>116</v>
      </c>
      <c r="C416" s="1" t="s">
        <v>117</v>
      </c>
      <c r="D416" s="1" t="s">
        <v>46</v>
      </c>
      <c r="E416" s="1" t="s">
        <v>2878</v>
      </c>
      <c r="F416" s="1"/>
      <c r="G416" s="1" t="s">
        <v>119</v>
      </c>
      <c r="H416" s="1" t="s">
        <v>50</v>
      </c>
      <c r="I416" s="1">
        <v>161500.0</v>
      </c>
      <c r="J416" s="1"/>
      <c r="K416" s="1"/>
      <c r="L416" s="1" t="s">
        <v>1227</v>
      </c>
      <c r="M416" s="1" t="s">
        <v>2879</v>
      </c>
      <c r="N416" s="1" t="s">
        <v>53</v>
      </c>
      <c r="O416" s="1" t="s">
        <v>333</v>
      </c>
      <c r="P416" s="2" t="s">
        <v>2880</v>
      </c>
      <c r="Q416" s="1" t="s">
        <v>56</v>
      </c>
      <c r="R416" s="2" t="s">
        <v>2803</v>
      </c>
      <c r="S416" s="1" t="s">
        <v>123</v>
      </c>
      <c r="T416" s="1">
        <v>1100098.0</v>
      </c>
      <c r="U416" s="1" t="s">
        <v>2306</v>
      </c>
      <c r="V416" s="1" t="s">
        <v>125</v>
      </c>
      <c r="W416" s="1" t="s">
        <v>100</v>
      </c>
      <c r="X416" s="1"/>
      <c r="Y416" s="1" t="str">
        <f>"02049000027202112"</f>
        <v>02049000027202112</v>
      </c>
      <c r="Z416" s="1" t="s">
        <v>223</v>
      </c>
      <c r="AA416" s="1" t="s">
        <v>2881</v>
      </c>
      <c r="AB416" s="1" t="str">
        <f>"22810391000142"</f>
        <v>22810391000142</v>
      </c>
      <c r="AC416" s="1"/>
      <c r="AD416" s="1"/>
      <c r="AE416" s="1"/>
      <c r="AF416" s="1">
        <v>-60.980833</v>
      </c>
      <c r="AG416" s="1">
        <v>-11.481667</v>
      </c>
      <c r="AH416" s="1" t="s">
        <v>2882</v>
      </c>
      <c r="AI416" s="1"/>
      <c r="AJ416" s="1" t="s">
        <v>1227</v>
      </c>
      <c r="AK416" s="1"/>
      <c r="AL416" s="1" t="s">
        <v>128</v>
      </c>
      <c r="AM416" s="1" t="s">
        <v>65</v>
      </c>
      <c r="AN416" s="1" t="s">
        <v>274</v>
      </c>
      <c r="AO416" s="2" t="s">
        <v>2788</v>
      </c>
      <c r="AP416" s="2" t="s">
        <v>2883</v>
      </c>
      <c r="AQ416" s="1" t="s">
        <v>132</v>
      </c>
      <c r="AR416" s="1" t="s">
        <v>247</v>
      </c>
      <c r="AS416" s="1" t="s">
        <v>2310</v>
      </c>
      <c r="AT416" s="2" t="s">
        <v>70</v>
      </c>
    </row>
    <row r="417">
      <c r="A417" s="1">
        <v>2043336.0</v>
      </c>
      <c r="B417" s="1" t="s">
        <v>116</v>
      </c>
      <c r="C417" s="1" t="s">
        <v>117</v>
      </c>
      <c r="D417" s="1" t="s">
        <v>46</v>
      </c>
      <c r="E417" s="1" t="s">
        <v>2884</v>
      </c>
      <c r="F417" s="1"/>
      <c r="G417" s="1" t="s">
        <v>119</v>
      </c>
      <c r="H417" s="1" t="s">
        <v>50</v>
      </c>
      <c r="I417" s="1">
        <v>52500.0</v>
      </c>
      <c r="J417" s="1"/>
      <c r="K417" s="1"/>
      <c r="L417" s="1" t="s">
        <v>1227</v>
      </c>
      <c r="M417" s="1" t="s">
        <v>2885</v>
      </c>
      <c r="N417" s="1" t="s">
        <v>53</v>
      </c>
      <c r="O417" s="1" t="s">
        <v>333</v>
      </c>
      <c r="P417" s="2" t="s">
        <v>2880</v>
      </c>
      <c r="Q417" s="1" t="s">
        <v>56</v>
      </c>
      <c r="R417" s="2" t="s">
        <v>2496</v>
      </c>
      <c r="S417" s="1" t="s">
        <v>148</v>
      </c>
      <c r="T417" s="1">
        <v>1100098.0</v>
      </c>
      <c r="U417" s="1" t="s">
        <v>2306</v>
      </c>
      <c r="V417" s="1" t="s">
        <v>125</v>
      </c>
      <c r="W417" s="1" t="s">
        <v>100</v>
      </c>
      <c r="X417" s="1"/>
      <c r="Y417" s="1" t="str">
        <f>"02049000034202114"</f>
        <v>02049000034202114</v>
      </c>
      <c r="Z417" s="1" t="s">
        <v>223</v>
      </c>
      <c r="AA417" s="1" t="s">
        <v>2886</v>
      </c>
      <c r="AB417" s="1" t="str">
        <f>"25320332000184"</f>
        <v>25320332000184</v>
      </c>
      <c r="AC417" s="1"/>
      <c r="AD417" s="1"/>
      <c r="AE417" s="1"/>
      <c r="AF417" s="1">
        <v>-61.011944</v>
      </c>
      <c r="AG417" s="1">
        <v>-11.546111</v>
      </c>
      <c r="AH417" s="1" t="s">
        <v>2887</v>
      </c>
      <c r="AI417" s="1"/>
      <c r="AJ417" s="1" t="s">
        <v>1227</v>
      </c>
      <c r="AK417" s="1"/>
      <c r="AL417" s="1" t="s">
        <v>128</v>
      </c>
      <c r="AM417" s="1" t="s">
        <v>65</v>
      </c>
      <c r="AN417" s="1" t="s">
        <v>274</v>
      </c>
      <c r="AO417" s="2" t="s">
        <v>2407</v>
      </c>
      <c r="AP417" s="2" t="s">
        <v>2888</v>
      </c>
      <c r="AQ417" s="1" t="s">
        <v>132</v>
      </c>
      <c r="AR417" s="1" t="s">
        <v>247</v>
      </c>
      <c r="AS417" s="1" t="s">
        <v>2310</v>
      </c>
      <c r="AT417" s="2" t="s">
        <v>70</v>
      </c>
    </row>
    <row r="418">
      <c r="A418" s="1">
        <v>2043642.0</v>
      </c>
      <c r="B418" s="1" t="s">
        <v>116</v>
      </c>
      <c r="C418" s="1" t="s">
        <v>117</v>
      </c>
      <c r="D418" s="1" t="s">
        <v>46</v>
      </c>
      <c r="E418" s="1" t="s">
        <v>2889</v>
      </c>
      <c r="F418" s="1"/>
      <c r="G418" s="1" t="s">
        <v>119</v>
      </c>
      <c r="H418" s="1" t="s">
        <v>72</v>
      </c>
      <c r="I418" s="1">
        <v>3024.6</v>
      </c>
      <c r="J418" s="1"/>
      <c r="K418" s="1"/>
      <c r="L418" s="1" t="s">
        <v>120</v>
      </c>
      <c r="M418" s="1" t="s">
        <v>2890</v>
      </c>
      <c r="N418" s="1" t="s">
        <v>109</v>
      </c>
      <c r="O418" s="1" t="s">
        <v>110</v>
      </c>
      <c r="P418" s="2" t="s">
        <v>2880</v>
      </c>
      <c r="Q418" s="1" t="s">
        <v>77</v>
      </c>
      <c r="R418" s="2" t="s">
        <v>2803</v>
      </c>
      <c r="S418" s="1" t="s">
        <v>1349</v>
      </c>
      <c r="T418" s="1">
        <v>1500859.0</v>
      </c>
      <c r="U418" s="1" t="s">
        <v>1723</v>
      </c>
      <c r="V418" s="1" t="s">
        <v>917</v>
      </c>
      <c r="W418" s="1" t="s">
        <v>100</v>
      </c>
      <c r="X418" s="1"/>
      <c r="Y418" s="1" t="str">
        <f>"02001003542202192"</f>
        <v>02001003542202192</v>
      </c>
      <c r="Z418" s="1" t="s">
        <v>112</v>
      </c>
      <c r="AA418" s="1" t="s">
        <v>2891</v>
      </c>
      <c r="AB418" s="1" t="str">
        <f>"25362447000131"</f>
        <v>25362447000131</v>
      </c>
      <c r="AC418" s="1"/>
      <c r="AD418" s="1"/>
      <c r="AE418" s="1"/>
      <c r="AF418" s="1">
        <v>-51.204167</v>
      </c>
      <c r="AG418" s="1">
        <v>-3.465278</v>
      </c>
      <c r="AH418" s="1" t="s">
        <v>2892</v>
      </c>
      <c r="AI418" s="1"/>
      <c r="AJ418" s="1" t="s">
        <v>120</v>
      </c>
      <c r="AK418" s="1"/>
      <c r="AL418" s="1" t="s">
        <v>128</v>
      </c>
      <c r="AM418" s="1" t="s">
        <v>65</v>
      </c>
      <c r="AN418" s="1" t="s">
        <v>1726</v>
      </c>
      <c r="AO418" s="2" t="s">
        <v>1205</v>
      </c>
      <c r="AP418" s="2" t="s">
        <v>2893</v>
      </c>
      <c r="AQ418" s="1" t="s">
        <v>132</v>
      </c>
      <c r="AR418" s="1" t="s">
        <v>470</v>
      </c>
      <c r="AS418" s="1"/>
      <c r="AT418" s="2" t="s">
        <v>70</v>
      </c>
    </row>
    <row r="419">
      <c r="A419" s="1">
        <v>2043739.0</v>
      </c>
      <c r="B419" s="1" t="s">
        <v>116</v>
      </c>
      <c r="C419" s="1" t="s">
        <v>117</v>
      </c>
      <c r="D419" s="1" t="s">
        <v>46</v>
      </c>
      <c r="E419" s="1" t="s">
        <v>2894</v>
      </c>
      <c r="F419" s="1"/>
      <c r="G419" s="1" t="s">
        <v>119</v>
      </c>
      <c r="H419" s="1" t="s">
        <v>72</v>
      </c>
      <c r="I419" s="1">
        <v>23099.5</v>
      </c>
      <c r="J419" s="1"/>
      <c r="K419" s="1"/>
      <c r="L419" s="1" t="s">
        <v>175</v>
      </c>
      <c r="M419" s="1" t="s">
        <v>2895</v>
      </c>
      <c r="N419" s="1" t="s">
        <v>109</v>
      </c>
      <c r="O419" s="1" t="s">
        <v>110</v>
      </c>
      <c r="P419" s="2" t="s">
        <v>2880</v>
      </c>
      <c r="Q419" s="1" t="s">
        <v>56</v>
      </c>
      <c r="R419" s="1"/>
      <c r="S419" s="1" t="s">
        <v>220</v>
      </c>
      <c r="T419" s="1">
        <v>5203807.0</v>
      </c>
      <c r="U419" s="1" t="s">
        <v>948</v>
      </c>
      <c r="V419" s="1" t="s">
        <v>171</v>
      </c>
      <c r="W419" s="1" t="s">
        <v>172</v>
      </c>
      <c r="X419" s="1"/>
      <c r="Y419" s="1" t="str">
        <f>"02010000294202119"</f>
        <v>02010000294202119</v>
      </c>
      <c r="Z419" s="1" t="s">
        <v>112</v>
      </c>
      <c r="AA419" s="1" t="s">
        <v>949</v>
      </c>
      <c r="AB419" s="1" t="str">
        <f>"***930151**"</f>
        <v>***930151**</v>
      </c>
      <c r="AC419" s="1"/>
      <c r="AD419" s="1"/>
      <c r="AE419" s="1"/>
      <c r="AF419" s="1">
        <v>-51.172222</v>
      </c>
      <c r="AG419" s="1">
        <v>-15.256389</v>
      </c>
      <c r="AH419" s="1" t="s">
        <v>2896</v>
      </c>
      <c r="AI419" s="1"/>
      <c r="AJ419" s="1" t="s">
        <v>175</v>
      </c>
      <c r="AK419" s="1"/>
      <c r="AL419" s="1" t="s">
        <v>128</v>
      </c>
      <c r="AM419" s="1" t="s">
        <v>65</v>
      </c>
      <c r="AN419" s="1" t="s">
        <v>83</v>
      </c>
      <c r="AO419" s="2" t="s">
        <v>778</v>
      </c>
      <c r="AP419" s="2" t="s">
        <v>2897</v>
      </c>
      <c r="AQ419" s="1" t="s">
        <v>132</v>
      </c>
      <c r="AR419" s="1" t="s">
        <v>133</v>
      </c>
      <c r="AS419" s="1"/>
      <c r="AT419" s="2" t="s">
        <v>70</v>
      </c>
    </row>
    <row r="420">
      <c r="A420" s="1">
        <v>2043196.0</v>
      </c>
      <c r="B420" s="1" t="s">
        <v>116</v>
      </c>
      <c r="C420" s="1" t="s">
        <v>117</v>
      </c>
      <c r="D420" s="1" t="s">
        <v>46</v>
      </c>
      <c r="E420" s="1" t="s">
        <v>2898</v>
      </c>
      <c r="F420" s="1"/>
      <c r="G420" s="1" t="s">
        <v>119</v>
      </c>
      <c r="H420" s="1" t="s">
        <v>50</v>
      </c>
      <c r="I420" s="1">
        <v>2000.0</v>
      </c>
      <c r="J420" s="1"/>
      <c r="K420" s="1"/>
      <c r="L420" s="1" t="s">
        <v>295</v>
      </c>
      <c r="M420" s="1" t="s">
        <v>350</v>
      </c>
      <c r="N420" s="1" t="s">
        <v>186</v>
      </c>
      <c r="O420" s="1" t="s">
        <v>95</v>
      </c>
      <c r="P420" s="2" t="s">
        <v>2899</v>
      </c>
      <c r="Q420" s="1" t="s">
        <v>56</v>
      </c>
      <c r="R420" s="2" t="s">
        <v>2803</v>
      </c>
      <c r="S420" s="1" t="s">
        <v>288</v>
      </c>
      <c r="T420" s="1">
        <v>2207355.0</v>
      </c>
      <c r="U420" s="1" t="s">
        <v>2900</v>
      </c>
      <c r="V420" s="1" t="s">
        <v>290</v>
      </c>
      <c r="W420" s="1" t="s">
        <v>172</v>
      </c>
      <c r="X420" s="1"/>
      <c r="Y420" s="1" t="str">
        <f>"02020000213202161"</f>
        <v>02020000213202161</v>
      </c>
      <c r="Z420" s="1" t="s">
        <v>101</v>
      </c>
      <c r="AA420" s="1" t="s">
        <v>2901</v>
      </c>
      <c r="AB420" s="1" t="str">
        <f>"13556848000143"</f>
        <v>13556848000143</v>
      </c>
      <c r="AC420" s="1"/>
      <c r="AD420" s="1"/>
      <c r="AE420" s="1"/>
      <c r="AF420" s="1">
        <v>-42.783611</v>
      </c>
      <c r="AG420" s="1">
        <v>-5.064722</v>
      </c>
      <c r="AH420" s="1" t="s">
        <v>2902</v>
      </c>
      <c r="AI420" s="1"/>
      <c r="AJ420" s="1" t="s">
        <v>295</v>
      </c>
      <c r="AK420" s="1"/>
      <c r="AL420" s="1" t="s">
        <v>128</v>
      </c>
      <c r="AM420" s="1" t="s">
        <v>65</v>
      </c>
      <c r="AN420" s="1" t="s">
        <v>296</v>
      </c>
      <c r="AO420" s="2" t="s">
        <v>2903</v>
      </c>
      <c r="AP420" s="2" t="s">
        <v>2904</v>
      </c>
      <c r="AQ420" s="1" t="s">
        <v>132</v>
      </c>
      <c r="AR420" s="1" t="s">
        <v>531</v>
      </c>
      <c r="AS420" s="1"/>
      <c r="AT420" s="2" t="s">
        <v>70</v>
      </c>
    </row>
    <row r="421">
      <c r="A421" s="1">
        <v>2043204.0</v>
      </c>
      <c r="B421" s="1" t="s">
        <v>116</v>
      </c>
      <c r="C421" s="1" t="s">
        <v>117</v>
      </c>
      <c r="D421" s="1" t="s">
        <v>46</v>
      </c>
      <c r="E421" s="1" t="s">
        <v>2905</v>
      </c>
      <c r="F421" s="1"/>
      <c r="G421" s="1" t="s">
        <v>119</v>
      </c>
      <c r="H421" s="1" t="s">
        <v>50</v>
      </c>
      <c r="I421" s="1">
        <v>601000.0</v>
      </c>
      <c r="J421" s="1"/>
      <c r="K421" s="1"/>
      <c r="L421" s="1" t="s">
        <v>226</v>
      </c>
      <c r="M421" s="1" t="s">
        <v>2906</v>
      </c>
      <c r="N421" s="1" t="s">
        <v>53</v>
      </c>
      <c r="O421" s="1" t="s">
        <v>382</v>
      </c>
      <c r="P421" s="2" t="s">
        <v>2907</v>
      </c>
      <c r="Q421" s="1" t="s">
        <v>56</v>
      </c>
      <c r="R421" s="2" t="s">
        <v>2908</v>
      </c>
      <c r="S421" s="1" t="s">
        <v>220</v>
      </c>
      <c r="T421" s="1">
        <v>4209409.0</v>
      </c>
      <c r="U421" s="1" t="s">
        <v>2909</v>
      </c>
      <c r="V421" s="1" t="s">
        <v>222</v>
      </c>
      <c r="W421" s="1" t="s">
        <v>60</v>
      </c>
      <c r="X421" s="1" t="s">
        <v>2910</v>
      </c>
      <c r="Y421" s="1" t="str">
        <f>"02026000314202182"</f>
        <v>02026000314202182</v>
      </c>
      <c r="Z421" s="1" t="s">
        <v>384</v>
      </c>
      <c r="AA421" s="1" t="s">
        <v>2911</v>
      </c>
      <c r="AB421" s="1" t="str">
        <f>"88632575000178"</f>
        <v>88632575000178</v>
      </c>
      <c r="AC421" s="1"/>
      <c r="AD421" s="1"/>
      <c r="AE421" s="1"/>
      <c r="AF421" s="1">
        <v>-48.847806</v>
      </c>
      <c r="AG421" s="1">
        <v>-28.503778</v>
      </c>
      <c r="AH421" s="1" t="s">
        <v>2912</v>
      </c>
      <c r="AI421" s="1"/>
      <c r="AJ421" s="1" t="s">
        <v>226</v>
      </c>
      <c r="AK421" s="1"/>
      <c r="AL421" s="1" t="s">
        <v>128</v>
      </c>
      <c r="AM421" s="1" t="s">
        <v>65</v>
      </c>
      <c r="AN421" s="1" t="s">
        <v>227</v>
      </c>
      <c r="AO421" s="2" t="s">
        <v>2903</v>
      </c>
      <c r="AP421" s="2" t="s">
        <v>2913</v>
      </c>
      <c r="AQ421" s="1" t="s">
        <v>132</v>
      </c>
      <c r="AR421" s="1" t="s">
        <v>1088</v>
      </c>
      <c r="AS421" s="1" t="s">
        <v>2914</v>
      </c>
      <c r="AT421" s="2" t="s">
        <v>70</v>
      </c>
    </row>
    <row r="422">
      <c r="A422" s="1">
        <v>2043269.0</v>
      </c>
      <c r="B422" s="1" t="s">
        <v>116</v>
      </c>
      <c r="C422" s="1" t="s">
        <v>117</v>
      </c>
      <c r="D422" s="1" t="s">
        <v>46</v>
      </c>
      <c r="E422" s="1" t="s">
        <v>2915</v>
      </c>
      <c r="F422" s="1"/>
      <c r="G422" s="1" t="s">
        <v>119</v>
      </c>
      <c r="H422" s="1" t="s">
        <v>50</v>
      </c>
      <c r="I422" s="1">
        <v>500.0</v>
      </c>
      <c r="J422" s="1"/>
      <c r="K422" s="1"/>
      <c r="L422" s="1" t="s">
        <v>371</v>
      </c>
      <c r="M422" s="1" t="s">
        <v>2916</v>
      </c>
      <c r="N422" s="1" t="s">
        <v>257</v>
      </c>
      <c r="O422" s="1" t="s">
        <v>258</v>
      </c>
      <c r="P422" s="2" t="s">
        <v>2907</v>
      </c>
      <c r="Q422" s="1" t="s">
        <v>56</v>
      </c>
      <c r="R422" s="1"/>
      <c r="S422" s="1" t="s">
        <v>280</v>
      </c>
      <c r="T422" s="1">
        <v>3549805.0</v>
      </c>
      <c r="U422" s="1" t="s">
        <v>368</v>
      </c>
      <c r="V422" s="1" t="s">
        <v>139</v>
      </c>
      <c r="W422" s="1" t="s">
        <v>172</v>
      </c>
      <c r="X422" s="1"/>
      <c r="Y422" s="1"/>
      <c r="Z422" s="1" t="s">
        <v>260</v>
      </c>
      <c r="AA422" s="1" t="s">
        <v>2917</v>
      </c>
      <c r="AB422" s="1" t="str">
        <f>"***863925**"</f>
        <v>***863925**</v>
      </c>
      <c r="AC422" s="1"/>
      <c r="AD422" s="1"/>
      <c r="AE422" s="1"/>
      <c r="AF422" s="1">
        <v>-20.647417</v>
      </c>
      <c r="AG422" s="1">
        <v>-21.267972</v>
      </c>
      <c r="AH422" s="1" t="s">
        <v>370</v>
      </c>
      <c r="AI422" s="1"/>
      <c r="AJ422" s="1" t="s">
        <v>371</v>
      </c>
      <c r="AK422" s="1"/>
      <c r="AL422" s="1" t="s">
        <v>128</v>
      </c>
      <c r="AM422" s="1" t="s">
        <v>65</v>
      </c>
      <c r="AN422" s="1"/>
      <c r="AO422" s="2" t="s">
        <v>2918</v>
      </c>
      <c r="AP422" s="2" t="s">
        <v>2919</v>
      </c>
      <c r="AQ422" s="1" t="s">
        <v>132</v>
      </c>
      <c r="AR422" s="1" t="s">
        <v>1403</v>
      </c>
      <c r="AS422" s="1"/>
      <c r="AT422" s="2" t="s">
        <v>70</v>
      </c>
    </row>
    <row r="423">
      <c r="A423" s="1"/>
      <c r="B423" s="1" t="s">
        <v>46</v>
      </c>
      <c r="C423" s="1" t="s">
        <v>47</v>
      </c>
      <c r="D423" s="1"/>
      <c r="E423" s="1" t="s">
        <v>2920</v>
      </c>
      <c r="F423" s="1"/>
      <c r="G423" s="1" t="s">
        <v>49</v>
      </c>
      <c r="H423" s="1" t="s">
        <v>72</v>
      </c>
      <c r="I423" s="1">
        <v>17478.0</v>
      </c>
      <c r="J423" s="1"/>
      <c r="K423" s="1"/>
      <c r="L423" s="1"/>
      <c r="M423" s="1" t="s">
        <v>2921</v>
      </c>
      <c r="N423" s="1" t="s">
        <v>109</v>
      </c>
      <c r="O423" s="1" t="s">
        <v>110</v>
      </c>
      <c r="P423" s="2" t="s">
        <v>2922</v>
      </c>
      <c r="Q423" s="1" t="s">
        <v>56</v>
      </c>
      <c r="R423" s="1"/>
      <c r="S423" s="1" t="s">
        <v>97</v>
      </c>
      <c r="T423" s="1">
        <v>1301704.0</v>
      </c>
      <c r="U423" s="1" t="s">
        <v>98</v>
      </c>
      <c r="V423" s="1" t="s">
        <v>99</v>
      </c>
      <c r="W423" s="1" t="s">
        <v>100</v>
      </c>
      <c r="X423" s="1"/>
      <c r="Y423" s="1"/>
      <c r="Z423" s="1" t="s">
        <v>112</v>
      </c>
      <c r="AA423" s="1" t="s">
        <v>2923</v>
      </c>
      <c r="AB423" s="1" t="str">
        <f>"30202879000115"</f>
        <v>30202879000115</v>
      </c>
      <c r="AC423" s="1"/>
      <c r="AD423" s="1" t="s">
        <v>81</v>
      </c>
      <c r="AE423" s="1"/>
      <c r="AF423" s="1">
        <v>-63.033611</v>
      </c>
      <c r="AG423" s="1">
        <v>-7.519167</v>
      </c>
      <c r="AH423" s="1" t="s">
        <v>2924</v>
      </c>
      <c r="AI423" s="1"/>
      <c r="AJ423" s="1" t="s">
        <v>104</v>
      </c>
      <c r="AK423" s="1"/>
      <c r="AL423" s="1"/>
      <c r="AM423" s="1" t="s">
        <v>65</v>
      </c>
      <c r="AN423" s="1"/>
      <c r="AO423" s="1"/>
      <c r="AP423" s="2" t="s">
        <v>2925</v>
      </c>
      <c r="AQ423" s="1"/>
      <c r="AR423" s="1" t="s">
        <v>115</v>
      </c>
      <c r="AS423" s="1"/>
      <c r="AT423" s="2" t="s">
        <v>70</v>
      </c>
    </row>
    <row r="424">
      <c r="A424" s="1">
        <v>2043296.0</v>
      </c>
      <c r="B424" s="1" t="s">
        <v>116</v>
      </c>
      <c r="C424" s="1" t="s">
        <v>117</v>
      </c>
      <c r="D424" s="1" t="s">
        <v>46</v>
      </c>
      <c r="E424" s="1" t="s">
        <v>2926</v>
      </c>
      <c r="F424" s="1"/>
      <c r="G424" s="1" t="s">
        <v>119</v>
      </c>
      <c r="H424" s="1" t="s">
        <v>50</v>
      </c>
      <c r="I424" s="1">
        <v>2000.0</v>
      </c>
      <c r="J424" s="1"/>
      <c r="K424" s="1"/>
      <c r="L424" s="1" t="s">
        <v>1473</v>
      </c>
      <c r="M424" s="1" t="s">
        <v>2927</v>
      </c>
      <c r="N424" s="1" t="s">
        <v>53</v>
      </c>
      <c r="O424" s="1" t="s">
        <v>333</v>
      </c>
      <c r="P424" s="2" t="s">
        <v>2928</v>
      </c>
      <c r="Q424" s="1" t="s">
        <v>56</v>
      </c>
      <c r="R424" s="2" t="s">
        <v>2574</v>
      </c>
      <c r="S424" s="1" t="s">
        <v>1468</v>
      </c>
      <c r="T424" s="1">
        <v>5003207.0</v>
      </c>
      <c r="U424" s="1" t="s">
        <v>2929</v>
      </c>
      <c r="V424" s="1" t="s">
        <v>1470</v>
      </c>
      <c r="W424" s="1" t="s">
        <v>1658</v>
      </c>
      <c r="X424" s="1"/>
      <c r="Y424" s="1"/>
      <c r="Z424" s="1" t="s">
        <v>223</v>
      </c>
      <c r="AA424" s="1" t="s">
        <v>2930</v>
      </c>
      <c r="AB424" s="1" t="str">
        <f>"06116542000372"</f>
        <v>06116542000372</v>
      </c>
      <c r="AC424" s="1"/>
      <c r="AD424" s="1"/>
      <c r="AE424" s="1"/>
      <c r="AF424" s="1">
        <v>-57.031667</v>
      </c>
      <c r="AG424" s="1">
        <v>-19.576111</v>
      </c>
      <c r="AH424" s="1" t="s">
        <v>2931</v>
      </c>
      <c r="AI424" s="1"/>
      <c r="AJ424" s="1" t="s">
        <v>1473</v>
      </c>
      <c r="AK424" s="1"/>
      <c r="AL424" s="1" t="s">
        <v>128</v>
      </c>
      <c r="AM424" s="1" t="s">
        <v>65</v>
      </c>
      <c r="AN424" s="1"/>
      <c r="AO424" s="2" t="s">
        <v>2918</v>
      </c>
      <c r="AP424" s="2" t="s">
        <v>2932</v>
      </c>
      <c r="AQ424" s="1" t="s">
        <v>132</v>
      </c>
      <c r="AR424" s="1" t="s">
        <v>693</v>
      </c>
      <c r="AS424" s="1"/>
      <c r="AT424" s="2" t="s">
        <v>70</v>
      </c>
    </row>
    <row r="425">
      <c r="A425" s="1">
        <v>2043361.0</v>
      </c>
      <c r="B425" s="1" t="s">
        <v>116</v>
      </c>
      <c r="C425" s="1" t="s">
        <v>117</v>
      </c>
      <c r="D425" s="1" t="s">
        <v>46</v>
      </c>
      <c r="E425" s="1" t="s">
        <v>2933</v>
      </c>
      <c r="F425" s="1"/>
      <c r="G425" s="1" t="s">
        <v>119</v>
      </c>
      <c r="H425" s="1" t="s">
        <v>50</v>
      </c>
      <c r="I425" s="1">
        <v>161500.0</v>
      </c>
      <c r="J425" s="1"/>
      <c r="K425" s="1"/>
      <c r="L425" s="1" t="s">
        <v>1227</v>
      </c>
      <c r="M425" s="1" t="s">
        <v>2934</v>
      </c>
      <c r="N425" s="1" t="s">
        <v>53</v>
      </c>
      <c r="O425" s="1" t="s">
        <v>333</v>
      </c>
      <c r="P425" s="2" t="s">
        <v>2928</v>
      </c>
      <c r="Q425" s="1" t="s">
        <v>56</v>
      </c>
      <c r="R425" s="2" t="s">
        <v>2421</v>
      </c>
      <c r="S425" s="1" t="s">
        <v>148</v>
      </c>
      <c r="T425" s="1">
        <v>1100189.0</v>
      </c>
      <c r="U425" s="1" t="s">
        <v>2314</v>
      </c>
      <c r="V425" s="1" t="s">
        <v>125</v>
      </c>
      <c r="W425" s="1" t="s">
        <v>100</v>
      </c>
      <c r="X425" s="1"/>
      <c r="Y425" s="1" t="str">
        <f>"02049000036202103"</f>
        <v>02049000036202103</v>
      </c>
      <c r="Z425" s="1" t="s">
        <v>223</v>
      </c>
      <c r="AA425" s="1" t="s">
        <v>2935</v>
      </c>
      <c r="AB425" s="1" t="str">
        <f>"34455535000179"</f>
        <v>34455535000179</v>
      </c>
      <c r="AC425" s="1"/>
      <c r="AD425" s="1"/>
      <c r="AE425" s="1"/>
      <c r="AF425" s="1">
        <v>-61.168611</v>
      </c>
      <c r="AG425" s="1">
        <v>-11.703333</v>
      </c>
      <c r="AH425" s="1" t="s">
        <v>2936</v>
      </c>
      <c r="AI425" s="1"/>
      <c r="AJ425" s="1" t="s">
        <v>1227</v>
      </c>
      <c r="AK425" s="1"/>
      <c r="AL425" s="1" t="s">
        <v>128</v>
      </c>
      <c r="AM425" s="1" t="s">
        <v>65</v>
      </c>
      <c r="AN425" s="1" t="s">
        <v>274</v>
      </c>
      <c r="AO425" s="2" t="s">
        <v>2407</v>
      </c>
      <c r="AP425" s="2" t="s">
        <v>2937</v>
      </c>
      <c r="AQ425" s="1" t="s">
        <v>132</v>
      </c>
      <c r="AR425" s="1" t="s">
        <v>247</v>
      </c>
      <c r="AS425" s="1" t="s">
        <v>2310</v>
      </c>
      <c r="AT425" s="2" t="s">
        <v>70</v>
      </c>
    </row>
    <row r="426">
      <c r="A426" s="1"/>
      <c r="B426" s="1" t="s">
        <v>46</v>
      </c>
      <c r="C426" s="1" t="s">
        <v>47</v>
      </c>
      <c r="D426" s="1"/>
      <c r="E426" s="1" t="s">
        <v>2938</v>
      </c>
      <c r="F426" s="1"/>
      <c r="G426" s="1" t="s">
        <v>49</v>
      </c>
      <c r="H426" s="1" t="s">
        <v>72</v>
      </c>
      <c r="I426" s="1">
        <v>110500.0</v>
      </c>
      <c r="J426" s="1"/>
      <c r="K426" s="1"/>
      <c r="L426" s="1"/>
      <c r="M426" s="1" t="s">
        <v>2939</v>
      </c>
      <c r="N426" s="1" t="s">
        <v>301</v>
      </c>
      <c r="O426" s="1" t="s">
        <v>302</v>
      </c>
      <c r="P426" s="2" t="s">
        <v>2940</v>
      </c>
      <c r="Q426" s="1" t="s">
        <v>137</v>
      </c>
      <c r="R426" s="1"/>
      <c r="S426" s="1" t="s">
        <v>1349</v>
      </c>
      <c r="T426" s="1">
        <v>1500859.0</v>
      </c>
      <c r="U426" s="1" t="s">
        <v>1723</v>
      </c>
      <c r="V426" s="1" t="s">
        <v>917</v>
      </c>
      <c r="W426" s="1" t="s">
        <v>100</v>
      </c>
      <c r="X426" s="1"/>
      <c r="Y426" s="1"/>
      <c r="Z426" s="1" t="s">
        <v>306</v>
      </c>
      <c r="AA426" s="1" t="s">
        <v>2891</v>
      </c>
      <c r="AB426" s="1" t="str">
        <f>"25362447000131"</f>
        <v>25362447000131</v>
      </c>
      <c r="AC426" s="1"/>
      <c r="AD426" s="1" t="s">
        <v>62</v>
      </c>
      <c r="AE426" s="1"/>
      <c r="AF426" s="1">
        <v>-51.21</v>
      </c>
      <c r="AG426" s="1">
        <v>-3.471389</v>
      </c>
      <c r="AH426" s="1" t="s">
        <v>2941</v>
      </c>
      <c r="AI426" s="1"/>
      <c r="AJ426" s="1" t="s">
        <v>1763</v>
      </c>
      <c r="AK426" s="1"/>
      <c r="AL426" s="1"/>
      <c r="AM426" s="1" t="s">
        <v>65</v>
      </c>
      <c r="AN426" s="1" t="s">
        <v>1726</v>
      </c>
      <c r="AO426" s="1"/>
      <c r="AP426" s="2" t="s">
        <v>2942</v>
      </c>
      <c r="AQ426" s="1"/>
      <c r="AR426" s="1" t="s">
        <v>746</v>
      </c>
      <c r="AS426" s="1" t="s">
        <v>2943</v>
      </c>
      <c r="AT426" s="2" t="s">
        <v>70</v>
      </c>
    </row>
    <row r="427">
      <c r="A427" s="1"/>
      <c r="B427" s="1" t="s">
        <v>46</v>
      </c>
      <c r="C427" s="1" t="s">
        <v>47</v>
      </c>
      <c r="D427" s="1"/>
      <c r="E427" s="1" t="s">
        <v>2944</v>
      </c>
      <c r="F427" s="1"/>
      <c r="G427" s="1" t="s">
        <v>49</v>
      </c>
      <c r="H427" s="1" t="s">
        <v>50</v>
      </c>
      <c r="I427" s="1">
        <v>52500.0</v>
      </c>
      <c r="J427" s="1"/>
      <c r="K427" s="1" t="s">
        <v>51</v>
      </c>
      <c r="L427" s="1"/>
      <c r="M427" s="1" t="s">
        <v>2945</v>
      </c>
      <c r="N427" s="1" t="s">
        <v>53</v>
      </c>
      <c r="O427" s="1" t="s">
        <v>333</v>
      </c>
      <c r="P427" s="2" t="s">
        <v>2946</v>
      </c>
      <c r="Q427" s="1" t="s">
        <v>56</v>
      </c>
      <c r="R427" s="1"/>
      <c r="S427" s="1" t="s">
        <v>123</v>
      </c>
      <c r="T427" s="1">
        <v>1100098.0</v>
      </c>
      <c r="U427" s="1" t="s">
        <v>335</v>
      </c>
      <c r="V427" s="1" t="s">
        <v>125</v>
      </c>
      <c r="W427" s="1" t="s">
        <v>100</v>
      </c>
      <c r="X427" s="1"/>
      <c r="Y427" s="1"/>
      <c r="Z427" s="1" t="s">
        <v>223</v>
      </c>
      <c r="AA427" s="1" t="s">
        <v>336</v>
      </c>
      <c r="AB427" s="1" t="str">
        <f>"15235515000148"</f>
        <v>15235515000148</v>
      </c>
      <c r="AC427" s="1"/>
      <c r="AD427" s="1" t="s">
        <v>81</v>
      </c>
      <c r="AE427" s="1"/>
      <c r="AF427" s="1">
        <v>-61.004167</v>
      </c>
      <c r="AG427" s="1">
        <v>-11.532222</v>
      </c>
      <c r="AH427" s="1" t="s">
        <v>2947</v>
      </c>
      <c r="AI427" s="1"/>
      <c r="AJ427" s="1" t="s">
        <v>1227</v>
      </c>
      <c r="AK427" s="1"/>
      <c r="AL427" s="1"/>
      <c r="AM427" s="1" t="s">
        <v>65</v>
      </c>
      <c r="AN427" s="1" t="s">
        <v>274</v>
      </c>
      <c r="AO427" s="1"/>
      <c r="AP427" s="2" t="s">
        <v>2948</v>
      </c>
      <c r="AQ427" s="1"/>
      <c r="AR427" s="1" t="s">
        <v>106</v>
      </c>
      <c r="AS427" s="1" t="s">
        <v>2310</v>
      </c>
      <c r="AT427" s="2" t="s">
        <v>70</v>
      </c>
    </row>
    <row r="428">
      <c r="A428" s="1">
        <v>2043297.0</v>
      </c>
      <c r="B428" s="1" t="s">
        <v>116</v>
      </c>
      <c r="C428" s="1" t="s">
        <v>117</v>
      </c>
      <c r="D428" s="1" t="s">
        <v>46</v>
      </c>
      <c r="E428" s="1" t="s">
        <v>2949</v>
      </c>
      <c r="F428" s="1"/>
      <c r="G428" s="1" t="s">
        <v>119</v>
      </c>
      <c r="H428" s="1" t="s">
        <v>50</v>
      </c>
      <c r="I428" s="1">
        <v>2000.0</v>
      </c>
      <c r="J428" s="1"/>
      <c r="K428" s="1"/>
      <c r="L428" s="1" t="s">
        <v>1473</v>
      </c>
      <c r="M428" s="1" t="s">
        <v>2950</v>
      </c>
      <c r="N428" s="1" t="s">
        <v>53</v>
      </c>
      <c r="O428" s="1" t="s">
        <v>333</v>
      </c>
      <c r="P428" s="2" t="s">
        <v>2951</v>
      </c>
      <c r="Q428" s="1" t="s">
        <v>56</v>
      </c>
      <c r="R428" s="2" t="s">
        <v>2574</v>
      </c>
      <c r="S428" s="1" t="s">
        <v>1468</v>
      </c>
      <c r="T428" s="1">
        <v>5003207.0</v>
      </c>
      <c r="U428" s="1" t="s">
        <v>2929</v>
      </c>
      <c r="V428" s="1" t="s">
        <v>1470</v>
      </c>
      <c r="W428" s="1" t="s">
        <v>1658</v>
      </c>
      <c r="X428" s="1"/>
      <c r="Y428" s="1"/>
      <c r="Z428" s="1" t="s">
        <v>223</v>
      </c>
      <c r="AA428" s="1" t="s">
        <v>2930</v>
      </c>
      <c r="AB428" s="1" t="str">
        <f>"06116542000291"</f>
        <v>06116542000291</v>
      </c>
      <c r="AC428" s="1"/>
      <c r="AD428" s="1"/>
      <c r="AE428" s="1"/>
      <c r="AF428" s="1">
        <v>-57.035</v>
      </c>
      <c r="AG428" s="1">
        <v>-19.576389</v>
      </c>
      <c r="AH428" s="1" t="s">
        <v>2952</v>
      </c>
      <c r="AI428" s="1"/>
      <c r="AJ428" s="1" t="s">
        <v>1473</v>
      </c>
      <c r="AK428" s="1"/>
      <c r="AL428" s="1" t="s">
        <v>128</v>
      </c>
      <c r="AM428" s="1" t="s">
        <v>65</v>
      </c>
      <c r="AN428" s="1"/>
      <c r="AO428" s="2" t="s">
        <v>2918</v>
      </c>
      <c r="AP428" s="2" t="s">
        <v>2953</v>
      </c>
      <c r="AQ428" s="1" t="s">
        <v>132</v>
      </c>
      <c r="AR428" s="1" t="s">
        <v>693</v>
      </c>
      <c r="AS428" s="1"/>
      <c r="AT428" s="2" t="s">
        <v>70</v>
      </c>
    </row>
    <row r="429">
      <c r="A429" s="1">
        <v>2043330.0</v>
      </c>
      <c r="B429" s="1" t="s">
        <v>116</v>
      </c>
      <c r="C429" s="1" t="s">
        <v>117</v>
      </c>
      <c r="D429" s="1" t="s">
        <v>46</v>
      </c>
      <c r="E429" s="1" t="s">
        <v>2954</v>
      </c>
      <c r="F429" s="1"/>
      <c r="G429" s="1" t="s">
        <v>119</v>
      </c>
      <c r="H429" s="1" t="s">
        <v>50</v>
      </c>
      <c r="I429" s="1">
        <v>52500.0</v>
      </c>
      <c r="J429" s="1"/>
      <c r="K429" s="1"/>
      <c r="L429" s="1" t="s">
        <v>1227</v>
      </c>
      <c r="M429" s="1" t="s">
        <v>2955</v>
      </c>
      <c r="N429" s="1" t="s">
        <v>53</v>
      </c>
      <c r="O429" s="1" t="s">
        <v>333</v>
      </c>
      <c r="P429" s="2" t="s">
        <v>2951</v>
      </c>
      <c r="Q429" s="1" t="s">
        <v>56</v>
      </c>
      <c r="R429" s="1"/>
      <c r="S429" s="1" t="s">
        <v>148</v>
      </c>
      <c r="T429" s="1">
        <v>1100098.0</v>
      </c>
      <c r="U429" s="1" t="s">
        <v>2306</v>
      </c>
      <c r="V429" s="1" t="s">
        <v>125</v>
      </c>
      <c r="W429" s="1" t="s">
        <v>100</v>
      </c>
      <c r="X429" s="1"/>
      <c r="Y429" s="1" t="str">
        <f>"02049000028202159"</f>
        <v>02049000028202159</v>
      </c>
      <c r="Z429" s="1" t="s">
        <v>223</v>
      </c>
      <c r="AA429" s="1" t="s">
        <v>2956</v>
      </c>
      <c r="AB429" s="1" t="str">
        <f>"10957111000144"</f>
        <v>10957111000144</v>
      </c>
      <c r="AC429" s="1"/>
      <c r="AD429" s="1"/>
      <c r="AE429" s="1"/>
      <c r="AF429" s="1">
        <v>-61.039167</v>
      </c>
      <c r="AG429" s="1">
        <v>-11.503056</v>
      </c>
      <c r="AH429" s="1" t="s">
        <v>2957</v>
      </c>
      <c r="AI429" s="1"/>
      <c r="AJ429" s="1" t="s">
        <v>1227</v>
      </c>
      <c r="AK429" s="1"/>
      <c r="AL429" s="1" t="s">
        <v>128</v>
      </c>
      <c r="AM429" s="1" t="s">
        <v>65</v>
      </c>
      <c r="AN429" s="1" t="s">
        <v>274</v>
      </c>
      <c r="AO429" s="2" t="s">
        <v>2407</v>
      </c>
      <c r="AP429" s="2" t="s">
        <v>2958</v>
      </c>
      <c r="AQ429" s="1" t="s">
        <v>132</v>
      </c>
      <c r="AR429" s="1" t="s">
        <v>247</v>
      </c>
      <c r="AS429" s="1" t="s">
        <v>2959</v>
      </c>
      <c r="AT429" s="2" t="s">
        <v>70</v>
      </c>
    </row>
    <row r="430">
      <c r="A430" s="1">
        <v>2043331.0</v>
      </c>
      <c r="B430" s="1" t="s">
        <v>116</v>
      </c>
      <c r="C430" s="1" t="s">
        <v>117</v>
      </c>
      <c r="D430" s="1" t="s">
        <v>46</v>
      </c>
      <c r="E430" s="1" t="s">
        <v>2960</v>
      </c>
      <c r="F430" s="1"/>
      <c r="G430" s="1" t="s">
        <v>119</v>
      </c>
      <c r="H430" s="1" t="s">
        <v>50</v>
      </c>
      <c r="I430" s="1">
        <v>52500.0</v>
      </c>
      <c r="J430" s="1"/>
      <c r="K430" s="1"/>
      <c r="L430" s="1" t="s">
        <v>1227</v>
      </c>
      <c r="M430" s="1" t="s">
        <v>2961</v>
      </c>
      <c r="N430" s="1" t="s">
        <v>53</v>
      </c>
      <c r="O430" s="1" t="s">
        <v>333</v>
      </c>
      <c r="P430" s="2" t="s">
        <v>2951</v>
      </c>
      <c r="Q430" s="1" t="s">
        <v>56</v>
      </c>
      <c r="R430" s="2" t="s">
        <v>2756</v>
      </c>
      <c r="S430" s="1" t="s">
        <v>123</v>
      </c>
      <c r="T430" s="1">
        <v>1100098.0</v>
      </c>
      <c r="U430" s="1" t="s">
        <v>2306</v>
      </c>
      <c r="V430" s="1" t="s">
        <v>125</v>
      </c>
      <c r="W430" s="1" t="s">
        <v>100</v>
      </c>
      <c r="X430" s="1"/>
      <c r="Y430" s="1" t="str">
        <f>"02049000029202101"</f>
        <v>02049000029202101</v>
      </c>
      <c r="Z430" s="1" t="s">
        <v>223</v>
      </c>
      <c r="AA430" s="1" t="s">
        <v>2962</v>
      </c>
      <c r="AB430" s="1" t="str">
        <f>"08441340000160"</f>
        <v>08441340000160</v>
      </c>
      <c r="AC430" s="1"/>
      <c r="AD430" s="1"/>
      <c r="AE430" s="1"/>
      <c r="AF430" s="1">
        <v>-60.9425</v>
      </c>
      <c r="AG430" s="1">
        <v>-11.436667</v>
      </c>
      <c r="AH430" s="1" t="s">
        <v>2963</v>
      </c>
      <c r="AI430" s="1"/>
      <c r="AJ430" s="1" t="s">
        <v>1227</v>
      </c>
      <c r="AK430" s="1"/>
      <c r="AL430" s="1" t="s">
        <v>128</v>
      </c>
      <c r="AM430" s="1" t="s">
        <v>65</v>
      </c>
      <c r="AN430" s="1" t="s">
        <v>274</v>
      </c>
      <c r="AO430" s="2" t="s">
        <v>2407</v>
      </c>
      <c r="AP430" s="2" t="s">
        <v>2964</v>
      </c>
      <c r="AQ430" s="1" t="s">
        <v>132</v>
      </c>
      <c r="AR430" s="1" t="s">
        <v>247</v>
      </c>
      <c r="AS430" s="1" t="s">
        <v>2310</v>
      </c>
      <c r="AT430" s="2" t="s">
        <v>70</v>
      </c>
    </row>
    <row r="431">
      <c r="A431" s="1"/>
      <c r="B431" s="1" t="s">
        <v>46</v>
      </c>
      <c r="C431" s="1" t="s">
        <v>571</v>
      </c>
      <c r="D431" s="1" t="s">
        <v>116</v>
      </c>
      <c r="E431" s="1" t="s">
        <v>2965</v>
      </c>
      <c r="F431" s="1"/>
      <c r="G431" s="1" t="s">
        <v>49</v>
      </c>
      <c r="H431" s="1" t="s">
        <v>50</v>
      </c>
      <c r="I431" s="1">
        <v>52500.0</v>
      </c>
      <c r="J431" s="1"/>
      <c r="K431" s="1" t="s">
        <v>51</v>
      </c>
      <c r="L431" s="1"/>
      <c r="M431" s="1"/>
      <c r="N431" s="1" t="s">
        <v>53</v>
      </c>
      <c r="O431" s="1" t="s">
        <v>333</v>
      </c>
      <c r="P431" s="2" t="s">
        <v>2966</v>
      </c>
      <c r="Q431" s="1" t="s">
        <v>56</v>
      </c>
      <c r="R431" s="1"/>
      <c r="S431" s="1" t="s">
        <v>123</v>
      </c>
      <c r="T431" s="1">
        <v>1100098.0</v>
      </c>
      <c r="U431" s="1" t="s">
        <v>335</v>
      </c>
      <c r="V431" s="1" t="s">
        <v>125</v>
      </c>
      <c r="W431" s="1" t="s">
        <v>100</v>
      </c>
      <c r="X431" s="1"/>
      <c r="Y431" s="1"/>
      <c r="Z431" s="1" t="s">
        <v>223</v>
      </c>
      <c r="AA431" s="1" t="s">
        <v>2956</v>
      </c>
      <c r="AB431" s="1" t="str">
        <f>"10957111000144"</f>
        <v>10957111000144</v>
      </c>
      <c r="AC431" s="1"/>
      <c r="AD431" s="1" t="s">
        <v>81</v>
      </c>
      <c r="AE431" s="1"/>
      <c r="AF431" s="1">
        <v>-61.039167</v>
      </c>
      <c r="AG431" s="1">
        <v>-11.503056</v>
      </c>
      <c r="AH431" s="1" t="s">
        <v>2957</v>
      </c>
      <c r="AI431" s="1"/>
      <c r="AJ431" s="1" t="s">
        <v>1227</v>
      </c>
      <c r="AK431" s="1"/>
      <c r="AL431" s="1"/>
      <c r="AM431" s="1" t="s">
        <v>65</v>
      </c>
      <c r="AN431" s="1" t="s">
        <v>274</v>
      </c>
      <c r="AO431" s="1"/>
      <c r="AP431" s="2" t="s">
        <v>2967</v>
      </c>
      <c r="AQ431" s="1"/>
      <c r="AR431" s="1" t="s">
        <v>106</v>
      </c>
      <c r="AS431" s="1" t="s">
        <v>2310</v>
      </c>
      <c r="AT431" s="2" t="s">
        <v>70</v>
      </c>
    </row>
    <row r="432">
      <c r="A432" s="1"/>
      <c r="B432" s="1" t="s">
        <v>46</v>
      </c>
      <c r="C432" s="1" t="s">
        <v>47</v>
      </c>
      <c r="D432" s="1"/>
      <c r="E432" s="1" t="s">
        <v>2968</v>
      </c>
      <c r="F432" s="1"/>
      <c r="G432" s="1" t="s">
        <v>49</v>
      </c>
      <c r="H432" s="1" t="s">
        <v>72</v>
      </c>
      <c r="I432" s="1">
        <v>17478.0</v>
      </c>
      <c r="J432" s="1"/>
      <c r="K432" s="1"/>
      <c r="L432" s="1"/>
      <c r="M432" s="1" t="s">
        <v>2969</v>
      </c>
      <c r="N432" s="1" t="s">
        <v>109</v>
      </c>
      <c r="O432" s="1" t="s">
        <v>110</v>
      </c>
      <c r="P432" s="2" t="s">
        <v>2970</v>
      </c>
      <c r="Q432" s="1" t="s">
        <v>56</v>
      </c>
      <c r="R432" s="1"/>
      <c r="S432" s="1" t="s">
        <v>97</v>
      </c>
      <c r="T432" s="1">
        <v>1301704.0</v>
      </c>
      <c r="U432" s="1" t="s">
        <v>98</v>
      </c>
      <c r="V432" s="1" t="s">
        <v>99</v>
      </c>
      <c r="W432" s="1" t="s">
        <v>100</v>
      </c>
      <c r="X432" s="1"/>
      <c r="Y432" s="1"/>
      <c r="Z432" s="1" t="s">
        <v>112</v>
      </c>
      <c r="AA432" s="1" t="s">
        <v>2971</v>
      </c>
      <c r="AB432" s="1" t="str">
        <f>"***776272**"</f>
        <v>***776272**</v>
      </c>
      <c r="AC432" s="1"/>
      <c r="AD432" s="1" t="s">
        <v>81</v>
      </c>
      <c r="AE432" s="1"/>
      <c r="AF432" s="1">
        <v>-63.033611</v>
      </c>
      <c r="AG432" s="1">
        <v>-7.519167</v>
      </c>
      <c r="AH432" s="1" t="s">
        <v>2924</v>
      </c>
      <c r="AI432" s="1"/>
      <c r="AJ432" s="1" t="s">
        <v>104</v>
      </c>
      <c r="AK432" s="1"/>
      <c r="AL432" s="1"/>
      <c r="AM432" s="1" t="s">
        <v>65</v>
      </c>
      <c r="AN432" s="1"/>
      <c r="AO432" s="1"/>
      <c r="AP432" s="2" t="s">
        <v>2972</v>
      </c>
      <c r="AQ432" s="1"/>
      <c r="AR432" s="1" t="s">
        <v>115</v>
      </c>
      <c r="AS432" s="1"/>
      <c r="AT432" s="2" t="s">
        <v>70</v>
      </c>
    </row>
    <row r="433">
      <c r="A433" s="1">
        <v>2043332.0</v>
      </c>
      <c r="B433" s="1" t="s">
        <v>116</v>
      </c>
      <c r="C433" s="1" t="s">
        <v>117</v>
      </c>
      <c r="D433" s="1" t="s">
        <v>46</v>
      </c>
      <c r="E433" s="1" t="s">
        <v>2973</v>
      </c>
      <c r="F433" s="1"/>
      <c r="G433" s="1" t="s">
        <v>119</v>
      </c>
      <c r="H433" s="1" t="s">
        <v>50</v>
      </c>
      <c r="I433" s="1">
        <v>161500.0</v>
      </c>
      <c r="J433" s="1"/>
      <c r="K433" s="1"/>
      <c r="L433" s="1" t="s">
        <v>1227</v>
      </c>
      <c r="M433" s="1" t="s">
        <v>2974</v>
      </c>
      <c r="N433" s="1" t="s">
        <v>53</v>
      </c>
      <c r="O433" s="1" t="s">
        <v>333</v>
      </c>
      <c r="P433" s="2" t="s">
        <v>2975</v>
      </c>
      <c r="Q433" s="1" t="s">
        <v>56</v>
      </c>
      <c r="R433" s="2" t="s">
        <v>2756</v>
      </c>
      <c r="S433" s="1" t="s">
        <v>148</v>
      </c>
      <c r="T433" s="1">
        <v>1100098.0</v>
      </c>
      <c r="U433" s="1" t="s">
        <v>2306</v>
      </c>
      <c r="V433" s="1" t="s">
        <v>125</v>
      </c>
      <c r="W433" s="1" t="s">
        <v>100</v>
      </c>
      <c r="X433" s="1"/>
      <c r="Y433" s="1" t="str">
        <f>"02049000030202128"</f>
        <v>02049000030202128</v>
      </c>
      <c r="Z433" s="1" t="s">
        <v>223</v>
      </c>
      <c r="AA433" s="1" t="s">
        <v>2976</v>
      </c>
      <c r="AB433" s="1" t="str">
        <f>"23861242000175"</f>
        <v>23861242000175</v>
      </c>
      <c r="AC433" s="1"/>
      <c r="AD433" s="1"/>
      <c r="AE433" s="1"/>
      <c r="AF433" s="1">
        <v>-60.945</v>
      </c>
      <c r="AG433" s="1">
        <v>-11.440278</v>
      </c>
      <c r="AH433" s="1" t="s">
        <v>2977</v>
      </c>
      <c r="AI433" s="1"/>
      <c r="AJ433" s="1" t="s">
        <v>1227</v>
      </c>
      <c r="AK433" s="1"/>
      <c r="AL433" s="1" t="s">
        <v>128</v>
      </c>
      <c r="AM433" s="1" t="s">
        <v>65</v>
      </c>
      <c r="AN433" s="1" t="s">
        <v>274</v>
      </c>
      <c r="AO433" s="2" t="s">
        <v>2407</v>
      </c>
      <c r="AP433" s="2" t="s">
        <v>2978</v>
      </c>
      <c r="AQ433" s="1" t="s">
        <v>132</v>
      </c>
      <c r="AR433" s="1" t="s">
        <v>247</v>
      </c>
      <c r="AS433" s="1" t="s">
        <v>2310</v>
      </c>
      <c r="AT433" s="2" t="s">
        <v>70</v>
      </c>
    </row>
    <row r="434">
      <c r="A434" s="1">
        <v>2043333.0</v>
      </c>
      <c r="B434" s="1" t="s">
        <v>116</v>
      </c>
      <c r="C434" s="1" t="s">
        <v>117</v>
      </c>
      <c r="D434" s="1" t="s">
        <v>46</v>
      </c>
      <c r="E434" s="1" t="s">
        <v>2979</v>
      </c>
      <c r="F434" s="1"/>
      <c r="G434" s="1" t="s">
        <v>119</v>
      </c>
      <c r="H434" s="1" t="s">
        <v>50</v>
      </c>
      <c r="I434" s="1">
        <v>52500.0</v>
      </c>
      <c r="J434" s="1"/>
      <c r="K434" s="1"/>
      <c r="L434" s="1" t="s">
        <v>1227</v>
      </c>
      <c r="M434" s="1" t="s">
        <v>2980</v>
      </c>
      <c r="N434" s="1" t="s">
        <v>53</v>
      </c>
      <c r="O434" s="1" t="s">
        <v>333</v>
      </c>
      <c r="P434" s="2" t="s">
        <v>2975</v>
      </c>
      <c r="Q434" s="1" t="s">
        <v>56</v>
      </c>
      <c r="R434" s="1"/>
      <c r="S434" s="1" t="s">
        <v>123</v>
      </c>
      <c r="T434" s="1">
        <v>1100189.0</v>
      </c>
      <c r="U434" s="1" t="s">
        <v>2314</v>
      </c>
      <c r="V434" s="1" t="s">
        <v>125</v>
      </c>
      <c r="W434" s="1" t="s">
        <v>100</v>
      </c>
      <c r="X434" s="1"/>
      <c r="Y434" s="1" t="str">
        <f>"02049000031202172"</f>
        <v>02049000031202172</v>
      </c>
      <c r="Z434" s="1" t="s">
        <v>223</v>
      </c>
      <c r="AA434" s="1" t="s">
        <v>2981</v>
      </c>
      <c r="AB434" s="1" t="str">
        <f>"11844052000160"</f>
        <v>11844052000160</v>
      </c>
      <c r="AC434" s="1"/>
      <c r="AD434" s="1"/>
      <c r="AE434" s="1"/>
      <c r="AF434" s="1">
        <v>-61.193611</v>
      </c>
      <c r="AG434" s="1">
        <v>-11.627778</v>
      </c>
      <c r="AH434" s="1" t="s">
        <v>2982</v>
      </c>
      <c r="AI434" s="1"/>
      <c r="AJ434" s="1" t="s">
        <v>1227</v>
      </c>
      <c r="AK434" s="1"/>
      <c r="AL434" s="1" t="s">
        <v>128</v>
      </c>
      <c r="AM434" s="1" t="s">
        <v>65</v>
      </c>
      <c r="AN434" s="1" t="s">
        <v>274</v>
      </c>
      <c r="AO434" s="2" t="s">
        <v>2407</v>
      </c>
      <c r="AP434" s="2" t="s">
        <v>2983</v>
      </c>
      <c r="AQ434" s="1" t="s">
        <v>132</v>
      </c>
      <c r="AR434" s="1" t="s">
        <v>247</v>
      </c>
      <c r="AS434" s="1" t="s">
        <v>2310</v>
      </c>
      <c r="AT434" s="2" t="s">
        <v>70</v>
      </c>
    </row>
    <row r="435">
      <c r="A435" s="1">
        <v>2043335.0</v>
      </c>
      <c r="B435" s="1" t="s">
        <v>116</v>
      </c>
      <c r="C435" s="1" t="s">
        <v>117</v>
      </c>
      <c r="D435" s="1" t="s">
        <v>46</v>
      </c>
      <c r="E435" s="1" t="s">
        <v>2984</v>
      </c>
      <c r="F435" s="1"/>
      <c r="G435" s="1" t="s">
        <v>119</v>
      </c>
      <c r="H435" s="1" t="s">
        <v>50</v>
      </c>
      <c r="I435" s="1">
        <v>52500.0</v>
      </c>
      <c r="J435" s="1"/>
      <c r="K435" s="1"/>
      <c r="L435" s="1" t="s">
        <v>1227</v>
      </c>
      <c r="M435" s="1" t="s">
        <v>2985</v>
      </c>
      <c r="N435" s="1" t="s">
        <v>53</v>
      </c>
      <c r="O435" s="1" t="s">
        <v>333</v>
      </c>
      <c r="P435" s="2" t="s">
        <v>2975</v>
      </c>
      <c r="Q435" s="1" t="s">
        <v>56</v>
      </c>
      <c r="R435" s="1"/>
      <c r="S435" s="1" t="s">
        <v>148</v>
      </c>
      <c r="T435" s="1">
        <v>1100098.0</v>
      </c>
      <c r="U435" s="1" t="s">
        <v>2306</v>
      </c>
      <c r="V435" s="1" t="s">
        <v>125</v>
      </c>
      <c r="W435" s="1" t="s">
        <v>100</v>
      </c>
      <c r="X435" s="1"/>
      <c r="Y435" s="1" t="str">
        <f>"02049000033202161"</f>
        <v>02049000033202161</v>
      </c>
      <c r="Z435" s="1" t="s">
        <v>223</v>
      </c>
      <c r="AA435" s="1" t="s">
        <v>393</v>
      </c>
      <c r="AB435" s="1" t="str">
        <f>"09458680000166"</f>
        <v>09458680000166</v>
      </c>
      <c r="AC435" s="1"/>
      <c r="AD435" s="1"/>
      <c r="AE435" s="1"/>
      <c r="AF435" s="1">
        <v>-61.028611</v>
      </c>
      <c r="AG435" s="1">
        <v>-11.546389</v>
      </c>
      <c r="AH435" s="1" t="s">
        <v>2986</v>
      </c>
      <c r="AI435" s="1"/>
      <c r="AJ435" s="1" t="s">
        <v>1227</v>
      </c>
      <c r="AK435" s="1"/>
      <c r="AL435" s="1" t="s">
        <v>128</v>
      </c>
      <c r="AM435" s="1" t="s">
        <v>65</v>
      </c>
      <c r="AN435" s="1" t="s">
        <v>274</v>
      </c>
      <c r="AO435" s="2" t="s">
        <v>2407</v>
      </c>
      <c r="AP435" s="2" t="s">
        <v>2987</v>
      </c>
      <c r="AQ435" s="1" t="s">
        <v>132</v>
      </c>
      <c r="AR435" s="1" t="s">
        <v>247</v>
      </c>
      <c r="AS435" s="1" t="s">
        <v>2310</v>
      </c>
      <c r="AT435" s="2" t="s">
        <v>70</v>
      </c>
    </row>
    <row r="436">
      <c r="A436" s="1">
        <v>2043338.0</v>
      </c>
      <c r="B436" s="1" t="s">
        <v>116</v>
      </c>
      <c r="C436" s="1" t="s">
        <v>117</v>
      </c>
      <c r="D436" s="1" t="s">
        <v>46</v>
      </c>
      <c r="E436" s="1" t="s">
        <v>2988</v>
      </c>
      <c r="F436" s="1"/>
      <c r="G436" s="1" t="s">
        <v>119</v>
      </c>
      <c r="H436" s="1" t="s">
        <v>50</v>
      </c>
      <c r="I436" s="1">
        <v>161500.0</v>
      </c>
      <c r="J436" s="1"/>
      <c r="K436" s="1"/>
      <c r="L436" s="1" t="s">
        <v>1227</v>
      </c>
      <c r="M436" s="1" t="s">
        <v>2961</v>
      </c>
      <c r="N436" s="1" t="s">
        <v>53</v>
      </c>
      <c r="O436" s="1" t="s">
        <v>333</v>
      </c>
      <c r="P436" s="2" t="s">
        <v>2975</v>
      </c>
      <c r="Q436" s="1" t="s">
        <v>56</v>
      </c>
      <c r="R436" s="1"/>
      <c r="S436" s="1" t="s">
        <v>123</v>
      </c>
      <c r="T436" s="1">
        <v>1100098.0</v>
      </c>
      <c r="U436" s="1" t="s">
        <v>2306</v>
      </c>
      <c r="V436" s="1" t="s">
        <v>125</v>
      </c>
      <c r="W436" s="1" t="s">
        <v>100</v>
      </c>
      <c r="X436" s="1"/>
      <c r="Y436" s="1" t="str">
        <f>"02049000035202151"</f>
        <v>02049000035202151</v>
      </c>
      <c r="Z436" s="1" t="s">
        <v>223</v>
      </c>
      <c r="AA436" s="1" t="s">
        <v>2989</v>
      </c>
      <c r="AB436" s="1" t="str">
        <f>"09178238000186"</f>
        <v>09178238000186</v>
      </c>
      <c r="AC436" s="1"/>
      <c r="AD436" s="1"/>
      <c r="AE436" s="1"/>
      <c r="AF436" s="1">
        <v>-61.016667</v>
      </c>
      <c r="AG436" s="1">
        <v>-11.100278</v>
      </c>
      <c r="AH436" s="1" t="s">
        <v>2990</v>
      </c>
      <c r="AI436" s="1"/>
      <c r="AJ436" s="1" t="s">
        <v>1227</v>
      </c>
      <c r="AK436" s="1"/>
      <c r="AL436" s="1" t="s">
        <v>128</v>
      </c>
      <c r="AM436" s="1" t="s">
        <v>65</v>
      </c>
      <c r="AN436" s="1" t="s">
        <v>274</v>
      </c>
      <c r="AO436" s="2" t="s">
        <v>2407</v>
      </c>
      <c r="AP436" s="2" t="s">
        <v>2991</v>
      </c>
      <c r="AQ436" s="1" t="s">
        <v>132</v>
      </c>
      <c r="AR436" s="1" t="s">
        <v>247</v>
      </c>
      <c r="AS436" s="1" t="s">
        <v>2310</v>
      </c>
      <c r="AT436" s="2" t="s">
        <v>70</v>
      </c>
    </row>
    <row r="437">
      <c r="A437" s="1"/>
      <c r="B437" s="1" t="s">
        <v>46</v>
      </c>
      <c r="C437" s="1" t="s">
        <v>571</v>
      </c>
      <c r="D437" s="1" t="s">
        <v>116</v>
      </c>
      <c r="E437" s="1" t="s">
        <v>2992</v>
      </c>
      <c r="F437" s="1"/>
      <c r="G437" s="1" t="s">
        <v>49</v>
      </c>
      <c r="H437" s="1" t="s">
        <v>72</v>
      </c>
      <c r="I437" s="1">
        <v>19908.0</v>
      </c>
      <c r="J437" s="1"/>
      <c r="K437" s="1"/>
      <c r="L437" s="1"/>
      <c r="M437" s="1" t="s">
        <v>2993</v>
      </c>
      <c r="N437" s="1" t="s">
        <v>109</v>
      </c>
      <c r="O437" s="1" t="s">
        <v>110</v>
      </c>
      <c r="P437" s="2" t="s">
        <v>2994</v>
      </c>
      <c r="Q437" s="1" t="s">
        <v>77</v>
      </c>
      <c r="R437" s="1"/>
      <c r="S437" s="1" t="s">
        <v>1349</v>
      </c>
      <c r="T437" s="1">
        <v>1500859.0</v>
      </c>
      <c r="U437" s="1" t="s">
        <v>1723</v>
      </c>
      <c r="V437" s="1" t="s">
        <v>917</v>
      </c>
      <c r="W437" s="1" t="s">
        <v>100</v>
      </c>
      <c r="X437" s="1"/>
      <c r="Y437" s="1"/>
      <c r="Z437" s="1" t="s">
        <v>112</v>
      </c>
      <c r="AA437" s="1" t="s">
        <v>2891</v>
      </c>
      <c r="AB437" s="1" t="str">
        <f>"25362447000131"</f>
        <v>25362447000131</v>
      </c>
      <c r="AC437" s="1"/>
      <c r="AD437" s="1" t="s">
        <v>62</v>
      </c>
      <c r="AE437" s="1"/>
      <c r="AF437" s="1">
        <v>-51.204167</v>
      </c>
      <c r="AG437" s="1">
        <v>-3.465278</v>
      </c>
      <c r="AH437" s="1" t="s">
        <v>2995</v>
      </c>
      <c r="AI437" s="1"/>
      <c r="AJ437" s="1" t="s">
        <v>1763</v>
      </c>
      <c r="AK437" s="1"/>
      <c r="AL437" s="1"/>
      <c r="AM437" s="1" t="s">
        <v>65</v>
      </c>
      <c r="AN437" s="1" t="s">
        <v>1726</v>
      </c>
      <c r="AO437" s="1"/>
      <c r="AP437" s="2" t="s">
        <v>2996</v>
      </c>
      <c r="AQ437" s="1"/>
      <c r="AR437" s="1" t="s">
        <v>1295</v>
      </c>
      <c r="AS437" s="1"/>
      <c r="AT437" s="2" t="s">
        <v>70</v>
      </c>
    </row>
    <row r="438">
      <c r="A438" s="1">
        <v>2043737.0</v>
      </c>
      <c r="B438" s="1" t="s">
        <v>116</v>
      </c>
      <c r="C438" s="1" t="s">
        <v>117</v>
      </c>
      <c r="D438" s="1" t="s">
        <v>46</v>
      </c>
      <c r="E438" s="1" t="s">
        <v>2997</v>
      </c>
      <c r="F438" s="1"/>
      <c r="G438" s="1" t="s">
        <v>119</v>
      </c>
      <c r="H438" s="1" t="s">
        <v>72</v>
      </c>
      <c r="I438" s="1">
        <v>23099.5</v>
      </c>
      <c r="J438" s="1"/>
      <c r="K438" s="1"/>
      <c r="L438" s="1" t="s">
        <v>175</v>
      </c>
      <c r="M438" s="1" t="s">
        <v>2998</v>
      </c>
      <c r="N438" s="1" t="s">
        <v>109</v>
      </c>
      <c r="O438" s="1" t="s">
        <v>110</v>
      </c>
      <c r="P438" s="2" t="s">
        <v>2999</v>
      </c>
      <c r="Q438" s="1" t="s">
        <v>77</v>
      </c>
      <c r="R438" s="2" t="s">
        <v>2908</v>
      </c>
      <c r="S438" s="1" t="s">
        <v>169</v>
      </c>
      <c r="T438" s="1">
        <v>5203807.0</v>
      </c>
      <c r="U438" s="1" t="s">
        <v>948</v>
      </c>
      <c r="V438" s="1" t="s">
        <v>171</v>
      </c>
      <c r="W438" s="1" t="s">
        <v>172</v>
      </c>
      <c r="X438" s="1"/>
      <c r="Y438" s="1" t="str">
        <f>"02010000292202120"</f>
        <v>02010000292202120</v>
      </c>
      <c r="Z438" s="1" t="s">
        <v>112</v>
      </c>
      <c r="AA438" s="1" t="s">
        <v>974</v>
      </c>
      <c r="AB438" s="1" t="str">
        <f>"***990178**"</f>
        <v>***990178**</v>
      </c>
      <c r="AC438" s="1"/>
      <c r="AD438" s="1"/>
      <c r="AE438" s="1"/>
      <c r="AF438" s="1">
        <v>-51.172222</v>
      </c>
      <c r="AG438" s="1">
        <v>-15.256389</v>
      </c>
      <c r="AH438" s="1" t="s">
        <v>975</v>
      </c>
      <c r="AI438" s="1"/>
      <c r="AJ438" s="1" t="s">
        <v>175</v>
      </c>
      <c r="AK438" s="1"/>
      <c r="AL438" s="1" t="s">
        <v>128</v>
      </c>
      <c r="AM438" s="1" t="s">
        <v>65</v>
      </c>
      <c r="AN438" s="1" t="s">
        <v>83</v>
      </c>
      <c r="AO438" s="2" t="s">
        <v>778</v>
      </c>
      <c r="AP438" s="2" t="s">
        <v>3000</v>
      </c>
      <c r="AQ438" s="1" t="s">
        <v>132</v>
      </c>
      <c r="AR438" s="1" t="s">
        <v>133</v>
      </c>
      <c r="AS438" s="1"/>
      <c r="AT438" s="2" t="s">
        <v>70</v>
      </c>
    </row>
    <row r="439">
      <c r="A439" s="1"/>
      <c r="B439" s="1" t="s">
        <v>46</v>
      </c>
      <c r="C439" s="1" t="s">
        <v>47</v>
      </c>
      <c r="D439" s="1"/>
      <c r="E439" s="1" t="s">
        <v>3001</v>
      </c>
      <c r="F439" s="1"/>
      <c r="G439" s="1" t="s">
        <v>49</v>
      </c>
      <c r="H439" s="1" t="s">
        <v>72</v>
      </c>
      <c r="I439" s="1">
        <v>12000.0</v>
      </c>
      <c r="J439" s="1"/>
      <c r="K439" s="1"/>
      <c r="L439" s="1"/>
      <c r="M439" s="1" t="s">
        <v>3002</v>
      </c>
      <c r="N439" s="1" t="s">
        <v>109</v>
      </c>
      <c r="O439" s="1" t="s">
        <v>110</v>
      </c>
      <c r="P439" s="2" t="s">
        <v>3003</v>
      </c>
      <c r="Q439" s="1" t="s">
        <v>56</v>
      </c>
      <c r="R439" s="1"/>
      <c r="S439" s="1" t="s">
        <v>220</v>
      </c>
      <c r="T439" s="1">
        <v>1301704.0</v>
      </c>
      <c r="U439" s="1" t="s">
        <v>98</v>
      </c>
      <c r="V439" s="1" t="s">
        <v>99</v>
      </c>
      <c r="W439" s="1" t="s">
        <v>100</v>
      </c>
      <c r="X439" s="1"/>
      <c r="Y439" s="1"/>
      <c r="Z439" s="1" t="s">
        <v>112</v>
      </c>
      <c r="AA439" s="1" t="s">
        <v>3004</v>
      </c>
      <c r="AB439" s="1" t="str">
        <f>"***500209**"</f>
        <v>***500209**</v>
      </c>
      <c r="AC439" s="1"/>
      <c r="AD439" s="1" t="s">
        <v>81</v>
      </c>
      <c r="AE439" s="1"/>
      <c r="AF439" s="1">
        <v>-63.077833</v>
      </c>
      <c r="AG439" s="1">
        <v>-7.551111</v>
      </c>
      <c r="AH439" s="1" t="s">
        <v>3005</v>
      </c>
      <c r="AI439" s="1"/>
      <c r="AJ439" s="1" t="s">
        <v>104</v>
      </c>
      <c r="AK439" s="1"/>
      <c r="AL439" s="1"/>
      <c r="AM439" s="1" t="s">
        <v>65</v>
      </c>
      <c r="AN439" s="1"/>
      <c r="AO439" s="1"/>
      <c r="AP439" s="2" t="s">
        <v>3006</v>
      </c>
      <c r="AQ439" s="1"/>
      <c r="AR439" s="1" t="s">
        <v>115</v>
      </c>
      <c r="AS439" s="1"/>
      <c r="AT439" s="2" t="s">
        <v>70</v>
      </c>
    </row>
    <row r="440">
      <c r="A440" s="1"/>
      <c r="B440" s="1" t="s">
        <v>46</v>
      </c>
      <c r="C440" s="1" t="s">
        <v>47</v>
      </c>
      <c r="D440" s="1"/>
      <c r="E440" s="1" t="s">
        <v>3007</v>
      </c>
      <c r="F440" s="1"/>
      <c r="G440" s="1" t="s">
        <v>49</v>
      </c>
      <c r="H440" s="1" t="s">
        <v>72</v>
      </c>
      <c r="I440" s="1">
        <v>15000.0</v>
      </c>
      <c r="J440" s="1"/>
      <c r="K440" s="1"/>
      <c r="L440" s="1"/>
      <c r="M440" s="1" t="s">
        <v>3008</v>
      </c>
      <c r="N440" s="1" t="s">
        <v>109</v>
      </c>
      <c r="O440" s="1" t="s">
        <v>110</v>
      </c>
      <c r="P440" s="2" t="s">
        <v>3009</v>
      </c>
      <c r="Q440" s="1" t="s">
        <v>56</v>
      </c>
      <c r="R440" s="1"/>
      <c r="S440" s="1" t="s">
        <v>97</v>
      </c>
      <c r="T440" s="1">
        <v>1301704.0</v>
      </c>
      <c r="U440" s="1" t="s">
        <v>98</v>
      </c>
      <c r="V440" s="1" t="s">
        <v>99</v>
      </c>
      <c r="W440" s="1" t="s">
        <v>100</v>
      </c>
      <c r="X440" s="1"/>
      <c r="Y440" s="1"/>
      <c r="Z440" s="1" t="s">
        <v>112</v>
      </c>
      <c r="AA440" s="1" t="s">
        <v>3010</v>
      </c>
      <c r="AB440" s="1" t="str">
        <f>"***211328**"</f>
        <v>***211328**</v>
      </c>
      <c r="AC440" s="1"/>
      <c r="AD440" s="1" t="s">
        <v>81</v>
      </c>
      <c r="AE440" s="1"/>
      <c r="AF440" s="1">
        <v>-63.077833</v>
      </c>
      <c r="AG440" s="1">
        <v>-7.551111</v>
      </c>
      <c r="AH440" s="1" t="s">
        <v>3005</v>
      </c>
      <c r="AI440" s="1"/>
      <c r="AJ440" s="1" t="s">
        <v>104</v>
      </c>
      <c r="AK440" s="1"/>
      <c r="AL440" s="1"/>
      <c r="AM440" s="1" t="s">
        <v>65</v>
      </c>
      <c r="AN440" s="1"/>
      <c r="AO440" s="1"/>
      <c r="AP440" s="2" t="s">
        <v>3011</v>
      </c>
      <c r="AQ440" s="1"/>
      <c r="AR440" s="1" t="s">
        <v>115</v>
      </c>
      <c r="AS440" s="1"/>
      <c r="AT440" s="2" t="s">
        <v>70</v>
      </c>
    </row>
    <row r="441">
      <c r="A441" s="1">
        <v>2043150.0</v>
      </c>
      <c r="B441" s="1" t="s">
        <v>116</v>
      </c>
      <c r="C441" s="1" t="s">
        <v>117</v>
      </c>
      <c r="D441" s="1" t="s">
        <v>46</v>
      </c>
      <c r="E441" s="1" t="s">
        <v>3012</v>
      </c>
      <c r="F441" s="1"/>
      <c r="G441" s="1" t="s">
        <v>119</v>
      </c>
      <c r="H441" s="1" t="s">
        <v>50</v>
      </c>
      <c r="I441" s="1">
        <v>500.0</v>
      </c>
      <c r="J441" s="1"/>
      <c r="K441" s="1"/>
      <c r="L441" s="1" t="s">
        <v>1336</v>
      </c>
      <c r="M441" s="1" t="s">
        <v>3013</v>
      </c>
      <c r="N441" s="1" t="s">
        <v>257</v>
      </c>
      <c r="O441" s="1" t="s">
        <v>258</v>
      </c>
      <c r="P441" s="2" t="s">
        <v>3014</v>
      </c>
      <c r="Q441" s="1" t="s">
        <v>56</v>
      </c>
      <c r="R441" s="1"/>
      <c r="S441" s="1" t="s">
        <v>280</v>
      </c>
      <c r="T441" s="1">
        <v>3509502.0</v>
      </c>
      <c r="U441" s="1" t="s">
        <v>1339</v>
      </c>
      <c r="V441" s="1" t="s">
        <v>139</v>
      </c>
      <c r="W441" s="1" t="s">
        <v>78</v>
      </c>
      <c r="X441" s="1"/>
      <c r="Y441" s="1" t="str">
        <f>"02285000011202117"</f>
        <v>02285000011202117</v>
      </c>
      <c r="Z441" s="1" t="s">
        <v>260</v>
      </c>
      <c r="AA441" s="1" t="s">
        <v>3015</v>
      </c>
      <c r="AB441" s="1" t="str">
        <f>"***297938**"</f>
        <v>***297938**</v>
      </c>
      <c r="AC441" s="1"/>
      <c r="AD441" s="1" t="s">
        <v>325</v>
      </c>
      <c r="AE441" s="1"/>
      <c r="AF441" s="1">
        <v>-47.144444</v>
      </c>
      <c r="AG441" s="1">
        <v>-23.007778</v>
      </c>
      <c r="AH441" s="1" t="s">
        <v>3016</v>
      </c>
      <c r="AI441" s="1"/>
      <c r="AJ441" s="1" t="s">
        <v>1336</v>
      </c>
      <c r="AK441" s="1" t="s">
        <v>1342</v>
      </c>
      <c r="AL441" s="1" t="s">
        <v>128</v>
      </c>
      <c r="AM441" s="1" t="s">
        <v>65</v>
      </c>
      <c r="AN441" s="1" t="s">
        <v>1342</v>
      </c>
      <c r="AO441" s="2" t="s">
        <v>2903</v>
      </c>
      <c r="AP441" s="2" t="s">
        <v>3017</v>
      </c>
      <c r="AQ441" s="1" t="s">
        <v>132</v>
      </c>
      <c r="AR441" s="1" t="s">
        <v>1403</v>
      </c>
      <c r="AS441" s="1"/>
      <c r="AT441" s="2" t="s">
        <v>70</v>
      </c>
    </row>
    <row r="442">
      <c r="A442" s="1">
        <v>2043382.0</v>
      </c>
      <c r="B442" s="1" t="s">
        <v>116</v>
      </c>
      <c r="C442" s="1" t="s">
        <v>117</v>
      </c>
      <c r="D442" s="1" t="s">
        <v>46</v>
      </c>
      <c r="E442" s="1" t="s">
        <v>3018</v>
      </c>
      <c r="F442" s="1"/>
      <c r="G442" s="1" t="s">
        <v>119</v>
      </c>
      <c r="H442" s="1" t="s">
        <v>50</v>
      </c>
      <c r="I442" s="1">
        <v>61000.0</v>
      </c>
      <c r="J442" s="1"/>
      <c r="K442" s="1"/>
      <c r="L442" s="1" t="s">
        <v>64</v>
      </c>
      <c r="M442" s="1" t="s">
        <v>3019</v>
      </c>
      <c r="N442" s="1" t="s">
        <v>53</v>
      </c>
      <c r="O442" s="1" t="s">
        <v>333</v>
      </c>
      <c r="P442" s="2" t="s">
        <v>3014</v>
      </c>
      <c r="Q442" s="1" t="s">
        <v>56</v>
      </c>
      <c r="R442" s="1"/>
      <c r="S442" s="1" t="s">
        <v>57</v>
      </c>
      <c r="T442" s="1">
        <v>3204609.0</v>
      </c>
      <c r="U442" s="1" t="s">
        <v>3020</v>
      </c>
      <c r="V442" s="1" t="s">
        <v>59</v>
      </c>
      <c r="W442" s="1" t="s">
        <v>78</v>
      </c>
      <c r="X442" s="1"/>
      <c r="Y442" s="1" t="str">
        <f>"02009000318202179"</f>
        <v>02009000318202179</v>
      </c>
      <c r="Z442" s="1" t="s">
        <v>223</v>
      </c>
      <c r="AA442" s="1" t="s">
        <v>3021</v>
      </c>
      <c r="AB442" s="1" t="str">
        <f>"***410107**"</f>
        <v>***410107**</v>
      </c>
      <c r="AC442" s="1"/>
      <c r="AD442" s="1"/>
      <c r="AE442" s="1"/>
      <c r="AF442" s="1">
        <v>-40.555278</v>
      </c>
      <c r="AG442" s="1">
        <v>-19.780556</v>
      </c>
      <c r="AH442" s="1" t="s">
        <v>3022</v>
      </c>
      <c r="AI442" s="1"/>
      <c r="AJ442" s="1" t="s">
        <v>64</v>
      </c>
      <c r="AK442" s="1"/>
      <c r="AL442" s="1" t="s">
        <v>128</v>
      </c>
      <c r="AM442" s="1" t="s">
        <v>65</v>
      </c>
      <c r="AN442" s="1" t="s">
        <v>83</v>
      </c>
      <c r="AO442" s="2" t="s">
        <v>2275</v>
      </c>
      <c r="AP442" s="2" t="s">
        <v>3023</v>
      </c>
      <c r="AQ442" s="1" t="s">
        <v>132</v>
      </c>
      <c r="AR442" s="1" t="s">
        <v>494</v>
      </c>
      <c r="AS442" s="1"/>
      <c r="AT442" s="2" t="s">
        <v>70</v>
      </c>
    </row>
    <row r="443">
      <c r="A443" s="1"/>
      <c r="B443" s="1" t="s">
        <v>46</v>
      </c>
      <c r="C443" s="1" t="s">
        <v>47</v>
      </c>
      <c r="D443" s="1"/>
      <c r="E443" s="1" t="s">
        <v>3024</v>
      </c>
      <c r="F443" s="1"/>
      <c r="G443" s="1" t="s">
        <v>49</v>
      </c>
      <c r="H443" s="1" t="s">
        <v>50</v>
      </c>
      <c r="I443" s="1">
        <v>1500.0</v>
      </c>
      <c r="J443" s="1"/>
      <c r="K443" s="1" t="s">
        <v>92</v>
      </c>
      <c r="L443" s="1"/>
      <c r="M443" s="1" t="s">
        <v>3025</v>
      </c>
      <c r="N443" s="1" t="s">
        <v>94</v>
      </c>
      <c r="O443" s="1" t="s">
        <v>95</v>
      </c>
      <c r="P443" s="2" t="s">
        <v>3026</v>
      </c>
      <c r="Q443" s="1" t="s">
        <v>56</v>
      </c>
      <c r="R443" s="1"/>
      <c r="S443" s="1" t="s">
        <v>97</v>
      </c>
      <c r="T443" s="1">
        <v>1301704.0</v>
      </c>
      <c r="U443" s="1" t="s">
        <v>98</v>
      </c>
      <c r="V443" s="1" t="s">
        <v>99</v>
      </c>
      <c r="W443" s="1" t="s">
        <v>100</v>
      </c>
      <c r="X443" s="1"/>
      <c r="Y443" s="1"/>
      <c r="Z443" s="1" t="s">
        <v>101</v>
      </c>
      <c r="AA443" s="1" t="s">
        <v>3027</v>
      </c>
      <c r="AB443" s="1" t="str">
        <f>"23172392000171"</f>
        <v>23172392000171</v>
      </c>
      <c r="AC443" s="1"/>
      <c r="AD443" s="1" t="s">
        <v>81</v>
      </c>
      <c r="AE443" s="1"/>
      <c r="AF443" s="1">
        <v>-63.077833</v>
      </c>
      <c r="AG443" s="1">
        <v>-7.551111</v>
      </c>
      <c r="AH443" s="1" t="s">
        <v>103</v>
      </c>
      <c r="AI443" s="1"/>
      <c r="AJ443" s="1" t="s">
        <v>104</v>
      </c>
      <c r="AK443" s="1"/>
      <c r="AL443" s="1"/>
      <c r="AM443" s="1" t="s">
        <v>65</v>
      </c>
      <c r="AN443" s="1"/>
      <c r="AO443" s="1"/>
      <c r="AP443" s="2" t="s">
        <v>3028</v>
      </c>
      <c r="AQ443" s="1"/>
      <c r="AR443" s="1" t="s">
        <v>3029</v>
      </c>
      <c r="AS443" s="1"/>
      <c r="AT443" s="2" t="s">
        <v>70</v>
      </c>
    </row>
    <row r="444">
      <c r="A444" s="1"/>
      <c r="B444" s="1" t="s">
        <v>46</v>
      </c>
      <c r="C444" s="1" t="s">
        <v>47</v>
      </c>
      <c r="D444" s="1"/>
      <c r="E444" s="1" t="s">
        <v>3030</v>
      </c>
      <c r="F444" s="1"/>
      <c r="G444" s="1" t="s">
        <v>49</v>
      </c>
      <c r="H444" s="1" t="s">
        <v>50</v>
      </c>
      <c r="I444" s="1">
        <v>1500.0</v>
      </c>
      <c r="J444" s="1"/>
      <c r="K444" s="1" t="s">
        <v>92</v>
      </c>
      <c r="L444" s="1"/>
      <c r="M444" s="1" t="s">
        <v>3031</v>
      </c>
      <c r="N444" s="1" t="s">
        <v>94</v>
      </c>
      <c r="O444" s="1" t="s">
        <v>95</v>
      </c>
      <c r="P444" s="2" t="s">
        <v>3032</v>
      </c>
      <c r="Q444" s="1" t="s">
        <v>56</v>
      </c>
      <c r="R444" s="1"/>
      <c r="S444" s="1" t="s">
        <v>97</v>
      </c>
      <c r="T444" s="1">
        <v>1301704.0</v>
      </c>
      <c r="U444" s="1" t="s">
        <v>98</v>
      </c>
      <c r="V444" s="1" t="s">
        <v>99</v>
      </c>
      <c r="W444" s="1" t="s">
        <v>100</v>
      </c>
      <c r="X444" s="1"/>
      <c r="Y444" s="1"/>
      <c r="Z444" s="1" t="s">
        <v>101</v>
      </c>
      <c r="AA444" s="1" t="s">
        <v>3033</v>
      </c>
      <c r="AB444" s="1" t="str">
        <f>"18894166000164"</f>
        <v>18894166000164</v>
      </c>
      <c r="AC444" s="1"/>
      <c r="AD444" s="1" t="s">
        <v>81</v>
      </c>
      <c r="AE444" s="1"/>
      <c r="AF444" s="1">
        <v>-63.077833</v>
      </c>
      <c r="AG444" s="1">
        <v>-7.551111</v>
      </c>
      <c r="AH444" s="1" t="s">
        <v>3034</v>
      </c>
      <c r="AI444" s="1"/>
      <c r="AJ444" s="1" t="s">
        <v>104</v>
      </c>
      <c r="AK444" s="1"/>
      <c r="AL444" s="1"/>
      <c r="AM444" s="1" t="s">
        <v>65</v>
      </c>
      <c r="AN444" s="1"/>
      <c r="AO444" s="1"/>
      <c r="AP444" s="2" t="s">
        <v>3035</v>
      </c>
      <c r="AQ444" s="1"/>
      <c r="AR444" s="1" t="s">
        <v>3029</v>
      </c>
      <c r="AS444" s="1"/>
      <c r="AT444" s="2" t="s">
        <v>70</v>
      </c>
    </row>
    <row r="445">
      <c r="A445" s="1">
        <v>2043383.0</v>
      </c>
      <c r="B445" s="1" t="s">
        <v>116</v>
      </c>
      <c r="C445" s="1" t="s">
        <v>117</v>
      </c>
      <c r="D445" s="1" t="s">
        <v>46</v>
      </c>
      <c r="E445" s="1" t="s">
        <v>3036</v>
      </c>
      <c r="F445" s="1"/>
      <c r="G445" s="1" t="s">
        <v>119</v>
      </c>
      <c r="H445" s="1" t="s">
        <v>72</v>
      </c>
      <c r="I445" s="1">
        <v>5000.0</v>
      </c>
      <c r="J445" s="1"/>
      <c r="K445" s="1"/>
      <c r="L445" s="1" t="s">
        <v>64</v>
      </c>
      <c r="M445" s="1" t="s">
        <v>3037</v>
      </c>
      <c r="N445" s="1" t="s">
        <v>109</v>
      </c>
      <c r="O445" s="1" t="s">
        <v>110</v>
      </c>
      <c r="P445" s="2" t="s">
        <v>3038</v>
      </c>
      <c r="Q445" s="1" t="s">
        <v>56</v>
      </c>
      <c r="R445" s="1"/>
      <c r="S445" s="1" t="s">
        <v>57</v>
      </c>
      <c r="T445" s="1">
        <v>3204609.0</v>
      </c>
      <c r="U445" s="1" t="s">
        <v>3020</v>
      </c>
      <c r="V445" s="1" t="s">
        <v>59</v>
      </c>
      <c r="W445" s="1" t="s">
        <v>78</v>
      </c>
      <c r="X445" s="1"/>
      <c r="Y445" s="1" t="str">
        <f>"02009000319202113"</f>
        <v>02009000319202113</v>
      </c>
      <c r="Z445" s="1" t="s">
        <v>112</v>
      </c>
      <c r="AA445" s="1" t="s">
        <v>3021</v>
      </c>
      <c r="AB445" s="1" t="str">
        <f>"***410107**"</f>
        <v>***410107**</v>
      </c>
      <c r="AC445" s="1"/>
      <c r="AD445" s="1"/>
      <c r="AE445" s="1"/>
      <c r="AF445" s="1">
        <v>-40.555</v>
      </c>
      <c r="AG445" s="1">
        <v>-19.786389</v>
      </c>
      <c r="AH445" s="1" t="s">
        <v>3039</v>
      </c>
      <c r="AI445" s="1"/>
      <c r="AJ445" s="1" t="s">
        <v>64</v>
      </c>
      <c r="AK445" s="1"/>
      <c r="AL445" s="1" t="s">
        <v>128</v>
      </c>
      <c r="AM445" s="1" t="s">
        <v>65</v>
      </c>
      <c r="AN445" s="1" t="s">
        <v>83</v>
      </c>
      <c r="AO445" s="2" t="s">
        <v>2275</v>
      </c>
      <c r="AP445" s="2" t="s">
        <v>3040</v>
      </c>
      <c r="AQ445" s="1" t="s">
        <v>132</v>
      </c>
      <c r="AR445" s="1" t="s">
        <v>2564</v>
      </c>
      <c r="AS445" s="1" t="s">
        <v>3041</v>
      </c>
      <c r="AT445" s="2" t="s">
        <v>70</v>
      </c>
    </row>
    <row r="446">
      <c r="A446" s="1"/>
      <c r="B446" s="1" t="s">
        <v>46</v>
      </c>
      <c r="C446" s="1" t="s">
        <v>47</v>
      </c>
      <c r="D446" s="1"/>
      <c r="E446" s="1" t="s">
        <v>3042</v>
      </c>
      <c r="F446" s="1"/>
      <c r="G446" s="1" t="s">
        <v>49</v>
      </c>
      <c r="H446" s="1" t="s">
        <v>50</v>
      </c>
      <c r="I446" s="1">
        <v>161500.0</v>
      </c>
      <c r="J446" s="1"/>
      <c r="K446" s="1" t="s">
        <v>92</v>
      </c>
      <c r="L446" s="1"/>
      <c r="M446" s="1" t="s">
        <v>3043</v>
      </c>
      <c r="N446" s="1" t="s">
        <v>94</v>
      </c>
      <c r="O446" s="1" t="s">
        <v>95</v>
      </c>
      <c r="P446" s="2" t="s">
        <v>3044</v>
      </c>
      <c r="Q446" s="1" t="s">
        <v>56</v>
      </c>
      <c r="R446" s="1"/>
      <c r="S446" s="1" t="s">
        <v>97</v>
      </c>
      <c r="T446" s="1">
        <v>1301704.0</v>
      </c>
      <c r="U446" s="1" t="s">
        <v>98</v>
      </c>
      <c r="V446" s="1" t="s">
        <v>99</v>
      </c>
      <c r="W446" s="1" t="s">
        <v>100</v>
      </c>
      <c r="X446" s="1"/>
      <c r="Y446" s="1"/>
      <c r="Z446" s="1" t="s">
        <v>101</v>
      </c>
      <c r="AA446" s="1" t="s">
        <v>3045</v>
      </c>
      <c r="AB446" s="1" t="str">
        <f>"15307613000143"</f>
        <v>15307613000143</v>
      </c>
      <c r="AC446" s="1"/>
      <c r="AD446" s="1" t="s">
        <v>81</v>
      </c>
      <c r="AE446" s="1"/>
      <c r="AF446" s="1">
        <v>-63.077833</v>
      </c>
      <c r="AG446" s="1">
        <v>-7.551111</v>
      </c>
      <c r="AH446" s="1" t="s">
        <v>3034</v>
      </c>
      <c r="AI446" s="1"/>
      <c r="AJ446" s="1" t="s">
        <v>104</v>
      </c>
      <c r="AK446" s="1"/>
      <c r="AL446" s="1"/>
      <c r="AM446" s="1" t="s">
        <v>65</v>
      </c>
      <c r="AN446" s="1"/>
      <c r="AO446" s="1"/>
      <c r="AP446" s="2" t="s">
        <v>3046</v>
      </c>
      <c r="AQ446" s="1"/>
      <c r="AR446" s="1" t="s">
        <v>106</v>
      </c>
      <c r="AS446" s="1"/>
      <c r="AT446" s="2" t="s">
        <v>70</v>
      </c>
    </row>
    <row r="447">
      <c r="A447" s="1"/>
      <c r="B447" s="1" t="s">
        <v>46</v>
      </c>
      <c r="C447" s="1" t="s">
        <v>47</v>
      </c>
      <c r="D447" s="1"/>
      <c r="E447" s="1" t="s">
        <v>3047</v>
      </c>
      <c r="F447" s="1"/>
      <c r="G447" s="1" t="s">
        <v>49</v>
      </c>
      <c r="H447" s="1" t="s">
        <v>50</v>
      </c>
      <c r="I447" s="1">
        <v>6140.0</v>
      </c>
      <c r="J447" s="1"/>
      <c r="K447" s="1" t="s">
        <v>92</v>
      </c>
      <c r="L447" s="1"/>
      <c r="M447" s="1" t="s">
        <v>3048</v>
      </c>
      <c r="N447" s="1" t="s">
        <v>74</v>
      </c>
      <c r="O447" s="1" t="s">
        <v>75</v>
      </c>
      <c r="P447" s="2" t="s">
        <v>3049</v>
      </c>
      <c r="Q447" s="1" t="s">
        <v>77</v>
      </c>
      <c r="R447" s="1"/>
      <c r="S447" s="1" t="s">
        <v>1173</v>
      </c>
      <c r="T447" s="1">
        <v>2503209.0</v>
      </c>
      <c r="U447" s="1" t="s">
        <v>3050</v>
      </c>
      <c r="V447" s="1" t="s">
        <v>1175</v>
      </c>
      <c r="W447" s="1" t="s">
        <v>291</v>
      </c>
      <c r="X447" s="1"/>
      <c r="Y447" s="1"/>
      <c r="Z447" s="1" t="s">
        <v>79</v>
      </c>
      <c r="AA447" s="1" t="s">
        <v>3051</v>
      </c>
      <c r="AB447" s="1" t="str">
        <f>"29009306600155"</f>
        <v>29009306600155</v>
      </c>
      <c r="AC447" s="1"/>
      <c r="AD447" s="1" t="s">
        <v>81</v>
      </c>
      <c r="AE447" s="1"/>
      <c r="AF447" s="1">
        <v>-34.826111</v>
      </c>
      <c r="AG447" s="1">
        <v>-7.005</v>
      </c>
      <c r="AH447" s="1" t="s">
        <v>3052</v>
      </c>
      <c r="AI447" s="1"/>
      <c r="AJ447" s="1" t="s">
        <v>1178</v>
      </c>
      <c r="AK447" s="1"/>
      <c r="AL447" s="1"/>
      <c r="AM447" s="1" t="s">
        <v>65</v>
      </c>
      <c r="AN447" s="1" t="s">
        <v>3053</v>
      </c>
      <c r="AO447" s="1"/>
      <c r="AP447" s="2" t="s">
        <v>3054</v>
      </c>
      <c r="AQ447" s="1"/>
      <c r="AR447" s="1" t="s">
        <v>3055</v>
      </c>
      <c r="AS447" s="1"/>
      <c r="AT447" s="2" t="s">
        <v>70</v>
      </c>
    </row>
    <row r="448">
      <c r="A448" s="1"/>
      <c r="B448" s="1" t="s">
        <v>46</v>
      </c>
      <c r="C448" s="1" t="s">
        <v>47</v>
      </c>
      <c r="D448" s="1"/>
      <c r="E448" s="1" t="s">
        <v>3056</v>
      </c>
      <c r="F448" s="1"/>
      <c r="G448" s="1" t="s">
        <v>49</v>
      </c>
      <c r="H448" s="1" t="s">
        <v>72</v>
      </c>
      <c r="I448" s="1">
        <v>10348.2</v>
      </c>
      <c r="J448" s="1"/>
      <c r="K448" s="1"/>
      <c r="L448" s="1"/>
      <c r="M448" s="1" t="s">
        <v>3057</v>
      </c>
      <c r="N448" s="1" t="s">
        <v>109</v>
      </c>
      <c r="O448" s="1" t="s">
        <v>110</v>
      </c>
      <c r="P448" s="2" t="s">
        <v>3058</v>
      </c>
      <c r="Q448" s="1" t="s">
        <v>56</v>
      </c>
      <c r="R448" s="1"/>
      <c r="S448" s="1" t="s">
        <v>97</v>
      </c>
      <c r="T448" s="1">
        <v>1301704.0</v>
      </c>
      <c r="U448" s="1" t="s">
        <v>98</v>
      </c>
      <c r="V448" s="1" t="s">
        <v>99</v>
      </c>
      <c r="W448" s="1" t="s">
        <v>100</v>
      </c>
      <c r="X448" s="1"/>
      <c r="Y448" s="1"/>
      <c r="Z448" s="1" t="s">
        <v>112</v>
      </c>
      <c r="AA448" s="1" t="s">
        <v>3059</v>
      </c>
      <c r="AB448" s="1" t="str">
        <f>"***596321**"</f>
        <v>***596321**</v>
      </c>
      <c r="AC448" s="1"/>
      <c r="AD448" s="1" t="s">
        <v>81</v>
      </c>
      <c r="AE448" s="1"/>
      <c r="AF448" s="1">
        <v>-63.077833</v>
      </c>
      <c r="AG448" s="1">
        <v>-7.551111</v>
      </c>
      <c r="AH448" s="1" t="s">
        <v>3034</v>
      </c>
      <c r="AI448" s="1"/>
      <c r="AJ448" s="1" t="s">
        <v>104</v>
      </c>
      <c r="AK448" s="1"/>
      <c r="AL448" s="1"/>
      <c r="AM448" s="1" t="s">
        <v>65</v>
      </c>
      <c r="AN448" s="1"/>
      <c r="AO448" s="1"/>
      <c r="AP448" s="2" t="s">
        <v>3060</v>
      </c>
      <c r="AQ448" s="1"/>
      <c r="AR448" s="1" t="s">
        <v>115</v>
      </c>
      <c r="AS448" s="1"/>
      <c r="AT448" s="2" t="s">
        <v>70</v>
      </c>
    </row>
    <row r="449">
      <c r="A449" s="1"/>
      <c r="B449" s="1" t="s">
        <v>46</v>
      </c>
      <c r="C449" s="1" t="s">
        <v>47</v>
      </c>
      <c r="D449" s="1"/>
      <c r="E449" s="1" t="s">
        <v>3061</v>
      </c>
      <c r="F449" s="1"/>
      <c r="G449" s="1" t="s">
        <v>49</v>
      </c>
      <c r="H449" s="1" t="s">
        <v>50</v>
      </c>
      <c r="I449" s="1">
        <v>52500.0</v>
      </c>
      <c r="J449" s="1"/>
      <c r="K449" s="1" t="s">
        <v>92</v>
      </c>
      <c r="L449" s="1"/>
      <c r="M449" s="1" t="s">
        <v>3062</v>
      </c>
      <c r="N449" s="1" t="s">
        <v>94</v>
      </c>
      <c r="O449" s="1" t="s">
        <v>95</v>
      </c>
      <c r="P449" s="2" t="s">
        <v>3063</v>
      </c>
      <c r="Q449" s="1" t="s">
        <v>56</v>
      </c>
      <c r="R449" s="1"/>
      <c r="S449" s="1" t="s">
        <v>97</v>
      </c>
      <c r="T449" s="1">
        <v>1301704.0</v>
      </c>
      <c r="U449" s="1" t="s">
        <v>98</v>
      </c>
      <c r="V449" s="1" t="s">
        <v>99</v>
      </c>
      <c r="W449" s="1" t="s">
        <v>100</v>
      </c>
      <c r="X449" s="1"/>
      <c r="Y449" s="1"/>
      <c r="Z449" s="1" t="s">
        <v>101</v>
      </c>
      <c r="AA449" s="1" t="s">
        <v>102</v>
      </c>
      <c r="AB449" s="1" t="str">
        <f>"17697878000120"</f>
        <v>17697878000120</v>
      </c>
      <c r="AC449" s="1"/>
      <c r="AD449" s="1" t="s">
        <v>81</v>
      </c>
      <c r="AE449" s="1"/>
      <c r="AF449" s="1">
        <v>-63.077833</v>
      </c>
      <c r="AG449" s="1">
        <v>-7.551111</v>
      </c>
      <c r="AH449" s="1" t="s">
        <v>103</v>
      </c>
      <c r="AI449" s="1"/>
      <c r="AJ449" s="1" t="s">
        <v>104</v>
      </c>
      <c r="AK449" s="1"/>
      <c r="AL449" s="1"/>
      <c r="AM449" s="1" t="s">
        <v>65</v>
      </c>
      <c r="AN449" s="1"/>
      <c r="AO449" s="1"/>
      <c r="AP449" s="2" t="s">
        <v>3064</v>
      </c>
      <c r="AQ449" s="1"/>
      <c r="AR449" s="1" t="s">
        <v>106</v>
      </c>
      <c r="AS449" s="1"/>
      <c r="AT449" s="2" t="s">
        <v>70</v>
      </c>
    </row>
    <row r="450">
      <c r="A450" s="1">
        <v>2043195.0</v>
      </c>
      <c r="B450" s="1" t="s">
        <v>116</v>
      </c>
      <c r="C450" s="1" t="s">
        <v>117</v>
      </c>
      <c r="D450" s="1" t="s">
        <v>46</v>
      </c>
      <c r="E450" s="1" t="s">
        <v>3065</v>
      </c>
      <c r="F450" s="1"/>
      <c r="G450" s="1" t="s">
        <v>119</v>
      </c>
      <c r="H450" s="1" t="s">
        <v>50</v>
      </c>
      <c r="I450" s="1">
        <v>8000.0</v>
      </c>
      <c r="J450" s="1"/>
      <c r="K450" s="1"/>
      <c r="L450" s="1" t="s">
        <v>295</v>
      </c>
      <c r="M450" s="1" t="s">
        <v>350</v>
      </c>
      <c r="N450" s="1" t="s">
        <v>186</v>
      </c>
      <c r="O450" s="1" t="s">
        <v>95</v>
      </c>
      <c r="P450" s="2" t="s">
        <v>3066</v>
      </c>
      <c r="Q450" s="1" t="s">
        <v>56</v>
      </c>
      <c r="R450" s="2" t="s">
        <v>2908</v>
      </c>
      <c r="S450" s="1" t="s">
        <v>288</v>
      </c>
      <c r="T450" s="1">
        <v>2211001.0</v>
      </c>
      <c r="U450" s="1" t="s">
        <v>527</v>
      </c>
      <c r="V450" s="1" t="s">
        <v>290</v>
      </c>
      <c r="W450" s="1" t="s">
        <v>172</v>
      </c>
      <c r="X450" s="1"/>
      <c r="Y450" s="1" t="str">
        <f>"02020000212202117"</f>
        <v>02020000212202117</v>
      </c>
      <c r="Z450" s="1" t="s">
        <v>101</v>
      </c>
      <c r="AA450" s="1" t="s">
        <v>3067</v>
      </c>
      <c r="AB450" s="1" t="str">
        <f>"04177514000330"</f>
        <v>04177514000330</v>
      </c>
      <c r="AC450" s="1"/>
      <c r="AD450" s="1"/>
      <c r="AE450" s="1"/>
      <c r="AF450" s="1">
        <v>-42.783611</v>
      </c>
      <c r="AG450" s="1">
        <v>-5.064722</v>
      </c>
      <c r="AH450" s="1" t="s">
        <v>354</v>
      </c>
      <c r="AI450" s="1"/>
      <c r="AJ450" s="1" t="s">
        <v>295</v>
      </c>
      <c r="AK450" s="1"/>
      <c r="AL450" s="1" t="s">
        <v>128</v>
      </c>
      <c r="AM450" s="1" t="s">
        <v>65</v>
      </c>
      <c r="AN450" s="1" t="s">
        <v>296</v>
      </c>
      <c r="AO450" s="2" t="s">
        <v>2903</v>
      </c>
      <c r="AP450" s="2" t="s">
        <v>3068</v>
      </c>
      <c r="AQ450" s="1" t="s">
        <v>132</v>
      </c>
      <c r="AR450" s="1" t="s">
        <v>531</v>
      </c>
      <c r="AS450" s="1"/>
      <c r="AT450" s="2" t="s">
        <v>70</v>
      </c>
    </row>
    <row r="451">
      <c r="A451" s="1">
        <v>2043254.0</v>
      </c>
      <c r="B451" s="1" t="s">
        <v>116</v>
      </c>
      <c r="C451" s="1" t="s">
        <v>117</v>
      </c>
      <c r="D451" s="1" t="s">
        <v>46</v>
      </c>
      <c r="E451" s="1" t="s">
        <v>3069</v>
      </c>
      <c r="F451" s="1"/>
      <c r="G451" s="1" t="s">
        <v>119</v>
      </c>
      <c r="H451" s="1" t="s">
        <v>72</v>
      </c>
      <c r="I451" s="1">
        <v>120168.39</v>
      </c>
      <c r="J451" s="1"/>
      <c r="K451" s="1"/>
      <c r="L451" s="1" t="s">
        <v>327</v>
      </c>
      <c r="M451" s="1" t="s">
        <v>3070</v>
      </c>
      <c r="N451" s="1" t="s">
        <v>109</v>
      </c>
      <c r="O451" s="1" t="s">
        <v>110</v>
      </c>
      <c r="P451" s="2" t="s">
        <v>3066</v>
      </c>
      <c r="Q451" s="1" t="s">
        <v>77</v>
      </c>
      <c r="R451" s="2" t="s">
        <v>2908</v>
      </c>
      <c r="S451" s="1" t="s">
        <v>1639</v>
      </c>
      <c r="T451" s="1">
        <v>5105580.0</v>
      </c>
      <c r="U451" s="1" t="s">
        <v>3071</v>
      </c>
      <c r="V451" s="1" t="s">
        <v>323</v>
      </c>
      <c r="W451" s="1" t="s">
        <v>100</v>
      </c>
      <c r="X451" s="1"/>
      <c r="Y451" s="1" t="str">
        <f>"02013000325202110"</f>
        <v>02013000325202110</v>
      </c>
      <c r="Z451" s="1" t="s">
        <v>112</v>
      </c>
      <c r="AA451" s="1" t="s">
        <v>3072</v>
      </c>
      <c r="AB451" s="1" t="str">
        <f>"***280749**"</f>
        <v>***280749**</v>
      </c>
      <c r="AC451" s="1"/>
      <c r="AD451" s="1"/>
      <c r="AE451" s="1"/>
      <c r="AF451" s="1">
        <v>-54.497972</v>
      </c>
      <c r="AG451" s="1">
        <v>-11.104167</v>
      </c>
      <c r="AH451" s="1" t="s">
        <v>3073</v>
      </c>
      <c r="AI451" s="1"/>
      <c r="AJ451" s="1" t="s">
        <v>327</v>
      </c>
      <c r="AK451" s="1"/>
      <c r="AL451" s="1" t="s">
        <v>128</v>
      </c>
      <c r="AM451" s="1" t="s">
        <v>65</v>
      </c>
      <c r="AN451" s="1" t="s">
        <v>3074</v>
      </c>
      <c r="AO451" s="2" t="s">
        <v>2671</v>
      </c>
      <c r="AP451" s="2" t="s">
        <v>3075</v>
      </c>
      <c r="AQ451" s="1" t="s">
        <v>132</v>
      </c>
      <c r="AR451" s="1" t="s">
        <v>133</v>
      </c>
      <c r="AS451" s="1"/>
      <c r="AT451" s="2" t="s">
        <v>70</v>
      </c>
    </row>
    <row r="452">
      <c r="A452" s="1">
        <v>2043771.0</v>
      </c>
      <c r="B452" s="1" t="s">
        <v>116</v>
      </c>
      <c r="C452" s="1" t="s">
        <v>117</v>
      </c>
      <c r="D452" s="1" t="s">
        <v>46</v>
      </c>
      <c r="E452" s="1" t="s">
        <v>3076</v>
      </c>
      <c r="F452" s="1"/>
      <c r="G452" s="1" t="s">
        <v>119</v>
      </c>
      <c r="H452" s="1" t="s">
        <v>72</v>
      </c>
      <c r="I452" s="1">
        <v>110500.0</v>
      </c>
      <c r="J452" s="1"/>
      <c r="K452" s="1"/>
      <c r="L452" s="1" t="s">
        <v>120</v>
      </c>
      <c r="M452" s="1" t="s">
        <v>3077</v>
      </c>
      <c r="N452" s="1" t="s">
        <v>186</v>
      </c>
      <c r="O452" s="1" t="s">
        <v>302</v>
      </c>
      <c r="P452" s="2" t="s">
        <v>3066</v>
      </c>
      <c r="Q452" s="1" t="s">
        <v>77</v>
      </c>
      <c r="R452" s="2" t="s">
        <v>2908</v>
      </c>
      <c r="S452" s="1" t="s">
        <v>1349</v>
      </c>
      <c r="T452" s="1">
        <v>1500859.0</v>
      </c>
      <c r="U452" s="1" t="s">
        <v>1723</v>
      </c>
      <c r="V452" s="1" t="s">
        <v>917</v>
      </c>
      <c r="W452" s="1" t="s">
        <v>100</v>
      </c>
      <c r="X452" s="1"/>
      <c r="Y452" s="1" t="str">
        <f>"02001003923202171"</f>
        <v>02001003923202171</v>
      </c>
      <c r="Z452" s="1" t="s">
        <v>306</v>
      </c>
      <c r="AA452" s="1" t="s">
        <v>1724</v>
      </c>
      <c r="AB452" s="1" t="str">
        <f>"04578324000324"</f>
        <v>04578324000324</v>
      </c>
      <c r="AC452" s="1"/>
      <c r="AD452" s="1"/>
      <c r="AE452" s="1"/>
      <c r="AF452" s="1">
        <v>-51.188889</v>
      </c>
      <c r="AG452" s="1">
        <v>-3.481667</v>
      </c>
      <c r="AH452" s="1" t="s">
        <v>3078</v>
      </c>
      <c r="AI452" s="1"/>
      <c r="AJ452" s="1" t="s">
        <v>120</v>
      </c>
      <c r="AK452" s="1"/>
      <c r="AL452" s="1" t="s">
        <v>128</v>
      </c>
      <c r="AM452" s="1" t="s">
        <v>65</v>
      </c>
      <c r="AN452" s="1" t="s">
        <v>1726</v>
      </c>
      <c r="AO452" s="2" t="s">
        <v>529</v>
      </c>
      <c r="AP452" s="2" t="s">
        <v>3079</v>
      </c>
      <c r="AQ452" s="1" t="s">
        <v>132</v>
      </c>
      <c r="AR452" s="1" t="s">
        <v>3080</v>
      </c>
      <c r="AS452" s="1" t="s">
        <v>3081</v>
      </c>
      <c r="AT452" s="2" t="s">
        <v>70</v>
      </c>
    </row>
    <row r="453">
      <c r="A453" s="1"/>
      <c r="B453" s="1" t="s">
        <v>46</v>
      </c>
      <c r="C453" s="1" t="s">
        <v>47</v>
      </c>
      <c r="D453" s="1"/>
      <c r="E453" s="1" t="s">
        <v>3082</v>
      </c>
      <c r="F453" s="1"/>
      <c r="G453" s="1" t="s">
        <v>49</v>
      </c>
      <c r="H453" s="1" t="s">
        <v>72</v>
      </c>
      <c r="I453" s="1">
        <v>6601.68</v>
      </c>
      <c r="J453" s="1"/>
      <c r="K453" s="1"/>
      <c r="L453" s="1"/>
      <c r="M453" s="1" t="s">
        <v>3083</v>
      </c>
      <c r="N453" s="1" t="s">
        <v>109</v>
      </c>
      <c r="O453" s="1" t="s">
        <v>110</v>
      </c>
      <c r="P453" s="2" t="s">
        <v>3084</v>
      </c>
      <c r="Q453" s="1" t="s">
        <v>56</v>
      </c>
      <c r="R453" s="1"/>
      <c r="S453" s="1" t="s">
        <v>97</v>
      </c>
      <c r="T453" s="1">
        <v>1301704.0</v>
      </c>
      <c r="U453" s="1" t="s">
        <v>98</v>
      </c>
      <c r="V453" s="1" t="s">
        <v>99</v>
      </c>
      <c r="W453" s="1" t="s">
        <v>100</v>
      </c>
      <c r="X453" s="1"/>
      <c r="Y453" s="1"/>
      <c r="Z453" s="1" t="s">
        <v>112</v>
      </c>
      <c r="AA453" s="1" t="s">
        <v>3085</v>
      </c>
      <c r="AB453" s="1" t="str">
        <f>"***419772**"</f>
        <v>***419772**</v>
      </c>
      <c r="AC453" s="1"/>
      <c r="AD453" s="1" t="s">
        <v>81</v>
      </c>
      <c r="AE453" s="1"/>
      <c r="AF453" s="1">
        <v>-63.077833</v>
      </c>
      <c r="AG453" s="1">
        <v>-7.551111</v>
      </c>
      <c r="AH453" s="1" t="s">
        <v>103</v>
      </c>
      <c r="AI453" s="1"/>
      <c r="AJ453" s="1" t="s">
        <v>104</v>
      </c>
      <c r="AK453" s="1"/>
      <c r="AL453" s="1"/>
      <c r="AM453" s="1" t="s">
        <v>65</v>
      </c>
      <c r="AN453" s="1"/>
      <c r="AO453" s="1"/>
      <c r="AP453" s="2" t="s">
        <v>3086</v>
      </c>
      <c r="AQ453" s="1"/>
      <c r="AR453" s="1" t="s">
        <v>115</v>
      </c>
      <c r="AS453" s="1"/>
      <c r="AT453" s="2" t="s">
        <v>70</v>
      </c>
    </row>
    <row r="454">
      <c r="A454" s="1">
        <v>2043133.0</v>
      </c>
      <c r="B454" s="1" t="s">
        <v>116</v>
      </c>
      <c r="C454" s="1" t="s">
        <v>117</v>
      </c>
      <c r="D454" s="1" t="s">
        <v>46</v>
      </c>
      <c r="E454" s="1" t="s">
        <v>3087</v>
      </c>
      <c r="F454" s="1"/>
      <c r="G454" s="1" t="s">
        <v>119</v>
      </c>
      <c r="H454" s="1" t="s">
        <v>50</v>
      </c>
      <c r="I454" s="1">
        <v>1000.0</v>
      </c>
      <c r="J454" s="1"/>
      <c r="K454" s="1"/>
      <c r="L454" s="1" t="s">
        <v>485</v>
      </c>
      <c r="M454" s="1" t="s">
        <v>3088</v>
      </c>
      <c r="N454" s="1" t="s">
        <v>285</v>
      </c>
      <c r="O454" s="1" t="s">
        <v>286</v>
      </c>
      <c r="P454" s="2" t="s">
        <v>3089</v>
      </c>
      <c r="Q454" s="1" t="s">
        <v>56</v>
      </c>
      <c r="R454" s="2" t="s">
        <v>2908</v>
      </c>
      <c r="S454" s="1" t="s">
        <v>488</v>
      </c>
      <c r="T454" s="1">
        <v>1709302.0</v>
      </c>
      <c r="U454" s="1" t="s">
        <v>3090</v>
      </c>
      <c r="V454" s="1" t="s">
        <v>490</v>
      </c>
      <c r="W454" s="1" t="s">
        <v>172</v>
      </c>
      <c r="X454" s="1"/>
      <c r="Y454" s="1" t="str">
        <f>"02029000110202111"</f>
        <v>02029000110202111</v>
      </c>
      <c r="Z454" s="1" t="s">
        <v>292</v>
      </c>
      <c r="AA454" s="1" t="s">
        <v>3091</v>
      </c>
      <c r="AB454" s="1" t="str">
        <f>"01937907000144"</f>
        <v>01937907000144</v>
      </c>
      <c r="AC454" s="1"/>
      <c r="AD454" s="1"/>
      <c r="AE454" s="1"/>
      <c r="AF454" s="1">
        <v>-48.515556</v>
      </c>
      <c r="AG454" s="1">
        <v>-8.836667</v>
      </c>
      <c r="AH454" s="1" t="s">
        <v>3092</v>
      </c>
      <c r="AI454" s="1">
        <v>451168.0</v>
      </c>
      <c r="AJ454" s="1" t="s">
        <v>485</v>
      </c>
      <c r="AK454" s="1"/>
      <c r="AL454" s="1" t="s">
        <v>128</v>
      </c>
      <c r="AM454" s="1" t="s">
        <v>65</v>
      </c>
      <c r="AN454" s="1" t="s">
        <v>296</v>
      </c>
      <c r="AO454" s="2" t="s">
        <v>3093</v>
      </c>
      <c r="AP454" s="2" t="s">
        <v>3094</v>
      </c>
      <c r="AQ454" s="1" t="s">
        <v>132</v>
      </c>
      <c r="AR454" s="1" t="s">
        <v>693</v>
      </c>
      <c r="AS454" s="1"/>
      <c r="AT454" s="2" t="s">
        <v>70</v>
      </c>
    </row>
    <row r="455">
      <c r="A455" s="1"/>
      <c r="B455" s="1" t="s">
        <v>46</v>
      </c>
      <c r="C455" s="1" t="s">
        <v>47</v>
      </c>
      <c r="D455" s="1"/>
      <c r="E455" s="1" t="s">
        <v>3095</v>
      </c>
      <c r="F455" s="1"/>
      <c r="G455" s="1" t="s">
        <v>49</v>
      </c>
      <c r="H455" s="1" t="s">
        <v>50</v>
      </c>
      <c r="I455" s="1">
        <v>500.0</v>
      </c>
      <c r="J455" s="1"/>
      <c r="K455" s="1" t="s">
        <v>51</v>
      </c>
      <c r="L455" s="1"/>
      <c r="M455" s="1" t="s">
        <v>3096</v>
      </c>
      <c r="N455" s="1" t="s">
        <v>109</v>
      </c>
      <c r="O455" s="1" t="s">
        <v>110</v>
      </c>
      <c r="P455" s="2" t="s">
        <v>3097</v>
      </c>
      <c r="Q455" s="1" t="s">
        <v>77</v>
      </c>
      <c r="R455" s="1"/>
      <c r="S455" s="1" t="s">
        <v>1468</v>
      </c>
      <c r="T455" s="1">
        <v>5002704.0</v>
      </c>
      <c r="U455" s="1" t="s">
        <v>3098</v>
      </c>
      <c r="V455" s="1" t="s">
        <v>1470</v>
      </c>
      <c r="W455" s="1" t="s">
        <v>172</v>
      </c>
      <c r="X455" s="1"/>
      <c r="Y455" s="1"/>
      <c r="Z455" s="1" t="s">
        <v>112</v>
      </c>
      <c r="AA455" s="1" t="s">
        <v>3099</v>
      </c>
      <c r="AB455" s="1" t="str">
        <f>"***483901**"</f>
        <v>***483901**</v>
      </c>
      <c r="AC455" s="1"/>
      <c r="AD455" s="1" t="s">
        <v>81</v>
      </c>
      <c r="AE455" s="1"/>
      <c r="AF455" s="1">
        <v>-54.6625</v>
      </c>
      <c r="AG455" s="1">
        <v>-20.414167</v>
      </c>
      <c r="AH455" s="1" t="s">
        <v>3100</v>
      </c>
      <c r="AI455" s="1"/>
      <c r="AJ455" s="1" t="s">
        <v>1473</v>
      </c>
      <c r="AK455" s="1"/>
      <c r="AL455" s="1"/>
      <c r="AM455" s="1" t="s">
        <v>65</v>
      </c>
      <c r="AN455" s="1"/>
      <c r="AO455" s="1"/>
      <c r="AP455" s="2" t="s">
        <v>3101</v>
      </c>
      <c r="AQ455" s="1"/>
      <c r="AR455" s="1" t="s">
        <v>310</v>
      </c>
      <c r="AS455" s="1"/>
      <c r="AT455" s="2" t="s">
        <v>70</v>
      </c>
    </row>
    <row r="456">
      <c r="A456" s="1">
        <v>2043260.0</v>
      </c>
      <c r="B456" s="1" t="s">
        <v>116</v>
      </c>
      <c r="C456" s="1" t="s">
        <v>117</v>
      </c>
      <c r="D456" s="1" t="s">
        <v>46</v>
      </c>
      <c r="E456" s="1" t="s">
        <v>3102</v>
      </c>
      <c r="F456" s="1"/>
      <c r="G456" s="1" t="s">
        <v>119</v>
      </c>
      <c r="H456" s="1" t="s">
        <v>50</v>
      </c>
      <c r="I456" s="1">
        <v>12040.0</v>
      </c>
      <c r="J456" s="1"/>
      <c r="K456" s="1"/>
      <c r="L456" s="1" t="s">
        <v>417</v>
      </c>
      <c r="M456" s="1" t="s">
        <v>3103</v>
      </c>
      <c r="N456" s="1" t="s">
        <v>109</v>
      </c>
      <c r="O456" s="1" t="s">
        <v>110</v>
      </c>
      <c r="P456" s="2" t="s">
        <v>3104</v>
      </c>
      <c r="Q456" s="1" t="s">
        <v>56</v>
      </c>
      <c r="R456" s="1"/>
      <c r="S456" s="1" t="s">
        <v>412</v>
      </c>
      <c r="T456" s="1">
        <v>2707107.0</v>
      </c>
      <c r="U456" s="1" t="s">
        <v>413</v>
      </c>
      <c r="V456" s="1" t="s">
        <v>414</v>
      </c>
      <c r="W456" s="1" t="s">
        <v>291</v>
      </c>
      <c r="X456" s="1"/>
      <c r="Y456" s="1" t="str">
        <f>"02003000152202141"</f>
        <v>02003000152202141</v>
      </c>
      <c r="Z456" s="1" t="s">
        <v>112</v>
      </c>
      <c r="AA456" s="1" t="s">
        <v>3105</v>
      </c>
      <c r="AB456" s="1" t="str">
        <f t="shared" ref="AB456:AB457" si="26">"***931705**"</f>
        <v>***931705**</v>
      </c>
      <c r="AC456" s="1"/>
      <c r="AD456" s="1"/>
      <c r="AE456" s="1"/>
      <c r="AF456" s="1">
        <v>-37.738333</v>
      </c>
      <c r="AG456" s="1">
        <v>-9.623889</v>
      </c>
      <c r="AH456" s="1" t="s">
        <v>3106</v>
      </c>
      <c r="AI456" s="1"/>
      <c r="AJ456" s="1" t="s">
        <v>417</v>
      </c>
      <c r="AK456" s="1"/>
      <c r="AL456" s="1" t="s">
        <v>128</v>
      </c>
      <c r="AM456" s="1" t="s">
        <v>65</v>
      </c>
      <c r="AN456" s="1" t="s">
        <v>274</v>
      </c>
      <c r="AO456" s="2" t="s">
        <v>2671</v>
      </c>
      <c r="AP456" s="2" t="s">
        <v>3107</v>
      </c>
      <c r="AQ456" s="1" t="s">
        <v>132</v>
      </c>
      <c r="AR456" s="1" t="s">
        <v>3108</v>
      </c>
      <c r="AS456" s="1"/>
      <c r="AT456" s="2" t="s">
        <v>70</v>
      </c>
    </row>
    <row r="457">
      <c r="A457" s="1">
        <v>2043256.0</v>
      </c>
      <c r="B457" s="1" t="s">
        <v>116</v>
      </c>
      <c r="C457" s="1" t="s">
        <v>117</v>
      </c>
      <c r="D457" s="1" t="s">
        <v>46</v>
      </c>
      <c r="E457" s="1" t="s">
        <v>3109</v>
      </c>
      <c r="F457" s="1"/>
      <c r="G457" s="1" t="s">
        <v>119</v>
      </c>
      <c r="H457" s="1" t="s">
        <v>72</v>
      </c>
      <c r="I457" s="1">
        <v>35000.0</v>
      </c>
      <c r="J457" s="1"/>
      <c r="K457" s="1"/>
      <c r="L457" s="1" t="s">
        <v>417</v>
      </c>
      <c r="M457" s="1" t="s">
        <v>3110</v>
      </c>
      <c r="N457" s="1" t="s">
        <v>109</v>
      </c>
      <c r="O457" s="1" t="s">
        <v>110</v>
      </c>
      <c r="P457" s="2" t="s">
        <v>3111</v>
      </c>
      <c r="Q457" s="1" t="s">
        <v>56</v>
      </c>
      <c r="R457" s="1"/>
      <c r="S457" s="1" t="s">
        <v>412</v>
      </c>
      <c r="T457" s="1">
        <v>2707107.0</v>
      </c>
      <c r="U457" s="1" t="s">
        <v>413</v>
      </c>
      <c r="V457" s="1" t="s">
        <v>414</v>
      </c>
      <c r="W457" s="1" t="s">
        <v>291</v>
      </c>
      <c r="X457" s="1"/>
      <c r="Y457" s="1" t="str">
        <f>"02003000148202182"</f>
        <v>02003000148202182</v>
      </c>
      <c r="Z457" s="1" t="s">
        <v>112</v>
      </c>
      <c r="AA457" s="1" t="s">
        <v>3105</v>
      </c>
      <c r="AB457" s="1" t="str">
        <f t="shared" si="26"/>
        <v>***931705**</v>
      </c>
      <c r="AC457" s="1"/>
      <c r="AD457" s="1"/>
      <c r="AE457" s="1"/>
      <c r="AF457" s="1">
        <v>-37.738333</v>
      </c>
      <c r="AG457" s="1">
        <v>-9.623889</v>
      </c>
      <c r="AH457" s="1" t="s">
        <v>3112</v>
      </c>
      <c r="AI457" s="1"/>
      <c r="AJ457" s="1" t="s">
        <v>417</v>
      </c>
      <c r="AK457" s="1"/>
      <c r="AL457" s="1" t="s">
        <v>128</v>
      </c>
      <c r="AM457" s="1" t="s">
        <v>65</v>
      </c>
      <c r="AN457" s="1" t="s">
        <v>274</v>
      </c>
      <c r="AO457" s="2" t="s">
        <v>2671</v>
      </c>
      <c r="AP457" s="2" t="s">
        <v>3113</v>
      </c>
      <c r="AQ457" s="1" t="s">
        <v>132</v>
      </c>
      <c r="AR457" s="1" t="s">
        <v>2564</v>
      </c>
      <c r="AS457" s="1"/>
      <c r="AT457" s="2" t="s">
        <v>70</v>
      </c>
    </row>
    <row r="458">
      <c r="A458" s="1">
        <v>2043319.0</v>
      </c>
      <c r="B458" s="1" t="s">
        <v>116</v>
      </c>
      <c r="C458" s="1" t="s">
        <v>117</v>
      </c>
      <c r="D458" s="1" t="s">
        <v>46</v>
      </c>
      <c r="E458" s="1" t="s">
        <v>3114</v>
      </c>
      <c r="F458" s="1"/>
      <c r="G458" s="1" t="s">
        <v>119</v>
      </c>
      <c r="H458" s="1" t="s">
        <v>50</v>
      </c>
      <c r="I458" s="1">
        <v>800.0</v>
      </c>
      <c r="J458" s="1"/>
      <c r="K458" s="1"/>
      <c r="L458" s="1" t="s">
        <v>2856</v>
      </c>
      <c r="M458" s="1" t="s">
        <v>3115</v>
      </c>
      <c r="N458" s="1" t="s">
        <v>74</v>
      </c>
      <c r="O458" s="1" t="s">
        <v>75</v>
      </c>
      <c r="P458" s="2" t="s">
        <v>3111</v>
      </c>
      <c r="Q458" s="1" t="s">
        <v>56</v>
      </c>
      <c r="R458" s="1"/>
      <c r="S458" s="1" t="s">
        <v>2859</v>
      </c>
      <c r="T458" s="1">
        <v>2407203.0</v>
      </c>
      <c r="U458" s="1" t="s">
        <v>3116</v>
      </c>
      <c r="V458" s="1" t="s">
        <v>1084</v>
      </c>
      <c r="W458" s="1" t="s">
        <v>60</v>
      </c>
      <c r="X458" s="1"/>
      <c r="Y458" s="1" t="str">
        <f>"02021000098202115"</f>
        <v>02021000098202115</v>
      </c>
      <c r="Z458" s="1" t="s">
        <v>79</v>
      </c>
      <c r="AA458" s="1" t="s">
        <v>3117</v>
      </c>
      <c r="AB458" s="1" t="str">
        <f>"***427004**"</f>
        <v>***427004**</v>
      </c>
      <c r="AC458" s="1"/>
      <c r="AD458" s="1"/>
      <c r="AE458" s="1"/>
      <c r="AF458" s="1">
        <v>-36.655278</v>
      </c>
      <c r="AG458" s="1">
        <v>-5.098333</v>
      </c>
      <c r="AH458" s="1" t="s">
        <v>3118</v>
      </c>
      <c r="AI458" s="1"/>
      <c r="AJ458" s="1" t="s">
        <v>2856</v>
      </c>
      <c r="AK458" s="1"/>
      <c r="AL458" s="1" t="s">
        <v>128</v>
      </c>
      <c r="AM458" s="1" t="s">
        <v>65</v>
      </c>
      <c r="AN458" s="1" t="s">
        <v>3119</v>
      </c>
      <c r="AO458" s="2" t="s">
        <v>2407</v>
      </c>
      <c r="AP458" s="2" t="s">
        <v>3120</v>
      </c>
      <c r="AQ458" s="1" t="s">
        <v>132</v>
      </c>
      <c r="AR458" s="1" t="s">
        <v>3121</v>
      </c>
      <c r="AS458" s="1" t="s">
        <v>3122</v>
      </c>
      <c r="AT458" s="2" t="s">
        <v>70</v>
      </c>
    </row>
    <row r="459">
      <c r="A459" s="1">
        <v>2043320.0</v>
      </c>
      <c r="B459" s="1" t="s">
        <v>116</v>
      </c>
      <c r="C459" s="1" t="s">
        <v>117</v>
      </c>
      <c r="D459" s="1" t="s">
        <v>46</v>
      </c>
      <c r="E459" s="1" t="s">
        <v>3123</v>
      </c>
      <c r="F459" s="1"/>
      <c r="G459" s="1" t="s">
        <v>119</v>
      </c>
      <c r="H459" s="1" t="s">
        <v>50</v>
      </c>
      <c r="I459" s="1">
        <v>1100.0</v>
      </c>
      <c r="J459" s="1"/>
      <c r="K459" s="1"/>
      <c r="L459" s="1" t="s">
        <v>2856</v>
      </c>
      <c r="M459" s="1" t="s">
        <v>3124</v>
      </c>
      <c r="N459" s="1" t="s">
        <v>74</v>
      </c>
      <c r="O459" s="1" t="s">
        <v>75</v>
      </c>
      <c r="P459" s="2" t="s">
        <v>3111</v>
      </c>
      <c r="Q459" s="1" t="s">
        <v>56</v>
      </c>
      <c r="R459" s="1"/>
      <c r="S459" s="1" t="s">
        <v>2859</v>
      </c>
      <c r="T459" s="1">
        <v>2407203.0</v>
      </c>
      <c r="U459" s="1" t="s">
        <v>3116</v>
      </c>
      <c r="V459" s="1" t="s">
        <v>1084</v>
      </c>
      <c r="W459" s="1" t="s">
        <v>60</v>
      </c>
      <c r="X459" s="1"/>
      <c r="Y459" s="1" t="str">
        <f>"02021000099202160"</f>
        <v>02021000099202160</v>
      </c>
      <c r="Z459" s="1" t="s">
        <v>79</v>
      </c>
      <c r="AA459" s="1" t="s">
        <v>3125</v>
      </c>
      <c r="AB459" s="1" t="str">
        <f>"***825934**"</f>
        <v>***825934**</v>
      </c>
      <c r="AC459" s="1"/>
      <c r="AD459" s="1"/>
      <c r="AE459" s="1"/>
      <c r="AF459" s="1">
        <v>-36.655278</v>
      </c>
      <c r="AG459" s="1">
        <v>-5.098333</v>
      </c>
      <c r="AH459" s="1" t="s">
        <v>3126</v>
      </c>
      <c r="AI459" s="1"/>
      <c r="AJ459" s="1" t="s">
        <v>2856</v>
      </c>
      <c r="AK459" s="1"/>
      <c r="AL459" s="1" t="s">
        <v>128</v>
      </c>
      <c r="AM459" s="1" t="s">
        <v>65</v>
      </c>
      <c r="AN459" s="1" t="s">
        <v>3119</v>
      </c>
      <c r="AO459" s="2" t="s">
        <v>2407</v>
      </c>
      <c r="AP459" s="2" t="s">
        <v>3127</v>
      </c>
      <c r="AQ459" s="1" t="s">
        <v>132</v>
      </c>
      <c r="AR459" s="1" t="s">
        <v>3121</v>
      </c>
      <c r="AS459" s="1" t="s">
        <v>3122</v>
      </c>
      <c r="AT459" s="2" t="s">
        <v>70</v>
      </c>
    </row>
    <row r="460">
      <c r="A460" s="1"/>
      <c r="B460" s="1" t="s">
        <v>46</v>
      </c>
      <c r="C460" s="1" t="s">
        <v>47</v>
      </c>
      <c r="D460" s="1"/>
      <c r="E460" s="1" t="s">
        <v>3128</v>
      </c>
      <c r="F460" s="1"/>
      <c r="G460" s="1" t="s">
        <v>49</v>
      </c>
      <c r="H460" s="1" t="s">
        <v>50</v>
      </c>
      <c r="I460" s="1">
        <v>1800.0</v>
      </c>
      <c r="J460" s="1"/>
      <c r="K460" s="1" t="s">
        <v>92</v>
      </c>
      <c r="L460" s="1"/>
      <c r="M460" s="1" t="s">
        <v>3129</v>
      </c>
      <c r="N460" s="1" t="s">
        <v>74</v>
      </c>
      <c r="O460" s="1" t="s">
        <v>75</v>
      </c>
      <c r="P460" s="2" t="s">
        <v>3130</v>
      </c>
      <c r="Q460" s="1" t="s">
        <v>77</v>
      </c>
      <c r="R460" s="1"/>
      <c r="S460" s="1" t="s">
        <v>220</v>
      </c>
      <c r="T460" s="1">
        <v>2513703.0</v>
      </c>
      <c r="U460" s="1" t="s">
        <v>3131</v>
      </c>
      <c r="V460" s="1" t="s">
        <v>1175</v>
      </c>
      <c r="W460" s="1" t="s">
        <v>60</v>
      </c>
      <c r="X460" s="1"/>
      <c r="Y460" s="1"/>
      <c r="Z460" s="1" t="s">
        <v>79</v>
      </c>
      <c r="AA460" s="1" t="s">
        <v>3132</v>
      </c>
      <c r="AB460" s="1" t="str">
        <f>"***657154**"</f>
        <v>***657154**</v>
      </c>
      <c r="AC460" s="1"/>
      <c r="AD460" s="1" t="s">
        <v>81</v>
      </c>
      <c r="AE460" s="1"/>
      <c r="AF460" s="1">
        <v>-34.876944</v>
      </c>
      <c r="AG460" s="1">
        <v>-6.983889</v>
      </c>
      <c r="AH460" s="1" t="s">
        <v>3133</v>
      </c>
      <c r="AI460" s="1"/>
      <c r="AJ460" s="1" t="s">
        <v>1178</v>
      </c>
      <c r="AK460" s="1"/>
      <c r="AL460" s="1"/>
      <c r="AM460" s="1" t="s">
        <v>65</v>
      </c>
      <c r="AN460" s="1" t="s">
        <v>3053</v>
      </c>
      <c r="AO460" s="1"/>
      <c r="AP460" s="2" t="s">
        <v>3134</v>
      </c>
      <c r="AQ460" s="1"/>
      <c r="AR460" s="1" t="s">
        <v>3055</v>
      </c>
      <c r="AS460" s="1"/>
      <c r="AT460" s="2" t="s">
        <v>70</v>
      </c>
    </row>
    <row r="461">
      <c r="A461" s="1">
        <v>2043188.0</v>
      </c>
      <c r="B461" s="1" t="s">
        <v>116</v>
      </c>
      <c r="C461" s="1" t="s">
        <v>117</v>
      </c>
      <c r="D461" s="1" t="s">
        <v>46</v>
      </c>
      <c r="E461" s="1" t="s">
        <v>3135</v>
      </c>
      <c r="F461" s="1"/>
      <c r="G461" s="1" t="s">
        <v>119</v>
      </c>
      <c r="H461" s="1" t="s">
        <v>50</v>
      </c>
      <c r="I461" s="1">
        <v>40500.0</v>
      </c>
      <c r="J461" s="1"/>
      <c r="K461" s="1"/>
      <c r="L461" s="1" t="s">
        <v>405</v>
      </c>
      <c r="M461" s="1" t="s">
        <v>3136</v>
      </c>
      <c r="N461" s="1" t="s">
        <v>74</v>
      </c>
      <c r="O461" s="1" t="s">
        <v>75</v>
      </c>
      <c r="P461" s="2" t="s">
        <v>3137</v>
      </c>
      <c r="Q461" s="1" t="s">
        <v>56</v>
      </c>
      <c r="R461" s="1"/>
      <c r="S461" s="1" t="s">
        <v>400</v>
      </c>
      <c r="T461" s="1">
        <v>4315602.0</v>
      </c>
      <c r="U461" s="1" t="s">
        <v>1042</v>
      </c>
      <c r="V461" s="1" t="s">
        <v>402</v>
      </c>
      <c r="W461" s="1" t="s">
        <v>60</v>
      </c>
      <c r="X461" s="1"/>
      <c r="Y461" s="1"/>
      <c r="Z461" s="1" t="s">
        <v>79</v>
      </c>
      <c r="AA461" s="1" t="s">
        <v>3138</v>
      </c>
      <c r="AB461" s="1" t="str">
        <f>"***375829**"</f>
        <v>***375829**</v>
      </c>
      <c r="AC461" s="1"/>
      <c r="AD461" s="1"/>
      <c r="AE461" s="1"/>
      <c r="AF461" s="1">
        <v>-52.093056</v>
      </c>
      <c r="AG461" s="1">
        <v>-32.029722</v>
      </c>
      <c r="AH461" s="1" t="s">
        <v>3139</v>
      </c>
      <c r="AI461" s="1"/>
      <c r="AJ461" s="1" t="s">
        <v>405</v>
      </c>
      <c r="AK461" s="1"/>
      <c r="AL461" s="1" t="s">
        <v>128</v>
      </c>
      <c r="AM461" s="1" t="s">
        <v>65</v>
      </c>
      <c r="AN461" s="1" t="s">
        <v>159</v>
      </c>
      <c r="AO461" s="2" t="s">
        <v>2903</v>
      </c>
      <c r="AP461" s="2" t="s">
        <v>3140</v>
      </c>
      <c r="AQ461" s="1" t="s">
        <v>132</v>
      </c>
      <c r="AR461" s="1" t="s">
        <v>2447</v>
      </c>
      <c r="AS461" s="1" t="s">
        <v>3141</v>
      </c>
      <c r="AT461" s="2" t="s">
        <v>70</v>
      </c>
    </row>
    <row r="462">
      <c r="A462" s="1">
        <v>2043681.0</v>
      </c>
      <c r="B462" s="1" t="s">
        <v>116</v>
      </c>
      <c r="C462" s="1" t="s">
        <v>117</v>
      </c>
      <c r="D462" s="1" t="s">
        <v>46</v>
      </c>
      <c r="E462" s="1" t="s">
        <v>3142</v>
      </c>
      <c r="F462" s="1"/>
      <c r="G462" s="1" t="s">
        <v>119</v>
      </c>
      <c r="H462" s="1" t="s">
        <v>72</v>
      </c>
      <c r="I462" s="1">
        <v>4446.9</v>
      </c>
      <c r="J462" s="1"/>
      <c r="K462" s="1"/>
      <c r="L462" s="1" t="s">
        <v>120</v>
      </c>
      <c r="M462" s="1" t="s">
        <v>3143</v>
      </c>
      <c r="N462" s="1" t="s">
        <v>109</v>
      </c>
      <c r="O462" s="1" t="s">
        <v>110</v>
      </c>
      <c r="P462" s="2" t="s">
        <v>3137</v>
      </c>
      <c r="Q462" s="1" t="s">
        <v>77</v>
      </c>
      <c r="R462" s="2" t="s">
        <v>3144</v>
      </c>
      <c r="S462" s="1" t="s">
        <v>1349</v>
      </c>
      <c r="T462" s="1">
        <v>1500859.0</v>
      </c>
      <c r="U462" s="1" t="s">
        <v>1723</v>
      </c>
      <c r="V462" s="1" t="s">
        <v>917</v>
      </c>
      <c r="W462" s="1" t="s">
        <v>100</v>
      </c>
      <c r="X462" s="1"/>
      <c r="Y462" s="1" t="str">
        <f>"02001003636202161"</f>
        <v>02001003636202161</v>
      </c>
      <c r="Z462" s="1" t="s">
        <v>112</v>
      </c>
      <c r="AA462" s="1" t="s">
        <v>3145</v>
      </c>
      <c r="AB462" s="1" t="str">
        <f>"22608433000167"</f>
        <v>22608433000167</v>
      </c>
      <c r="AC462" s="1"/>
      <c r="AD462" s="1"/>
      <c r="AE462" s="1"/>
      <c r="AF462" s="1">
        <v>-51.194444</v>
      </c>
      <c r="AG462" s="1">
        <v>-3.477778</v>
      </c>
      <c r="AH462" s="1" t="s">
        <v>3146</v>
      </c>
      <c r="AI462" s="1"/>
      <c r="AJ462" s="1" t="s">
        <v>120</v>
      </c>
      <c r="AK462" s="1"/>
      <c r="AL462" s="1" t="s">
        <v>128</v>
      </c>
      <c r="AM462" s="1" t="s">
        <v>65</v>
      </c>
      <c r="AN462" s="1" t="s">
        <v>1726</v>
      </c>
      <c r="AO462" s="2" t="s">
        <v>1068</v>
      </c>
      <c r="AP462" s="2" t="s">
        <v>3147</v>
      </c>
      <c r="AQ462" s="1" t="s">
        <v>132</v>
      </c>
      <c r="AR462" s="1" t="s">
        <v>470</v>
      </c>
      <c r="AS462" s="1"/>
      <c r="AT462" s="2" t="s">
        <v>70</v>
      </c>
    </row>
    <row r="463">
      <c r="A463" s="1">
        <v>2043328.0</v>
      </c>
      <c r="B463" s="1" t="s">
        <v>116</v>
      </c>
      <c r="C463" s="1" t="s">
        <v>117</v>
      </c>
      <c r="D463" s="1" t="s">
        <v>46</v>
      </c>
      <c r="E463" s="1" t="s">
        <v>3148</v>
      </c>
      <c r="F463" s="1"/>
      <c r="G463" s="1" t="s">
        <v>119</v>
      </c>
      <c r="H463" s="1" t="s">
        <v>72</v>
      </c>
      <c r="I463" s="1">
        <v>10000.0</v>
      </c>
      <c r="J463" s="1"/>
      <c r="K463" s="1"/>
      <c r="L463" s="1" t="s">
        <v>2856</v>
      </c>
      <c r="M463" s="1" t="s">
        <v>3149</v>
      </c>
      <c r="N463" s="1" t="s">
        <v>257</v>
      </c>
      <c r="O463" s="1" t="s">
        <v>258</v>
      </c>
      <c r="P463" s="2" t="s">
        <v>3150</v>
      </c>
      <c r="Q463" s="1" t="s">
        <v>56</v>
      </c>
      <c r="R463" s="2" t="s">
        <v>3144</v>
      </c>
      <c r="S463" s="1" t="s">
        <v>2859</v>
      </c>
      <c r="T463" s="1">
        <v>2408102.0</v>
      </c>
      <c r="U463" s="1" t="s">
        <v>1083</v>
      </c>
      <c r="V463" s="1" t="s">
        <v>1084</v>
      </c>
      <c r="W463" s="1" t="s">
        <v>291</v>
      </c>
      <c r="X463" s="1"/>
      <c r="Y463" s="1" t="str">
        <f>"02021000106202123"</f>
        <v>02021000106202123</v>
      </c>
      <c r="Z463" s="1" t="s">
        <v>260</v>
      </c>
      <c r="AA463" s="1" t="s">
        <v>3151</v>
      </c>
      <c r="AB463" s="1" t="str">
        <f>"***344204**"</f>
        <v>***344204**</v>
      </c>
      <c r="AC463" s="1"/>
      <c r="AD463" s="1"/>
      <c r="AE463" s="1"/>
      <c r="AF463" s="1">
        <v>-35.195278</v>
      </c>
      <c r="AG463" s="1">
        <v>-5.809722</v>
      </c>
      <c r="AH463" s="1" t="s">
        <v>3152</v>
      </c>
      <c r="AI463" s="1"/>
      <c r="AJ463" s="1" t="s">
        <v>2856</v>
      </c>
      <c r="AK463" s="1"/>
      <c r="AL463" s="1" t="s">
        <v>128</v>
      </c>
      <c r="AM463" s="1" t="s">
        <v>65</v>
      </c>
      <c r="AN463" s="1" t="s">
        <v>159</v>
      </c>
      <c r="AO463" s="2" t="s">
        <v>2407</v>
      </c>
      <c r="AP463" s="2" t="s">
        <v>3153</v>
      </c>
      <c r="AQ463" s="1" t="s">
        <v>132</v>
      </c>
      <c r="AR463" s="1" t="s">
        <v>1318</v>
      </c>
      <c r="AS463" s="1"/>
      <c r="AT463" s="2" t="s">
        <v>70</v>
      </c>
    </row>
    <row r="464">
      <c r="A464" s="1">
        <v>2043451.0</v>
      </c>
      <c r="B464" s="1" t="s">
        <v>116</v>
      </c>
      <c r="C464" s="1" t="s">
        <v>117</v>
      </c>
      <c r="D464" s="1" t="s">
        <v>46</v>
      </c>
      <c r="E464" s="1" t="s">
        <v>3154</v>
      </c>
      <c r="F464" s="1"/>
      <c r="G464" s="1" t="s">
        <v>119</v>
      </c>
      <c r="H464" s="1" t="s">
        <v>50</v>
      </c>
      <c r="I464" s="1">
        <v>301000.0</v>
      </c>
      <c r="J464" s="1"/>
      <c r="K464" s="1"/>
      <c r="L464" s="1" t="s">
        <v>120</v>
      </c>
      <c r="M464" s="1" t="s">
        <v>3155</v>
      </c>
      <c r="N464" s="1" t="s">
        <v>186</v>
      </c>
      <c r="O464" s="1" t="s">
        <v>302</v>
      </c>
      <c r="P464" s="2" t="s">
        <v>3150</v>
      </c>
      <c r="Q464" s="1" t="s">
        <v>56</v>
      </c>
      <c r="R464" s="1"/>
      <c r="S464" s="1" t="s">
        <v>57</v>
      </c>
      <c r="T464" s="1">
        <v>3205309.0</v>
      </c>
      <c r="U464" s="1" t="s">
        <v>2037</v>
      </c>
      <c r="V464" s="1" t="s">
        <v>59</v>
      </c>
      <c r="W464" s="1" t="s">
        <v>60</v>
      </c>
      <c r="X464" s="1"/>
      <c r="Y464" s="1" t="str">
        <f>"02001003115202112"</f>
        <v>02001003115202112</v>
      </c>
      <c r="Z464" s="1" t="s">
        <v>306</v>
      </c>
      <c r="AA464" s="1" t="s">
        <v>3156</v>
      </c>
      <c r="AB464" s="1" t="str">
        <f>"33000167000454"</f>
        <v>33000167000454</v>
      </c>
      <c r="AC464" s="1"/>
      <c r="AD464" s="1"/>
      <c r="AE464" s="1"/>
      <c r="AF464" s="1">
        <v>-47.993333</v>
      </c>
      <c r="AG464" s="1">
        <v>-15.780278</v>
      </c>
      <c r="AH464" s="1" t="s">
        <v>3157</v>
      </c>
      <c r="AI464" s="1"/>
      <c r="AJ464" s="1" t="s">
        <v>120</v>
      </c>
      <c r="AK464" s="1"/>
      <c r="AL464" s="1" t="s">
        <v>128</v>
      </c>
      <c r="AM464" s="1" t="s">
        <v>65</v>
      </c>
      <c r="AN464" s="1" t="s">
        <v>66</v>
      </c>
      <c r="AO464" s="2" t="s">
        <v>1972</v>
      </c>
      <c r="AP464" s="2" t="s">
        <v>3158</v>
      </c>
      <c r="AQ464" s="1" t="s">
        <v>132</v>
      </c>
      <c r="AR464" s="1" t="s">
        <v>693</v>
      </c>
      <c r="AS464" s="1"/>
      <c r="AT464" s="2" t="s">
        <v>70</v>
      </c>
    </row>
    <row r="465">
      <c r="A465" s="1">
        <v>2043582.0</v>
      </c>
      <c r="B465" s="1" t="s">
        <v>116</v>
      </c>
      <c r="C465" s="1" t="s">
        <v>117</v>
      </c>
      <c r="D465" s="1" t="s">
        <v>46</v>
      </c>
      <c r="E465" s="1" t="s">
        <v>3159</v>
      </c>
      <c r="F465" s="1"/>
      <c r="G465" s="1" t="s">
        <v>119</v>
      </c>
      <c r="H465" s="1" t="s">
        <v>50</v>
      </c>
      <c r="I465" s="1">
        <v>1000.0</v>
      </c>
      <c r="J465" s="1"/>
      <c r="K465" s="1"/>
      <c r="L465" s="1" t="s">
        <v>120</v>
      </c>
      <c r="M465" s="1" t="s">
        <v>3160</v>
      </c>
      <c r="N465" s="1" t="s">
        <v>186</v>
      </c>
      <c r="O465" s="1" t="s">
        <v>302</v>
      </c>
      <c r="P465" s="2" t="s">
        <v>3150</v>
      </c>
      <c r="Q465" s="1" t="s">
        <v>77</v>
      </c>
      <c r="R465" s="2" t="s">
        <v>3144</v>
      </c>
      <c r="S465" s="1" t="s">
        <v>1349</v>
      </c>
      <c r="T465" s="1">
        <v>1500859.0</v>
      </c>
      <c r="U465" s="1" t="s">
        <v>1723</v>
      </c>
      <c r="V465" s="1" t="s">
        <v>917</v>
      </c>
      <c r="W465" s="1" t="s">
        <v>100</v>
      </c>
      <c r="X465" s="1"/>
      <c r="Y465" s="1" t="str">
        <f>"02001003404202111"</f>
        <v>02001003404202111</v>
      </c>
      <c r="Z465" s="1" t="s">
        <v>306</v>
      </c>
      <c r="AA465" s="1" t="s">
        <v>3161</v>
      </c>
      <c r="AB465" s="1" t="str">
        <f>"***846992**"</f>
        <v>***846992**</v>
      </c>
      <c r="AC465" s="1"/>
      <c r="AD465" s="1"/>
      <c r="AE465" s="1"/>
      <c r="AF465" s="1">
        <v>-51.183333</v>
      </c>
      <c r="AG465" s="1">
        <v>-3.499167</v>
      </c>
      <c r="AH465" s="1" t="s">
        <v>3162</v>
      </c>
      <c r="AI465" s="1"/>
      <c r="AJ465" s="1" t="s">
        <v>120</v>
      </c>
      <c r="AK465" s="1"/>
      <c r="AL465" s="1" t="s">
        <v>128</v>
      </c>
      <c r="AM465" s="1" t="s">
        <v>65</v>
      </c>
      <c r="AN465" s="1" t="s">
        <v>1726</v>
      </c>
      <c r="AO465" s="2" t="s">
        <v>1371</v>
      </c>
      <c r="AP465" s="2" t="s">
        <v>3163</v>
      </c>
      <c r="AQ465" s="1" t="s">
        <v>132</v>
      </c>
      <c r="AR465" s="1" t="s">
        <v>1242</v>
      </c>
      <c r="AS465" s="1"/>
      <c r="AT465" s="2" t="s">
        <v>70</v>
      </c>
    </row>
    <row r="466">
      <c r="A466" s="1"/>
      <c r="B466" s="1" t="s">
        <v>46</v>
      </c>
      <c r="C466" s="1" t="s">
        <v>47</v>
      </c>
      <c r="D466" s="1"/>
      <c r="E466" s="1" t="s">
        <v>3164</v>
      </c>
      <c r="F466" s="1"/>
      <c r="G466" s="1" t="s">
        <v>3165</v>
      </c>
      <c r="H466" s="1" t="s">
        <v>72</v>
      </c>
      <c r="I466" s="1">
        <v>110500.0</v>
      </c>
      <c r="J466" s="1"/>
      <c r="K466" s="1"/>
      <c r="L466" s="1"/>
      <c r="M466" s="1" t="s">
        <v>3166</v>
      </c>
      <c r="N466" s="1" t="s">
        <v>301</v>
      </c>
      <c r="O466" s="1" t="s">
        <v>302</v>
      </c>
      <c r="P466" s="2" t="s">
        <v>3167</v>
      </c>
      <c r="Q466" s="1" t="s">
        <v>77</v>
      </c>
      <c r="R466" s="1"/>
      <c r="S466" s="1" t="s">
        <v>220</v>
      </c>
      <c r="T466" s="1">
        <v>1500859.0</v>
      </c>
      <c r="U466" s="1" t="s">
        <v>1723</v>
      </c>
      <c r="V466" s="1" t="s">
        <v>917</v>
      </c>
      <c r="W466" s="1" t="s">
        <v>100</v>
      </c>
      <c r="X466" s="1"/>
      <c r="Y466" s="1"/>
      <c r="Z466" s="1" t="s">
        <v>306</v>
      </c>
      <c r="AA466" s="1" t="s">
        <v>3145</v>
      </c>
      <c r="AB466" s="1" t="str">
        <f>"22608433000167"</f>
        <v>22608433000167</v>
      </c>
      <c r="AC466" s="1"/>
      <c r="AD466" s="1" t="s">
        <v>62</v>
      </c>
      <c r="AE466" s="1"/>
      <c r="AF466" s="1">
        <v>-51.182778</v>
      </c>
      <c r="AG466" s="1">
        <v>-3.500833</v>
      </c>
      <c r="AH466" s="1" t="s">
        <v>3168</v>
      </c>
      <c r="AI466" s="1"/>
      <c r="AJ466" s="1" t="s">
        <v>1763</v>
      </c>
      <c r="AK466" s="1"/>
      <c r="AL466" s="1"/>
      <c r="AM466" s="1" t="s">
        <v>65</v>
      </c>
      <c r="AN466" s="1" t="s">
        <v>1726</v>
      </c>
      <c r="AO466" s="1"/>
      <c r="AP466" s="2" t="s">
        <v>3169</v>
      </c>
      <c r="AQ466" s="1"/>
      <c r="AR466" s="1" t="s">
        <v>3170</v>
      </c>
      <c r="AS466" s="1" t="s">
        <v>3171</v>
      </c>
      <c r="AT466" s="2" t="s">
        <v>70</v>
      </c>
    </row>
    <row r="467">
      <c r="A467" s="1">
        <v>2043321.0</v>
      </c>
      <c r="B467" s="1" t="s">
        <v>116</v>
      </c>
      <c r="C467" s="1" t="s">
        <v>117</v>
      </c>
      <c r="D467" s="1" t="s">
        <v>46</v>
      </c>
      <c r="E467" s="1" t="s">
        <v>3172</v>
      </c>
      <c r="F467" s="1"/>
      <c r="G467" s="1" t="s">
        <v>119</v>
      </c>
      <c r="H467" s="1" t="s">
        <v>50</v>
      </c>
      <c r="I467" s="1">
        <v>76500.0</v>
      </c>
      <c r="J467" s="1"/>
      <c r="K467" s="1"/>
      <c r="L467" s="1" t="s">
        <v>2856</v>
      </c>
      <c r="M467" s="1" t="s">
        <v>3173</v>
      </c>
      <c r="N467" s="1" t="s">
        <v>74</v>
      </c>
      <c r="O467" s="1" t="s">
        <v>75</v>
      </c>
      <c r="P467" s="2" t="s">
        <v>3174</v>
      </c>
      <c r="Q467" s="1" t="s">
        <v>77</v>
      </c>
      <c r="R467" s="2" t="s">
        <v>3144</v>
      </c>
      <c r="S467" s="1" t="s">
        <v>2859</v>
      </c>
      <c r="T467" s="1">
        <v>2407203.0</v>
      </c>
      <c r="U467" s="1" t="s">
        <v>3116</v>
      </c>
      <c r="V467" s="1" t="s">
        <v>1084</v>
      </c>
      <c r="W467" s="1" t="s">
        <v>60</v>
      </c>
      <c r="X467" s="1"/>
      <c r="Y467" s="1" t="str">
        <f>"02021000100202156"</f>
        <v>02021000100202156</v>
      </c>
      <c r="Z467" s="1" t="s">
        <v>79</v>
      </c>
      <c r="AA467" s="1" t="s">
        <v>3175</v>
      </c>
      <c r="AB467" s="1" t="str">
        <f>"03994427000302"</f>
        <v>03994427000302</v>
      </c>
      <c r="AC467" s="1"/>
      <c r="AD467" s="1"/>
      <c r="AE467" s="1"/>
      <c r="AF467" s="1">
        <v>-36.655278</v>
      </c>
      <c r="AG467" s="1">
        <v>-5.098333</v>
      </c>
      <c r="AH467" s="1" t="s">
        <v>3176</v>
      </c>
      <c r="AI467" s="1"/>
      <c r="AJ467" s="1" t="s">
        <v>2856</v>
      </c>
      <c r="AK467" s="1"/>
      <c r="AL467" s="1" t="s">
        <v>128</v>
      </c>
      <c r="AM467" s="1" t="s">
        <v>65</v>
      </c>
      <c r="AN467" s="1" t="s">
        <v>3119</v>
      </c>
      <c r="AO467" s="2" t="s">
        <v>2407</v>
      </c>
      <c r="AP467" s="2" t="s">
        <v>3177</v>
      </c>
      <c r="AQ467" s="1" t="s">
        <v>132</v>
      </c>
      <c r="AR467" s="1" t="s">
        <v>2447</v>
      </c>
      <c r="AS467" s="1" t="s">
        <v>3178</v>
      </c>
      <c r="AT467" s="2" t="s">
        <v>70</v>
      </c>
    </row>
    <row r="468">
      <c r="A468" s="1">
        <v>2043772.0</v>
      </c>
      <c r="B468" s="1" t="s">
        <v>116</v>
      </c>
      <c r="C468" s="1" t="s">
        <v>117</v>
      </c>
      <c r="D468" s="1" t="s">
        <v>46</v>
      </c>
      <c r="E468" s="1" t="s">
        <v>3179</v>
      </c>
      <c r="F468" s="1"/>
      <c r="G468" s="1" t="s">
        <v>119</v>
      </c>
      <c r="H468" s="1" t="s">
        <v>50</v>
      </c>
      <c r="I468" s="1">
        <v>110500.0</v>
      </c>
      <c r="J468" s="1"/>
      <c r="K468" s="1"/>
      <c r="L468" s="1" t="s">
        <v>120</v>
      </c>
      <c r="M468" s="1" t="s">
        <v>3180</v>
      </c>
      <c r="N468" s="1" t="s">
        <v>53</v>
      </c>
      <c r="O468" s="1" t="s">
        <v>382</v>
      </c>
      <c r="P468" s="2" t="s">
        <v>3174</v>
      </c>
      <c r="Q468" s="1" t="s">
        <v>77</v>
      </c>
      <c r="R468" s="2" t="s">
        <v>3144</v>
      </c>
      <c r="S468" s="1" t="s">
        <v>220</v>
      </c>
      <c r="T468" s="1">
        <v>1500859.0</v>
      </c>
      <c r="U468" s="1" t="s">
        <v>1723</v>
      </c>
      <c r="V468" s="1" t="s">
        <v>917</v>
      </c>
      <c r="W468" s="1" t="s">
        <v>100</v>
      </c>
      <c r="X468" s="1"/>
      <c r="Y468" s="1" t="str">
        <f>"02001003924202116"</f>
        <v>02001003924202116</v>
      </c>
      <c r="Z468" s="1" t="s">
        <v>384</v>
      </c>
      <c r="AA468" s="1" t="s">
        <v>3181</v>
      </c>
      <c r="AB468" s="1" t="str">
        <f>"30546616000123"</f>
        <v>30546616000123</v>
      </c>
      <c r="AC468" s="1"/>
      <c r="AD468" s="1"/>
      <c r="AE468" s="1"/>
      <c r="AF468" s="1">
        <v>-51.187222</v>
      </c>
      <c r="AG468" s="1">
        <v>-3.487222</v>
      </c>
      <c r="AH468" s="1" t="s">
        <v>3182</v>
      </c>
      <c r="AI468" s="1"/>
      <c r="AJ468" s="1" t="s">
        <v>120</v>
      </c>
      <c r="AK468" s="1"/>
      <c r="AL468" s="1" t="s">
        <v>128</v>
      </c>
      <c r="AM468" s="1" t="s">
        <v>65</v>
      </c>
      <c r="AN468" s="1" t="s">
        <v>1726</v>
      </c>
      <c r="AO468" s="2" t="s">
        <v>529</v>
      </c>
      <c r="AP468" s="2" t="s">
        <v>3183</v>
      </c>
      <c r="AQ468" s="1" t="s">
        <v>132</v>
      </c>
      <c r="AR468" s="1" t="s">
        <v>3080</v>
      </c>
      <c r="AS468" s="1" t="s">
        <v>3184</v>
      </c>
      <c r="AT468" s="2" t="s">
        <v>70</v>
      </c>
    </row>
    <row r="469">
      <c r="A469" s="1"/>
      <c r="B469" s="1" t="s">
        <v>46</v>
      </c>
      <c r="C469" s="1" t="s">
        <v>47</v>
      </c>
      <c r="D469" s="1"/>
      <c r="E469" s="1" t="s">
        <v>3185</v>
      </c>
      <c r="F469" s="1"/>
      <c r="G469" s="1" t="s">
        <v>49</v>
      </c>
      <c r="H469" s="1" t="s">
        <v>72</v>
      </c>
      <c r="I469" s="1">
        <v>71450.0</v>
      </c>
      <c r="J469" s="1"/>
      <c r="K469" s="1"/>
      <c r="L469" s="1"/>
      <c r="M469" s="1" t="s">
        <v>3186</v>
      </c>
      <c r="N469" s="1" t="s">
        <v>109</v>
      </c>
      <c r="O469" s="1" t="s">
        <v>110</v>
      </c>
      <c r="P469" s="2" t="s">
        <v>3187</v>
      </c>
      <c r="Q469" s="1" t="s">
        <v>56</v>
      </c>
      <c r="R469" s="1"/>
      <c r="S469" s="1" t="s">
        <v>1468</v>
      </c>
      <c r="T469" s="1">
        <v>5003207.0</v>
      </c>
      <c r="U469" s="1" t="s">
        <v>2929</v>
      </c>
      <c r="V469" s="1" t="s">
        <v>1470</v>
      </c>
      <c r="W469" s="1" t="s">
        <v>1658</v>
      </c>
      <c r="X469" s="1"/>
      <c r="Y469" s="1"/>
      <c r="Z469" s="1" t="s">
        <v>112</v>
      </c>
      <c r="AA469" s="1" t="s">
        <v>3188</v>
      </c>
      <c r="AB469" s="1" t="str">
        <f>"***445561**"</f>
        <v>***445561**</v>
      </c>
      <c r="AC469" s="1"/>
      <c r="AD469" s="1" t="s">
        <v>325</v>
      </c>
      <c r="AE469" s="1"/>
      <c r="AF469" s="1">
        <v>-57.660556</v>
      </c>
      <c r="AG469" s="1">
        <v>-18.999722</v>
      </c>
      <c r="AH469" s="1" t="s">
        <v>3189</v>
      </c>
      <c r="AI469" s="1"/>
      <c r="AJ469" s="1" t="s">
        <v>1473</v>
      </c>
      <c r="AK469" s="1"/>
      <c r="AL469" s="1"/>
      <c r="AM469" s="1" t="s">
        <v>65</v>
      </c>
      <c r="AN469" s="1"/>
      <c r="AO469" s="1"/>
      <c r="AP469" s="2" t="s">
        <v>3190</v>
      </c>
      <c r="AQ469" s="1"/>
      <c r="AR469" s="1" t="s">
        <v>991</v>
      </c>
      <c r="AS469" s="1"/>
      <c r="AT469" s="2" t="s">
        <v>70</v>
      </c>
    </row>
    <row r="470">
      <c r="A470" s="1">
        <v>2043187.0</v>
      </c>
      <c r="B470" s="1" t="s">
        <v>116</v>
      </c>
      <c r="C470" s="1" t="s">
        <v>117</v>
      </c>
      <c r="D470" s="1" t="s">
        <v>46</v>
      </c>
      <c r="E470" s="1" t="s">
        <v>3191</v>
      </c>
      <c r="F470" s="1"/>
      <c r="G470" s="1" t="s">
        <v>119</v>
      </c>
      <c r="H470" s="1" t="s">
        <v>50</v>
      </c>
      <c r="I470" s="1">
        <v>40700.0</v>
      </c>
      <c r="J470" s="1"/>
      <c r="K470" s="1"/>
      <c r="L470" s="1" t="s">
        <v>405</v>
      </c>
      <c r="M470" s="1" t="s">
        <v>3192</v>
      </c>
      <c r="N470" s="1" t="s">
        <v>74</v>
      </c>
      <c r="O470" s="1" t="s">
        <v>75</v>
      </c>
      <c r="P470" s="2" t="s">
        <v>3193</v>
      </c>
      <c r="Q470" s="1" t="s">
        <v>56</v>
      </c>
      <c r="R470" s="1"/>
      <c r="S470" s="1" t="s">
        <v>400</v>
      </c>
      <c r="T470" s="1">
        <v>4315602.0</v>
      </c>
      <c r="U470" s="1" t="s">
        <v>1042</v>
      </c>
      <c r="V470" s="1" t="s">
        <v>402</v>
      </c>
      <c r="W470" s="1" t="s">
        <v>60</v>
      </c>
      <c r="X470" s="1"/>
      <c r="Y470" s="1"/>
      <c r="Z470" s="1" t="s">
        <v>79</v>
      </c>
      <c r="AA470" s="1" t="s">
        <v>3138</v>
      </c>
      <c r="AB470" s="1" t="str">
        <f>"***375829**"</f>
        <v>***375829**</v>
      </c>
      <c r="AC470" s="1"/>
      <c r="AD470" s="1"/>
      <c r="AE470" s="1"/>
      <c r="AF470" s="1">
        <v>-52.092222</v>
      </c>
      <c r="AG470" s="1">
        <v>-32.03</v>
      </c>
      <c r="AH470" s="1" t="s">
        <v>3194</v>
      </c>
      <c r="AI470" s="1"/>
      <c r="AJ470" s="1" t="s">
        <v>405</v>
      </c>
      <c r="AK470" s="1"/>
      <c r="AL470" s="1" t="s">
        <v>128</v>
      </c>
      <c r="AM470" s="1" t="s">
        <v>65</v>
      </c>
      <c r="AN470" s="1" t="s">
        <v>159</v>
      </c>
      <c r="AO470" s="2" t="s">
        <v>2903</v>
      </c>
      <c r="AP470" s="2" t="s">
        <v>3195</v>
      </c>
      <c r="AQ470" s="1" t="s">
        <v>132</v>
      </c>
      <c r="AR470" s="1" t="s">
        <v>3196</v>
      </c>
      <c r="AS470" s="1" t="s">
        <v>3197</v>
      </c>
      <c r="AT470" s="2" t="s">
        <v>70</v>
      </c>
    </row>
    <row r="471">
      <c r="A471" s="1">
        <v>2043217.0</v>
      </c>
      <c r="B471" s="1" t="s">
        <v>116</v>
      </c>
      <c r="C471" s="1" t="s">
        <v>117</v>
      </c>
      <c r="D471" s="1" t="s">
        <v>46</v>
      </c>
      <c r="E471" s="1" t="s">
        <v>3198</v>
      </c>
      <c r="F471" s="1"/>
      <c r="G471" s="1" t="s">
        <v>119</v>
      </c>
      <c r="H471" s="1" t="s">
        <v>50</v>
      </c>
      <c r="I471" s="1">
        <v>100000.0</v>
      </c>
      <c r="J471" s="1"/>
      <c r="K471" s="1"/>
      <c r="L471" s="1" t="s">
        <v>405</v>
      </c>
      <c r="M471" s="1" t="s">
        <v>3199</v>
      </c>
      <c r="N471" s="1" t="s">
        <v>74</v>
      </c>
      <c r="O471" s="1" t="s">
        <v>75</v>
      </c>
      <c r="P471" s="2" t="s">
        <v>3193</v>
      </c>
      <c r="Q471" s="1" t="s">
        <v>56</v>
      </c>
      <c r="R471" s="1"/>
      <c r="S471" s="1" t="s">
        <v>400</v>
      </c>
      <c r="T471" s="1">
        <v>4315602.0</v>
      </c>
      <c r="U471" s="1" t="s">
        <v>1042</v>
      </c>
      <c r="V471" s="1" t="s">
        <v>402</v>
      </c>
      <c r="W471" s="1" t="s">
        <v>60</v>
      </c>
      <c r="X471" s="1"/>
      <c r="Y471" s="1"/>
      <c r="Z471" s="1" t="s">
        <v>79</v>
      </c>
      <c r="AA471" s="1" t="s">
        <v>3200</v>
      </c>
      <c r="AB471" s="1" t="str">
        <f>"***590617**"</f>
        <v>***590617**</v>
      </c>
      <c r="AC471" s="1"/>
      <c r="AD471" s="1"/>
      <c r="AE471" s="1"/>
      <c r="AF471" s="1">
        <v>-52.093611</v>
      </c>
      <c r="AG471" s="1">
        <v>-32.029444</v>
      </c>
      <c r="AH471" s="1" t="s">
        <v>3201</v>
      </c>
      <c r="AI471" s="1"/>
      <c r="AJ471" s="1" t="s">
        <v>405</v>
      </c>
      <c r="AK471" s="1"/>
      <c r="AL471" s="1" t="s">
        <v>128</v>
      </c>
      <c r="AM471" s="1" t="s">
        <v>65</v>
      </c>
      <c r="AN471" s="1" t="s">
        <v>159</v>
      </c>
      <c r="AO471" s="2" t="s">
        <v>2903</v>
      </c>
      <c r="AP471" s="2" t="s">
        <v>3202</v>
      </c>
      <c r="AQ471" s="1" t="s">
        <v>132</v>
      </c>
      <c r="AR471" s="1" t="s">
        <v>3196</v>
      </c>
      <c r="AS471" s="1" t="s">
        <v>3197</v>
      </c>
      <c r="AT471" s="2" t="s">
        <v>70</v>
      </c>
    </row>
    <row r="472">
      <c r="A472" s="1">
        <v>2043322.0</v>
      </c>
      <c r="B472" s="1" t="s">
        <v>116</v>
      </c>
      <c r="C472" s="1" t="s">
        <v>117</v>
      </c>
      <c r="D472" s="1" t="s">
        <v>46</v>
      </c>
      <c r="E472" s="1" t="s">
        <v>3203</v>
      </c>
      <c r="F472" s="1"/>
      <c r="G472" s="1" t="s">
        <v>119</v>
      </c>
      <c r="H472" s="1" t="s">
        <v>50</v>
      </c>
      <c r="I472" s="1">
        <v>500.0</v>
      </c>
      <c r="J472" s="1"/>
      <c r="K472" s="1"/>
      <c r="L472" s="1" t="s">
        <v>2856</v>
      </c>
      <c r="M472" s="1" t="s">
        <v>3204</v>
      </c>
      <c r="N472" s="1" t="s">
        <v>257</v>
      </c>
      <c r="O472" s="1" t="s">
        <v>258</v>
      </c>
      <c r="P472" s="2" t="s">
        <v>3193</v>
      </c>
      <c r="Q472" s="1" t="s">
        <v>77</v>
      </c>
      <c r="R472" s="2" t="s">
        <v>3144</v>
      </c>
      <c r="S472" s="1" t="s">
        <v>2859</v>
      </c>
      <c r="T472" s="1">
        <v>2407203.0</v>
      </c>
      <c r="U472" s="1" t="s">
        <v>3116</v>
      </c>
      <c r="V472" s="1" t="s">
        <v>1084</v>
      </c>
      <c r="W472" s="1" t="s">
        <v>60</v>
      </c>
      <c r="X472" s="1"/>
      <c r="Y472" s="1" t="str">
        <f>"02021000101202109"</f>
        <v>02021000101202109</v>
      </c>
      <c r="Z472" s="1" t="s">
        <v>260</v>
      </c>
      <c r="AA472" s="1" t="s">
        <v>3205</v>
      </c>
      <c r="AB472" s="1" t="str">
        <f>"***006814**"</f>
        <v>***006814**</v>
      </c>
      <c r="AC472" s="1"/>
      <c r="AD472" s="1"/>
      <c r="AE472" s="1"/>
      <c r="AF472" s="1">
        <v>-36.648889</v>
      </c>
      <c r="AG472" s="1">
        <v>-5.096667</v>
      </c>
      <c r="AH472" s="1" t="s">
        <v>3206</v>
      </c>
      <c r="AI472" s="1"/>
      <c r="AJ472" s="1" t="s">
        <v>2856</v>
      </c>
      <c r="AK472" s="1"/>
      <c r="AL472" s="1" t="s">
        <v>128</v>
      </c>
      <c r="AM472" s="1" t="s">
        <v>65</v>
      </c>
      <c r="AN472" s="1" t="s">
        <v>3119</v>
      </c>
      <c r="AO472" s="2" t="s">
        <v>2407</v>
      </c>
      <c r="AP472" s="2" t="s">
        <v>3207</v>
      </c>
      <c r="AQ472" s="1" t="s">
        <v>132</v>
      </c>
      <c r="AR472" s="1" t="s">
        <v>3208</v>
      </c>
      <c r="AS472" s="1"/>
      <c r="AT472" s="2" t="s">
        <v>70</v>
      </c>
    </row>
    <row r="473">
      <c r="A473" s="1">
        <v>2043773.0</v>
      </c>
      <c r="B473" s="1" t="s">
        <v>116</v>
      </c>
      <c r="C473" s="1" t="s">
        <v>117</v>
      </c>
      <c r="D473" s="1" t="s">
        <v>46</v>
      </c>
      <c r="E473" s="1" t="s">
        <v>3209</v>
      </c>
      <c r="F473" s="1"/>
      <c r="G473" s="1" t="s">
        <v>119</v>
      </c>
      <c r="H473" s="1" t="s">
        <v>72</v>
      </c>
      <c r="I473" s="1">
        <v>58886.4</v>
      </c>
      <c r="J473" s="1"/>
      <c r="K473" s="1"/>
      <c r="L473" s="1" t="s">
        <v>120</v>
      </c>
      <c r="M473" s="1" t="s">
        <v>3210</v>
      </c>
      <c r="N473" s="1" t="s">
        <v>109</v>
      </c>
      <c r="O473" s="1" t="s">
        <v>110</v>
      </c>
      <c r="P473" s="2" t="s">
        <v>3193</v>
      </c>
      <c r="Q473" s="1" t="s">
        <v>77</v>
      </c>
      <c r="R473" s="2" t="s">
        <v>3144</v>
      </c>
      <c r="S473" s="1" t="s">
        <v>220</v>
      </c>
      <c r="T473" s="1">
        <v>1500859.0</v>
      </c>
      <c r="U473" s="1" t="s">
        <v>1723</v>
      </c>
      <c r="V473" s="1" t="s">
        <v>917</v>
      </c>
      <c r="W473" s="1" t="s">
        <v>100</v>
      </c>
      <c r="X473" s="1"/>
      <c r="Y473" s="1" t="str">
        <f>"02001003925202161"</f>
        <v>02001003925202161</v>
      </c>
      <c r="Z473" s="1" t="s">
        <v>112</v>
      </c>
      <c r="AA473" s="1" t="s">
        <v>3181</v>
      </c>
      <c r="AB473" s="1" t="str">
        <f>"30546616000153"</f>
        <v>30546616000153</v>
      </c>
      <c r="AC473" s="1"/>
      <c r="AD473" s="1"/>
      <c r="AE473" s="1"/>
      <c r="AF473" s="1">
        <v>-51.187222</v>
      </c>
      <c r="AG473" s="1">
        <v>-3.487222</v>
      </c>
      <c r="AH473" s="1" t="s">
        <v>3211</v>
      </c>
      <c r="AI473" s="1"/>
      <c r="AJ473" s="1" t="s">
        <v>120</v>
      </c>
      <c r="AK473" s="1"/>
      <c r="AL473" s="1" t="s">
        <v>128</v>
      </c>
      <c r="AM473" s="1" t="s">
        <v>65</v>
      </c>
      <c r="AN473" s="1" t="s">
        <v>1726</v>
      </c>
      <c r="AO473" s="2" t="s">
        <v>529</v>
      </c>
      <c r="AP473" s="2" t="s">
        <v>3212</v>
      </c>
      <c r="AQ473" s="1" t="s">
        <v>132</v>
      </c>
      <c r="AR473" s="1" t="s">
        <v>133</v>
      </c>
      <c r="AS473" s="1"/>
      <c r="AT473" s="2" t="s">
        <v>70</v>
      </c>
    </row>
    <row r="474">
      <c r="A474" s="1"/>
      <c r="B474" s="1" t="s">
        <v>46</v>
      </c>
      <c r="C474" s="1" t="s">
        <v>571</v>
      </c>
      <c r="D474" s="1" t="s">
        <v>116</v>
      </c>
      <c r="E474" s="1" t="s">
        <v>3213</v>
      </c>
      <c r="F474" s="1"/>
      <c r="G474" s="1" t="s">
        <v>49</v>
      </c>
      <c r="H474" s="1" t="s">
        <v>50</v>
      </c>
      <c r="I474" s="1">
        <v>3500.0</v>
      </c>
      <c r="J474" s="1"/>
      <c r="K474" s="1" t="s">
        <v>51</v>
      </c>
      <c r="L474" s="1"/>
      <c r="M474" s="1" t="s">
        <v>3214</v>
      </c>
      <c r="N474" s="1" t="s">
        <v>285</v>
      </c>
      <c r="O474" s="1" t="s">
        <v>286</v>
      </c>
      <c r="P474" s="2" t="s">
        <v>3215</v>
      </c>
      <c r="Q474" s="1" t="s">
        <v>56</v>
      </c>
      <c r="R474" s="1"/>
      <c r="S474" s="1" t="s">
        <v>784</v>
      </c>
      <c r="T474" s="1">
        <v>4205407.0</v>
      </c>
      <c r="U474" s="1" t="s">
        <v>2497</v>
      </c>
      <c r="V474" s="1" t="s">
        <v>222</v>
      </c>
      <c r="W474" s="1" t="s">
        <v>78</v>
      </c>
      <c r="X474" s="1"/>
      <c r="Y474" s="1"/>
      <c r="Z474" s="1" t="s">
        <v>292</v>
      </c>
      <c r="AA474" s="1" t="s">
        <v>3216</v>
      </c>
      <c r="AB474" s="1" t="str">
        <f t="shared" ref="AB474:AB477" si="27">"83951236000211"</f>
        <v>83951236000211</v>
      </c>
      <c r="AC474" s="1"/>
      <c r="AD474" s="1" t="s">
        <v>81</v>
      </c>
      <c r="AE474" s="1"/>
      <c r="AF474" s="1">
        <v>-48.556667</v>
      </c>
      <c r="AG474" s="1">
        <v>-27.594167</v>
      </c>
      <c r="AH474" s="1" t="s">
        <v>2588</v>
      </c>
      <c r="AI474" s="1"/>
      <c r="AJ474" s="1" t="s">
        <v>226</v>
      </c>
      <c r="AK474" s="1"/>
      <c r="AL474" s="1"/>
      <c r="AM474" s="1" t="s">
        <v>65</v>
      </c>
      <c r="AN474" s="1" t="s">
        <v>1419</v>
      </c>
      <c r="AO474" s="1"/>
      <c r="AP474" s="2" t="s">
        <v>3217</v>
      </c>
      <c r="AQ474" s="1"/>
      <c r="AR474" s="1" t="s">
        <v>106</v>
      </c>
      <c r="AS474" s="1" t="s">
        <v>2790</v>
      </c>
      <c r="AT474" s="2" t="s">
        <v>70</v>
      </c>
    </row>
    <row r="475">
      <c r="A475" s="1"/>
      <c r="B475" s="1" t="s">
        <v>46</v>
      </c>
      <c r="C475" s="1" t="s">
        <v>571</v>
      </c>
      <c r="D475" s="1" t="s">
        <v>116</v>
      </c>
      <c r="E475" s="1" t="s">
        <v>3218</v>
      </c>
      <c r="F475" s="1"/>
      <c r="G475" s="1" t="s">
        <v>49</v>
      </c>
      <c r="H475" s="1" t="s">
        <v>50</v>
      </c>
      <c r="I475" s="1">
        <v>3500.0</v>
      </c>
      <c r="J475" s="1"/>
      <c r="K475" s="1" t="s">
        <v>51</v>
      </c>
      <c r="L475" s="1"/>
      <c r="M475" s="1" t="s">
        <v>3219</v>
      </c>
      <c r="N475" s="1" t="s">
        <v>285</v>
      </c>
      <c r="O475" s="1" t="s">
        <v>286</v>
      </c>
      <c r="P475" s="2" t="s">
        <v>3220</v>
      </c>
      <c r="Q475" s="1" t="s">
        <v>56</v>
      </c>
      <c r="R475" s="1"/>
      <c r="S475" s="1" t="s">
        <v>784</v>
      </c>
      <c r="T475" s="1">
        <v>4205407.0</v>
      </c>
      <c r="U475" s="1" t="s">
        <v>2497</v>
      </c>
      <c r="V475" s="1" t="s">
        <v>222</v>
      </c>
      <c r="W475" s="1" t="s">
        <v>78</v>
      </c>
      <c r="X475" s="1"/>
      <c r="Y475" s="1"/>
      <c r="Z475" s="1" t="s">
        <v>292</v>
      </c>
      <c r="AA475" s="1" t="s">
        <v>3216</v>
      </c>
      <c r="AB475" s="1" t="str">
        <f t="shared" si="27"/>
        <v>83951236000211</v>
      </c>
      <c r="AC475" s="1"/>
      <c r="AD475" s="1" t="s">
        <v>81</v>
      </c>
      <c r="AE475" s="1"/>
      <c r="AF475" s="1">
        <v>-48.556667</v>
      </c>
      <c r="AG475" s="1">
        <v>-27.594167</v>
      </c>
      <c r="AH475" s="1" t="s">
        <v>2588</v>
      </c>
      <c r="AI475" s="1"/>
      <c r="AJ475" s="1" t="s">
        <v>226</v>
      </c>
      <c r="AK475" s="1"/>
      <c r="AL475" s="1"/>
      <c r="AM475" s="1" t="s">
        <v>65</v>
      </c>
      <c r="AN475" s="1" t="s">
        <v>1419</v>
      </c>
      <c r="AO475" s="1"/>
      <c r="AP475" s="2" t="s">
        <v>3221</v>
      </c>
      <c r="AQ475" s="1"/>
      <c r="AR475" s="1" t="s">
        <v>106</v>
      </c>
      <c r="AS475" s="1" t="s">
        <v>2790</v>
      </c>
      <c r="AT475" s="2" t="s">
        <v>70</v>
      </c>
    </row>
    <row r="476">
      <c r="A476" s="1"/>
      <c r="B476" s="1" t="s">
        <v>46</v>
      </c>
      <c r="C476" s="1" t="s">
        <v>571</v>
      </c>
      <c r="D476" s="1" t="s">
        <v>116</v>
      </c>
      <c r="E476" s="1" t="s">
        <v>3222</v>
      </c>
      <c r="F476" s="1"/>
      <c r="G476" s="1" t="s">
        <v>49</v>
      </c>
      <c r="H476" s="1" t="s">
        <v>50</v>
      </c>
      <c r="I476" s="1">
        <v>3500.0</v>
      </c>
      <c r="J476" s="1"/>
      <c r="K476" s="1" t="s">
        <v>51</v>
      </c>
      <c r="L476" s="1"/>
      <c r="M476" s="1" t="s">
        <v>3223</v>
      </c>
      <c r="N476" s="1" t="s">
        <v>285</v>
      </c>
      <c r="O476" s="1" t="s">
        <v>286</v>
      </c>
      <c r="P476" s="2" t="s">
        <v>3224</v>
      </c>
      <c r="Q476" s="1" t="s">
        <v>56</v>
      </c>
      <c r="R476" s="1"/>
      <c r="S476" s="1" t="s">
        <v>784</v>
      </c>
      <c r="T476" s="1">
        <v>4205407.0</v>
      </c>
      <c r="U476" s="1" t="s">
        <v>2497</v>
      </c>
      <c r="V476" s="1" t="s">
        <v>222</v>
      </c>
      <c r="W476" s="1" t="s">
        <v>78</v>
      </c>
      <c r="X476" s="1"/>
      <c r="Y476" s="1"/>
      <c r="Z476" s="1" t="s">
        <v>292</v>
      </c>
      <c r="AA476" s="1" t="s">
        <v>3216</v>
      </c>
      <c r="AB476" s="1" t="str">
        <f t="shared" si="27"/>
        <v>83951236000211</v>
      </c>
      <c r="AC476" s="1"/>
      <c r="AD476" s="1" t="s">
        <v>81</v>
      </c>
      <c r="AE476" s="1"/>
      <c r="AF476" s="1">
        <v>-48.556667</v>
      </c>
      <c r="AG476" s="1">
        <v>-27.594167</v>
      </c>
      <c r="AH476" s="1" t="s">
        <v>2588</v>
      </c>
      <c r="AI476" s="1"/>
      <c r="AJ476" s="1" t="s">
        <v>226</v>
      </c>
      <c r="AK476" s="1"/>
      <c r="AL476" s="1"/>
      <c r="AM476" s="1" t="s">
        <v>65</v>
      </c>
      <c r="AN476" s="1" t="s">
        <v>1419</v>
      </c>
      <c r="AO476" s="1"/>
      <c r="AP476" s="2" t="s">
        <v>3225</v>
      </c>
      <c r="AQ476" s="1"/>
      <c r="AR476" s="1" t="s">
        <v>106</v>
      </c>
      <c r="AS476" s="1" t="s">
        <v>2790</v>
      </c>
      <c r="AT476" s="2" t="s">
        <v>70</v>
      </c>
    </row>
    <row r="477">
      <c r="A477" s="1"/>
      <c r="B477" s="1" t="s">
        <v>46</v>
      </c>
      <c r="C477" s="1" t="s">
        <v>571</v>
      </c>
      <c r="D477" s="1" t="s">
        <v>116</v>
      </c>
      <c r="E477" s="1" t="s">
        <v>3226</v>
      </c>
      <c r="F477" s="1"/>
      <c r="G477" s="1" t="s">
        <v>49</v>
      </c>
      <c r="H477" s="1" t="s">
        <v>50</v>
      </c>
      <c r="I477" s="1">
        <v>3500.0</v>
      </c>
      <c r="J477" s="1"/>
      <c r="K477" s="1" t="s">
        <v>51</v>
      </c>
      <c r="L477" s="1"/>
      <c r="M477" s="1" t="s">
        <v>3227</v>
      </c>
      <c r="N477" s="1" t="s">
        <v>285</v>
      </c>
      <c r="O477" s="1" t="s">
        <v>286</v>
      </c>
      <c r="P477" s="2" t="s">
        <v>3228</v>
      </c>
      <c r="Q477" s="1" t="s">
        <v>56</v>
      </c>
      <c r="R477" s="1"/>
      <c r="S477" s="1" t="s">
        <v>784</v>
      </c>
      <c r="T477" s="1">
        <v>4205407.0</v>
      </c>
      <c r="U477" s="1" t="s">
        <v>2497</v>
      </c>
      <c r="V477" s="1" t="s">
        <v>222</v>
      </c>
      <c r="W477" s="1" t="s">
        <v>78</v>
      </c>
      <c r="X477" s="1"/>
      <c r="Y477" s="1"/>
      <c r="Z477" s="1" t="s">
        <v>292</v>
      </c>
      <c r="AA477" s="1" t="s">
        <v>3216</v>
      </c>
      <c r="AB477" s="1" t="str">
        <f t="shared" si="27"/>
        <v>83951236000211</v>
      </c>
      <c r="AC477" s="1"/>
      <c r="AD477" s="1" t="s">
        <v>81</v>
      </c>
      <c r="AE477" s="1"/>
      <c r="AF477" s="1">
        <v>-48.556667</v>
      </c>
      <c r="AG477" s="1">
        <v>-27.594167</v>
      </c>
      <c r="AH477" s="1" t="s">
        <v>2588</v>
      </c>
      <c r="AI477" s="1"/>
      <c r="AJ477" s="1" t="s">
        <v>226</v>
      </c>
      <c r="AK477" s="1"/>
      <c r="AL477" s="1"/>
      <c r="AM477" s="1" t="s">
        <v>65</v>
      </c>
      <c r="AN477" s="1" t="s">
        <v>1419</v>
      </c>
      <c r="AO477" s="1"/>
      <c r="AP477" s="2" t="s">
        <v>3229</v>
      </c>
      <c r="AQ477" s="1"/>
      <c r="AR477" s="1" t="s">
        <v>106</v>
      </c>
      <c r="AS477" s="1" t="s">
        <v>2790</v>
      </c>
      <c r="AT477" s="2" t="s">
        <v>70</v>
      </c>
    </row>
    <row r="478">
      <c r="A478" s="1">
        <v>2043323.0</v>
      </c>
      <c r="B478" s="1" t="s">
        <v>116</v>
      </c>
      <c r="C478" s="1" t="s">
        <v>117</v>
      </c>
      <c r="D478" s="1" t="s">
        <v>46</v>
      </c>
      <c r="E478" s="1" t="s">
        <v>3230</v>
      </c>
      <c r="F478" s="1"/>
      <c r="G478" s="1" t="s">
        <v>119</v>
      </c>
      <c r="H478" s="1" t="s">
        <v>50</v>
      </c>
      <c r="I478" s="1">
        <v>760.0</v>
      </c>
      <c r="J478" s="1"/>
      <c r="K478" s="1"/>
      <c r="L478" s="1" t="s">
        <v>2856</v>
      </c>
      <c r="M478" s="1" t="s">
        <v>3231</v>
      </c>
      <c r="N478" s="1" t="s">
        <v>74</v>
      </c>
      <c r="O478" s="1" t="s">
        <v>75</v>
      </c>
      <c r="P478" s="2" t="s">
        <v>3232</v>
      </c>
      <c r="Q478" s="1" t="s">
        <v>77</v>
      </c>
      <c r="R478" s="2" t="s">
        <v>3144</v>
      </c>
      <c r="S478" s="1" t="s">
        <v>2859</v>
      </c>
      <c r="T478" s="1">
        <v>2407203.0</v>
      </c>
      <c r="U478" s="1" t="s">
        <v>3116</v>
      </c>
      <c r="V478" s="1" t="s">
        <v>1084</v>
      </c>
      <c r="W478" s="1" t="s">
        <v>60</v>
      </c>
      <c r="X478" s="1"/>
      <c r="Y478" s="1" t="str">
        <f>"02021000102202145"</f>
        <v>02021000102202145</v>
      </c>
      <c r="Z478" s="1" t="s">
        <v>79</v>
      </c>
      <c r="AA478" s="1" t="s">
        <v>3233</v>
      </c>
      <c r="AB478" s="1" t="str">
        <f>"***255404**"</f>
        <v>***255404**</v>
      </c>
      <c r="AC478" s="1"/>
      <c r="AD478" s="1"/>
      <c r="AE478" s="1"/>
      <c r="AF478" s="1">
        <v>-36.636667</v>
      </c>
      <c r="AG478" s="1">
        <v>-5.09</v>
      </c>
      <c r="AH478" s="1" t="s">
        <v>3234</v>
      </c>
      <c r="AI478" s="1"/>
      <c r="AJ478" s="1" t="s">
        <v>2856</v>
      </c>
      <c r="AK478" s="1"/>
      <c r="AL478" s="1" t="s">
        <v>128</v>
      </c>
      <c r="AM478" s="1" t="s">
        <v>65</v>
      </c>
      <c r="AN478" s="1" t="s">
        <v>3119</v>
      </c>
      <c r="AO478" s="2" t="s">
        <v>2407</v>
      </c>
      <c r="AP478" s="2" t="s">
        <v>3235</v>
      </c>
      <c r="AQ478" s="1" t="s">
        <v>132</v>
      </c>
      <c r="AR478" s="1" t="s">
        <v>3236</v>
      </c>
      <c r="AS478" s="1" t="s">
        <v>3122</v>
      </c>
      <c r="AT478" s="2" t="s">
        <v>70</v>
      </c>
    </row>
    <row r="479">
      <c r="A479" s="1"/>
      <c r="B479" s="1" t="s">
        <v>46</v>
      </c>
      <c r="C479" s="1" t="s">
        <v>571</v>
      </c>
      <c r="D479" s="1" t="s">
        <v>116</v>
      </c>
      <c r="E479" s="1" t="s">
        <v>3237</v>
      </c>
      <c r="F479" s="1"/>
      <c r="G479" s="1" t="s">
        <v>49</v>
      </c>
      <c r="H479" s="1" t="s">
        <v>50</v>
      </c>
      <c r="I479" s="1">
        <v>3500.0</v>
      </c>
      <c r="J479" s="1"/>
      <c r="K479" s="1" t="s">
        <v>51</v>
      </c>
      <c r="L479" s="1"/>
      <c r="M479" s="1" t="s">
        <v>3238</v>
      </c>
      <c r="N479" s="1" t="s">
        <v>285</v>
      </c>
      <c r="O479" s="1" t="s">
        <v>286</v>
      </c>
      <c r="P479" s="2" t="s">
        <v>3239</v>
      </c>
      <c r="Q479" s="1" t="s">
        <v>56</v>
      </c>
      <c r="R479" s="1"/>
      <c r="S479" s="1" t="s">
        <v>784</v>
      </c>
      <c r="T479" s="1">
        <v>4205407.0</v>
      </c>
      <c r="U479" s="1" t="s">
        <v>2497</v>
      </c>
      <c r="V479" s="1" t="s">
        <v>222</v>
      </c>
      <c r="W479" s="1" t="s">
        <v>78</v>
      </c>
      <c r="X479" s="1"/>
      <c r="Y479" s="1"/>
      <c r="Z479" s="1" t="s">
        <v>292</v>
      </c>
      <c r="AA479" s="1" t="s">
        <v>3216</v>
      </c>
      <c r="AB479" s="1" t="str">
        <f>"83951236000211"</f>
        <v>83951236000211</v>
      </c>
      <c r="AC479" s="1"/>
      <c r="AD479" s="1" t="s">
        <v>81</v>
      </c>
      <c r="AE479" s="1"/>
      <c r="AF479" s="1">
        <v>-48.556667</v>
      </c>
      <c r="AG479" s="1">
        <v>-27.594167</v>
      </c>
      <c r="AH479" s="1" t="s">
        <v>2588</v>
      </c>
      <c r="AI479" s="1"/>
      <c r="AJ479" s="1" t="s">
        <v>226</v>
      </c>
      <c r="AK479" s="1"/>
      <c r="AL479" s="1"/>
      <c r="AM479" s="1" t="s">
        <v>65</v>
      </c>
      <c r="AN479" s="1" t="s">
        <v>1419</v>
      </c>
      <c r="AO479" s="1"/>
      <c r="AP479" s="2" t="s">
        <v>3240</v>
      </c>
      <c r="AQ479" s="1"/>
      <c r="AR479" s="1" t="s">
        <v>106</v>
      </c>
      <c r="AS479" s="1" t="s">
        <v>2790</v>
      </c>
      <c r="AT479" s="2" t="s">
        <v>70</v>
      </c>
    </row>
    <row r="480">
      <c r="A480" s="1">
        <v>2043197.0</v>
      </c>
      <c r="B480" s="1" t="s">
        <v>116</v>
      </c>
      <c r="C480" s="1" t="s">
        <v>117</v>
      </c>
      <c r="D480" s="1" t="s">
        <v>46</v>
      </c>
      <c r="E480" s="1" t="s">
        <v>3241</v>
      </c>
      <c r="F480" s="1"/>
      <c r="G480" s="1" t="s">
        <v>119</v>
      </c>
      <c r="H480" s="1" t="s">
        <v>50</v>
      </c>
      <c r="I480" s="1">
        <v>3000.0</v>
      </c>
      <c r="J480" s="1"/>
      <c r="K480" s="1"/>
      <c r="L480" s="1" t="s">
        <v>295</v>
      </c>
      <c r="M480" s="1" t="s">
        <v>3242</v>
      </c>
      <c r="N480" s="1" t="s">
        <v>186</v>
      </c>
      <c r="O480" s="1" t="s">
        <v>95</v>
      </c>
      <c r="P480" s="2" t="s">
        <v>3243</v>
      </c>
      <c r="Q480" s="1" t="s">
        <v>56</v>
      </c>
      <c r="R480" s="2" t="s">
        <v>3144</v>
      </c>
      <c r="S480" s="1" t="s">
        <v>288</v>
      </c>
      <c r="T480" s="1">
        <v>2210508.0</v>
      </c>
      <c r="U480" s="1" t="s">
        <v>3244</v>
      </c>
      <c r="V480" s="1" t="s">
        <v>290</v>
      </c>
      <c r="W480" s="1" t="s">
        <v>172</v>
      </c>
      <c r="X480" s="1"/>
      <c r="Y480" s="1" t="str">
        <f>"02020000214202114"</f>
        <v>02020000214202114</v>
      </c>
      <c r="Z480" s="1" t="s">
        <v>101</v>
      </c>
      <c r="AA480" s="1" t="s">
        <v>3245</v>
      </c>
      <c r="AB480" s="1" t="str">
        <f>"23621717000822"</f>
        <v>23621717000822</v>
      </c>
      <c r="AC480" s="1"/>
      <c r="AD480" s="1"/>
      <c r="AE480" s="1"/>
      <c r="AF480" s="1">
        <v>-42.783889</v>
      </c>
      <c r="AG480" s="1">
        <v>-5.064722</v>
      </c>
      <c r="AH480" s="1" t="s">
        <v>354</v>
      </c>
      <c r="AI480" s="1"/>
      <c r="AJ480" s="1" t="s">
        <v>295</v>
      </c>
      <c r="AK480" s="1"/>
      <c r="AL480" s="1" t="s">
        <v>128</v>
      </c>
      <c r="AM480" s="1" t="s">
        <v>65</v>
      </c>
      <c r="AN480" s="1" t="s">
        <v>296</v>
      </c>
      <c r="AO480" s="2" t="s">
        <v>2903</v>
      </c>
      <c r="AP480" s="2" t="s">
        <v>3246</v>
      </c>
      <c r="AQ480" s="1" t="s">
        <v>132</v>
      </c>
      <c r="AR480" s="1" t="s">
        <v>531</v>
      </c>
      <c r="AS480" s="1"/>
      <c r="AT480" s="2" t="s">
        <v>70</v>
      </c>
    </row>
    <row r="481">
      <c r="A481" s="1">
        <v>2043259.0</v>
      </c>
      <c r="B481" s="1" t="s">
        <v>116</v>
      </c>
      <c r="C481" s="1" t="s">
        <v>117</v>
      </c>
      <c r="D481" s="1" t="s">
        <v>46</v>
      </c>
      <c r="E481" s="1" t="s">
        <v>3247</v>
      </c>
      <c r="F481" s="1"/>
      <c r="G481" s="1" t="s">
        <v>119</v>
      </c>
      <c r="H481" s="1" t="s">
        <v>50</v>
      </c>
      <c r="I481" s="1">
        <v>500.0</v>
      </c>
      <c r="J481" s="1"/>
      <c r="K481" s="1"/>
      <c r="L481" s="1" t="s">
        <v>417</v>
      </c>
      <c r="M481" s="1" t="s">
        <v>3248</v>
      </c>
      <c r="N481" s="1" t="s">
        <v>186</v>
      </c>
      <c r="O481" s="1" t="s">
        <v>302</v>
      </c>
      <c r="P481" s="2" t="s">
        <v>3243</v>
      </c>
      <c r="Q481" s="1" t="s">
        <v>56</v>
      </c>
      <c r="R481" s="1"/>
      <c r="S481" s="1" t="s">
        <v>412</v>
      </c>
      <c r="T481" s="1">
        <v>2700607.0</v>
      </c>
      <c r="U481" s="1" t="s">
        <v>2689</v>
      </c>
      <c r="V481" s="1" t="s">
        <v>414</v>
      </c>
      <c r="W481" s="1" t="s">
        <v>60</v>
      </c>
      <c r="X481" s="1"/>
      <c r="Y481" s="1" t="str">
        <f>"02003000151202104"</f>
        <v>02003000151202104</v>
      </c>
      <c r="Z481" s="1" t="s">
        <v>306</v>
      </c>
      <c r="AA481" s="1" t="s">
        <v>3249</v>
      </c>
      <c r="AB481" s="1" t="str">
        <f>"***611954**"</f>
        <v>***611954**</v>
      </c>
      <c r="AC481" s="1"/>
      <c r="AD481" s="1"/>
      <c r="AE481" s="1"/>
      <c r="AF481" s="1">
        <v>-35.888583</v>
      </c>
      <c r="AG481" s="1">
        <v>-9.83825</v>
      </c>
      <c r="AH481" s="1" t="s">
        <v>3250</v>
      </c>
      <c r="AI481" s="1"/>
      <c r="AJ481" s="1" t="s">
        <v>417</v>
      </c>
      <c r="AK481" s="1"/>
      <c r="AL481" s="1" t="s">
        <v>128</v>
      </c>
      <c r="AM481" s="1" t="s">
        <v>65</v>
      </c>
      <c r="AN481" s="1" t="s">
        <v>274</v>
      </c>
      <c r="AO481" s="2" t="s">
        <v>2671</v>
      </c>
      <c r="AP481" s="2" t="s">
        <v>3251</v>
      </c>
      <c r="AQ481" s="1" t="s">
        <v>132</v>
      </c>
      <c r="AR481" s="1" t="s">
        <v>1088</v>
      </c>
      <c r="AS481" s="1"/>
      <c r="AT481" s="2" t="s">
        <v>70</v>
      </c>
    </row>
    <row r="482">
      <c r="A482" s="1">
        <v>2043261.0</v>
      </c>
      <c r="B482" s="1" t="s">
        <v>116</v>
      </c>
      <c r="C482" s="1" t="s">
        <v>117</v>
      </c>
      <c r="D482" s="1" t="s">
        <v>46</v>
      </c>
      <c r="E482" s="1" t="s">
        <v>3252</v>
      </c>
      <c r="F482" s="1"/>
      <c r="G482" s="1" t="s">
        <v>119</v>
      </c>
      <c r="H482" s="1" t="s">
        <v>50</v>
      </c>
      <c r="I482" s="1">
        <v>500.0</v>
      </c>
      <c r="J482" s="1"/>
      <c r="K482" s="1"/>
      <c r="L482" s="1" t="s">
        <v>417</v>
      </c>
      <c r="M482" s="1" t="s">
        <v>3253</v>
      </c>
      <c r="N482" s="1" t="s">
        <v>186</v>
      </c>
      <c r="O482" s="1" t="s">
        <v>302</v>
      </c>
      <c r="P482" s="2" t="s">
        <v>3243</v>
      </c>
      <c r="Q482" s="1" t="s">
        <v>56</v>
      </c>
      <c r="R482" s="1"/>
      <c r="S482" s="1" t="s">
        <v>412</v>
      </c>
      <c r="T482" s="1">
        <v>2700607.0</v>
      </c>
      <c r="U482" s="1" t="s">
        <v>2689</v>
      </c>
      <c r="V482" s="1" t="s">
        <v>414</v>
      </c>
      <c r="W482" s="1" t="s">
        <v>60</v>
      </c>
      <c r="X482" s="1"/>
      <c r="Y482" s="1" t="str">
        <f>"02003000153202195"</f>
        <v>02003000153202195</v>
      </c>
      <c r="Z482" s="1" t="s">
        <v>306</v>
      </c>
      <c r="AA482" s="1" t="s">
        <v>3254</v>
      </c>
      <c r="AB482" s="1" t="str">
        <f>"***045804**"</f>
        <v>***045804**</v>
      </c>
      <c r="AC482" s="1"/>
      <c r="AD482" s="1"/>
      <c r="AE482" s="1"/>
      <c r="AF482" s="1">
        <v>-35.888611</v>
      </c>
      <c r="AG482" s="1">
        <v>-9.838333</v>
      </c>
      <c r="AH482" s="1" t="s">
        <v>3255</v>
      </c>
      <c r="AI482" s="1"/>
      <c r="AJ482" s="1" t="s">
        <v>417</v>
      </c>
      <c r="AK482" s="1"/>
      <c r="AL482" s="1" t="s">
        <v>128</v>
      </c>
      <c r="AM482" s="1" t="s">
        <v>65</v>
      </c>
      <c r="AN482" s="1" t="s">
        <v>274</v>
      </c>
      <c r="AO482" s="2" t="s">
        <v>2671</v>
      </c>
      <c r="AP482" s="2" t="s">
        <v>3256</v>
      </c>
      <c r="AQ482" s="1" t="s">
        <v>132</v>
      </c>
      <c r="AR482" s="1" t="s">
        <v>1088</v>
      </c>
      <c r="AS482" s="1"/>
      <c r="AT482" s="2" t="s">
        <v>70</v>
      </c>
    </row>
    <row r="483">
      <c r="A483" s="1">
        <v>2043264.0</v>
      </c>
      <c r="B483" s="1" t="s">
        <v>116</v>
      </c>
      <c r="C483" s="1" t="s">
        <v>117</v>
      </c>
      <c r="D483" s="1" t="s">
        <v>46</v>
      </c>
      <c r="E483" s="1" t="s">
        <v>3257</v>
      </c>
      <c r="F483" s="1"/>
      <c r="G483" s="1" t="s">
        <v>119</v>
      </c>
      <c r="H483" s="1" t="s">
        <v>72</v>
      </c>
      <c r="I483" s="1">
        <v>1000.0</v>
      </c>
      <c r="J483" s="1"/>
      <c r="K483" s="1"/>
      <c r="L483" s="1" t="s">
        <v>2856</v>
      </c>
      <c r="M483" s="1" t="s">
        <v>3258</v>
      </c>
      <c r="N483" s="1" t="s">
        <v>257</v>
      </c>
      <c r="O483" s="1" t="s">
        <v>258</v>
      </c>
      <c r="P483" s="2" t="s">
        <v>3243</v>
      </c>
      <c r="Q483" s="1" t="s">
        <v>77</v>
      </c>
      <c r="R483" s="2" t="s">
        <v>3144</v>
      </c>
      <c r="S483" s="1" t="s">
        <v>2859</v>
      </c>
      <c r="T483" s="1">
        <v>2407203.0</v>
      </c>
      <c r="U483" s="1" t="s">
        <v>3116</v>
      </c>
      <c r="V483" s="1" t="s">
        <v>1084</v>
      </c>
      <c r="W483" s="1" t="s">
        <v>60</v>
      </c>
      <c r="X483" s="1"/>
      <c r="Y483" s="1" t="str">
        <f>"02021000091202101"</f>
        <v>02021000091202101</v>
      </c>
      <c r="Z483" s="1" t="s">
        <v>260</v>
      </c>
      <c r="AA483" s="1" t="s">
        <v>3233</v>
      </c>
      <c r="AB483" s="1" t="str">
        <f>"***255404**"</f>
        <v>***255404**</v>
      </c>
      <c r="AC483" s="1"/>
      <c r="AD483" s="1"/>
      <c r="AE483" s="1"/>
      <c r="AF483" s="1">
        <v>-36.636667</v>
      </c>
      <c r="AG483" s="1">
        <v>-5.089722</v>
      </c>
      <c r="AH483" s="1" t="s">
        <v>3259</v>
      </c>
      <c r="AI483" s="1"/>
      <c r="AJ483" s="1" t="s">
        <v>2856</v>
      </c>
      <c r="AK483" s="1"/>
      <c r="AL483" s="1" t="s">
        <v>128</v>
      </c>
      <c r="AM483" s="1" t="s">
        <v>65</v>
      </c>
      <c r="AN483" s="1" t="s">
        <v>3119</v>
      </c>
      <c r="AO483" s="2" t="s">
        <v>3260</v>
      </c>
      <c r="AP483" s="2" t="s">
        <v>3261</v>
      </c>
      <c r="AQ483" s="1" t="s">
        <v>132</v>
      </c>
      <c r="AR483" s="1" t="s">
        <v>3262</v>
      </c>
      <c r="AS483" s="1"/>
      <c r="AT483" s="2" t="s">
        <v>70</v>
      </c>
    </row>
    <row r="484">
      <c r="A484" s="1"/>
      <c r="B484" s="1" t="s">
        <v>46</v>
      </c>
      <c r="C484" s="1" t="s">
        <v>47</v>
      </c>
      <c r="D484" s="1"/>
      <c r="E484" s="1" t="s">
        <v>3263</v>
      </c>
      <c r="F484" s="1"/>
      <c r="G484" s="1" t="s">
        <v>49</v>
      </c>
      <c r="H484" s="1" t="s">
        <v>72</v>
      </c>
      <c r="I484" s="1">
        <v>110500.0</v>
      </c>
      <c r="J484" s="1"/>
      <c r="K484" s="1"/>
      <c r="L484" s="1"/>
      <c r="M484" s="1" t="s">
        <v>3264</v>
      </c>
      <c r="N484" s="1" t="s">
        <v>301</v>
      </c>
      <c r="O484" s="1" t="s">
        <v>302</v>
      </c>
      <c r="P484" s="2" t="s">
        <v>3265</v>
      </c>
      <c r="Q484" s="1" t="s">
        <v>137</v>
      </c>
      <c r="R484" s="1"/>
      <c r="S484" s="1" t="s">
        <v>1349</v>
      </c>
      <c r="T484" s="1">
        <v>1500859.0</v>
      </c>
      <c r="U484" s="1" t="s">
        <v>1723</v>
      </c>
      <c r="V484" s="1" t="s">
        <v>917</v>
      </c>
      <c r="W484" s="1" t="s">
        <v>100</v>
      </c>
      <c r="X484" s="1"/>
      <c r="Y484" s="1"/>
      <c r="Z484" s="1" t="s">
        <v>306</v>
      </c>
      <c r="AA484" s="1" t="s">
        <v>2841</v>
      </c>
      <c r="AB484" s="1" t="str">
        <f>"83577098000171"</f>
        <v>83577098000171</v>
      </c>
      <c r="AC484" s="1"/>
      <c r="AD484" s="1" t="s">
        <v>62</v>
      </c>
      <c r="AE484" s="1"/>
      <c r="AF484" s="1">
        <v>-51.544167</v>
      </c>
      <c r="AG484" s="1">
        <v>-3.085556</v>
      </c>
      <c r="AH484" s="1" t="s">
        <v>3266</v>
      </c>
      <c r="AI484" s="1"/>
      <c r="AJ484" s="1" t="s">
        <v>1763</v>
      </c>
      <c r="AK484" s="1"/>
      <c r="AL484" s="1"/>
      <c r="AM484" s="1" t="s">
        <v>65</v>
      </c>
      <c r="AN484" s="1" t="s">
        <v>1726</v>
      </c>
      <c r="AO484" s="1"/>
      <c r="AP484" s="2" t="s">
        <v>3267</v>
      </c>
      <c r="AQ484" s="1"/>
      <c r="AR484" s="1" t="s">
        <v>746</v>
      </c>
      <c r="AS484" s="1" t="s">
        <v>3268</v>
      </c>
      <c r="AT484" s="2" t="s">
        <v>70</v>
      </c>
    </row>
    <row r="485">
      <c r="A485" s="1"/>
      <c r="B485" s="1" t="s">
        <v>46</v>
      </c>
      <c r="C485" s="1" t="s">
        <v>47</v>
      </c>
      <c r="D485" s="1"/>
      <c r="E485" s="1" t="s">
        <v>3269</v>
      </c>
      <c r="F485" s="1"/>
      <c r="G485" s="1" t="s">
        <v>49</v>
      </c>
      <c r="H485" s="1" t="s">
        <v>50</v>
      </c>
      <c r="I485" s="1">
        <v>10000.0</v>
      </c>
      <c r="J485" s="1"/>
      <c r="K485" s="1" t="s">
        <v>51</v>
      </c>
      <c r="L485" s="1"/>
      <c r="M485" s="1" t="s">
        <v>3270</v>
      </c>
      <c r="N485" s="1" t="s">
        <v>94</v>
      </c>
      <c r="O485" s="1" t="s">
        <v>95</v>
      </c>
      <c r="P485" s="2" t="s">
        <v>3271</v>
      </c>
      <c r="Q485" s="1" t="s">
        <v>56</v>
      </c>
      <c r="R485" s="1"/>
      <c r="S485" s="1" t="s">
        <v>1513</v>
      </c>
      <c r="T485" s="1">
        <v>2802304.0</v>
      </c>
      <c r="U485" s="1" t="s">
        <v>3272</v>
      </c>
      <c r="V485" s="1" t="s">
        <v>1515</v>
      </c>
      <c r="W485" s="1" t="s">
        <v>291</v>
      </c>
      <c r="X485" s="1"/>
      <c r="Y485" s="1"/>
      <c r="Z485" s="1" t="s">
        <v>101</v>
      </c>
      <c r="AA485" s="1" t="s">
        <v>3273</v>
      </c>
      <c r="AB485" s="1" t="str">
        <f>"***890468**"</f>
        <v>***890468**</v>
      </c>
      <c r="AC485" s="1"/>
      <c r="AD485" s="1" t="s">
        <v>325</v>
      </c>
      <c r="AE485" s="1"/>
      <c r="AF485" s="1">
        <v>-37.554167</v>
      </c>
      <c r="AG485" s="1">
        <v>-10.503056</v>
      </c>
      <c r="AH485" s="1" t="s">
        <v>3274</v>
      </c>
      <c r="AI485" s="1"/>
      <c r="AJ485" s="1" t="s">
        <v>1518</v>
      </c>
      <c r="AK485" s="1"/>
      <c r="AL485" s="1"/>
      <c r="AM485" s="1" t="s">
        <v>65</v>
      </c>
      <c r="AN485" s="1"/>
      <c r="AO485" s="1"/>
      <c r="AP485" s="2" t="s">
        <v>3275</v>
      </c>
      <c r="AQ485" s="1"/>
      <c r="AR485" s="1" t="s">
        <v>3276</v>
      </c>
      <c r="AS485" s="1"/>
      <c r="AT485" s="2" t="s">
        <v>70</v>
      </c>
    </row>
    <row r="486">
      <c r="A486" s="1"/>
      <c r="B486" s="1" t="s">
        <v>46</v>
      </c>
      <c r="C486" s="1" t="s">
        <v>47</v>
      </c>
      <c r="D486" s="1"/>
      <c r="E486" s="1" t="s">
        <v>3277</v>
      </c>
      <c r="F486" s="1"/>
      <c r="G486" s="1" t="s">
        <v>49</v>
      </c>
      <c r="H486" s="1" t="s">
        <v>72</v>
      </c>
      <c r="I486" s="1">
        <v>1500.0</v>
      </c>
      <c r="J486" s="1"/>
      <c r="K486" s="1"/>
      <c r="L486" s="1"/>
      <c r="M486" s="1" t="s">
        <v>3278</v>
      </c>
      <c r="N486" s="1" t="s">
        <v>109</v>
      </c>
      <c r="O486" s="1" t="s">
        <v>110</v>
      </c>
      <c r="P486" s="2" t="s">
        <v>3279</v>
      </c>
      <c r="Q486" s="1" t="s">
        <v>77</v>
      </c>
      <c r="R486" s="1"/>
      <c r="S486" s="1" t="s">
        <v>220</v>
      </c>
      <c r="T486" s="1">
        <v>2507309.0</v>
      </c>
      <c r="U486" s="1" t="s">
        <v>3280</v>
      </c>
      <c r="V486" s="1" t="s">
        <v>1175</v>
      </c>
      <c r="W486" s="1" t="s">
        <v>291</v>
      </c>
      <c r="X486" s="1"/>
      <c r="Y486" s="1"/>
      <c r="Z486" s="1" t="s">
        <v>112</v>
      </c>
      <c r="AA486" s="1" t="s">
        <v>3281</v>
      </c>
      <c r="AB486" s="1" t="str">
        <f>"***923414**"</f>
        <v>***923414**</v>
      </c>
      <c r="AC486" s="1"/>
      <c r="AD486" s="1" t="s">
        <v>325</v>
      </c>
      <c r="AE486" s="1"/>
      <c r="AF486" s="1">
        <v>-35.257444</v>
      </c>
      <c r="AG486" s="1">
        <v>-6.664944</v>
      </c>
      <c r="AH486" s="1" t="s">
        <v>3282</v>
      </c>
      <c r="AI486" s="1"/>
      <c r="AJ486" s="1" t="s">
        <v>1178</v>
      </c>
      <c r="AK486" s="1"/>
      <c r="AL486" s="1"/>
      <c r="AM486" s="1" t="s">
        <v>65</v>
      </c>
      <c r="AN486" s="1" t="s">
        <v>3053</v>
      </c>
      <c r="AO486" s="1"/>
      <c r="AP486" s="2" t="s">
        <v>3283</v>
      </c>
      <c r="AQ486" s="1"/>
      <c r="AR486" s="1" t="s">
        <v>3284</v>
      </c>
      <c r="AS486" s="1"/>
      <c r="AT486" s="2" t="s">
        <v>70</v>
      </c>
    </row>
    <row r="487">
      <c r="A487" s="1"/>
      <c r="B487" s="1" t="s">
        <v>46</v>
      </c>
      <c r="C487" s="1" t="s">
        <v>47</v>
      </c>
      <c r="D487" s="1"/>
      <c r="E487" s="1" t="s">
        <v>3285</v>
      </c>
      <c r="F487" s="1"/>
      <c r="G487" s="1" t="s">
        <v>49</v>
      </c>
      <c r="H487" s="1" t="s">
        <v>72</v>
      </c>
      <c r="I487" s="1">
        <v>1000.0</v>
      </c>
      <c r="J487" s="1"/>
      <c r="K487" s="1"/>
      <c r="L487" s="1"/>
      <c r="M487" s="1" t="s">
        <v>3286</v>
      </c>
      <c r="N487" s="1" t="s">
        <v>109</v>
      </c>
      <c r="O487" s="1" t="s">
        <v>110</v>
      </c>
      <c r="P487" s="2" t="s">
        <v>3287</v>
      </c>
      <c r="Q487" s="1" t="s">
        <v>77</v>
      </c>
      <c r="R487" s="1"/>
      <c r="S487" s="1" t="s">
        <v>220</v>
      </c>
      <c r="T487" s="1">
        <v>2507309.0</v>
      </c>
      <c r="U487" s="1" t="s">
        <v>3280</v>
      </c>
      <c r="V487" s="1" t="s">
        <v>1175</v>
      </c>
      <c r="W487" s="1" t="s">
        <v>291</v>
      </c>
      <c r="X487" s="1"/>
      <c r="Y487" s="1"/>
      <c r="Z487" s="1" t="s">
        <v>112</v>
      </c>
      <c r="AA487" s="1" t="s">
        <v>3288</v>
      </c>
      <c r="AB487" s="1" t="str">
        <f>"***253457**"</f>
        <v>***253457**</v>
      </c>
      <c r="AC487" s="1"/>
      <c r="AD487" s="1" t="s">
        <v>325</v>
      </c>
      <c r="AE487" s="1"/>
      <c r="AF487" s="1">
        <v>-35.257278</v>
      </c>
      <c r="AG487" s="1">
        <v>-6.664722</v>
      </c>
      <c r="AH487" s="1" t="s">
        <v>3289</v>
      </c>
      <c r="AI487" s="1"/>
      <c r="AJ487" s="1" t="s">
        <v>1178</v>
      </c>
      <c r="AK487" s="1"/>
      <c r="AL487" s="1"/>
      <c r="AM487" s="1" t="s">
        <v>65</v>
      </c>
      <c r="AN487" s="1" t="s">
        <v>3053</v>
      </c>
      <c r="AO487" s="1"/>
      <c r="AP487" s="2" t="s">
        <v>3290</v>
      </c>
      <c r="AQ487" s="1"/>
      <c r="AR487" s="1" t="s">
        <v>1475</v>
      </c>
      <c r="AS487" s="1"/>
      <c r="AT487" s="2" t="s">
        <v>70</v>
      </c>
    </row>
    <row r="488">
      <c r="A488" s="1">
        <v>2043384.0</v>
      </c>
      <c r="B488" s="1" t="s">
        <v>116</v>
      </c>
      <c r="C488" s="1" t="s">
        <v>117</v>
      </c>
      <c r="D488" s="1" t="s">
        <v>46</v>
      </c>
      <c r="E488" s="1" t="s">
        <v>3291</v>
      </c>
      <c r="F488" s="1"/>
      <c r="G488" s="1" t="s">
        <v>119</v>
      </c>
      <c r="H488" s="1" t="s">
        <v>72</v>
      </c>
      <c r="I488" s="1">
        <v>2000.0</v>
      </c>
      <c r="J488" s="1"/>
      <c r="K488" s="1"/>
      <c r="L488" s="1" t="s">
        <v>64</v>
      </c>
      <c r="M488" s="1" t="s">
        <v>2818</v>
      </c>
      <c r="N488" s="1" t="s">
        <v>257</v>
      </c>
      <c r="O488" s="1" t="s">
        <v>258</v>
      </c>
      <c r="P488" s="2" t="s">
        <v>3292</v>
      </c>
      <c r="Q488" s="1" t="s">
        <v>77</v>
      </c>
      <c r="R488" s="2" t="s">
        <v>3144</v>
      </c>
      <c r="S488" s="1" t="s">
        <v>57</v>
      </c>
      <c r="T488" s="1">
        <v>3200409.0</v>
      </c>
      <c r="U488" s="1" t="s">
        <v>58</v>
      </c>
      <c r="V488" s="1" t="s">
        <v>59</v>
      </c>
      <c r="W488" s="1" t="s">
        <v>78</v>
      </c>
      <c r="X488" s="1"/>
      <c r="Y488" s="1" t="str">
        <f>"02009000320202148"</f>
        <v>02009000320202148</v>
      </c>
      <c r="Z488" s="1" t="s">
        <v>260</v>
      </c>
      <c r="AA488" s="1" t="s">
        <v>3293</v>
      </c>
      <c r="AB488" s="1" t="str">
        <f>"***946217**"</f>
        <v>***946217**</v>
      </c>
      <c r="AC488" s="1"/>
      <c r="AD488" s="1"/>
      <c r="AE488" s="1"/>
      <c r="AF488" s="1">
        <v>-40.643889</v>
      </c>
      <c r="AG488" s="1">
        <v>-20.807778</v>
      </c>
      <c r="AH488" s="1" t="s">
        <v>3294</v>
      </c>
      <c r="AI488" s="1"/>
      <c r="AJ488" s="1" t="s">
        <v>64</v>
      </c>
      <c r="AK488" s="1"/>
      <c r="AL488" s="1" t="s">
        <v>128</v>
      </c>
      <c r="AM488" s="1" t="s">
        <v>65</v>
      </c>
      <c r="AN488" s="1" t="s">
        <v>83</v>
      </c>
      <c r="AO488" s="2" t="s">
        <v>2275</v>
      </c>
      <c r="AP488" s="2" t="s">
        <v>3295</v>
      </c>
      <c r="AQ488" s="1" t="s">
        <v>132</v>
      </c>
      <c r="AR488" s="1" t="s">
        <v>2824</v>
      </c>
      <c r="AS488" s="1"/>
      <c r="AT488" s="2" t="s">
        <v>70</v>
      </c>
    </row>
    <row r="489">
      <c r="A489" s="1"/>
      <c r="B489" s="1" t="s">
        <v>46</v>
      </c>
      <c r="C489" s="1" t="s">
        <v>47</v>
      </c>
      <c r="D489" s="1"/>
      <c r="E489" s="1" t="s">
        <v>3296</v>
      </c>
      <c r="F489" s="1"/>
      <c r="G489" s="1" t="s">
        <v>49</v>
      </c>
      <c r="H489" s="1" t="s">
        <v>72</v>
      </c>
      <c r="I489" s="1">
        <v>6500.0</v>
      </c>
      <c r="J489" s="1"/>
      <c r="K489" s="1"/>
      <c r="L489" s="1"/>
      <c r="M489" s="1" t="s">
        <v>3297</v>
      </c>
      <c r="N489" s="1" t="s">
        <v>257</v>
      </c>
      <c r="O489" s="1" t="s">
        <v>258</v>
      </c>
      <c r="P489" s="2" t="s">
        <v>3298</v>
      </c>
      <c r="Q489" s="1" t="s">
        <v>56</v>
      </c>
      <c r="R489" s="1"/>
      <c r="S489" s="1" t="s">
        <v>412</v>
      </c>
      <c r="T489" s="1">
        <v>2709152.0</v>
      </c>
      <c r="U489" s="1" t="s">
        <v>3299</v>
      </c>
      <c r="V489" s="1" t="s">
        <v>414</v>
      </c>
      <c r="W489" s="1" t="s">
        <v>78</v>
      </c>
      <c r="X489" s="1"/>
      <c r="Y489" s="1"/>
      <c r="Z489" s="1" t="s">
        <v>260</v>
      </c>
      <c r="AA489" s="1" t="s">
        <v>3300</v>
      </c>
      <c r="AB489" s="1" t="str">
        <f>"***700004**"</f>
        <v>***700004**</v>
      </c>
      <c r="AC489" s="1"/>
      <c r="AD489" s="1" t="s">
        <v>81</v>
      </c>
      <c r="AE489" s="1"/>
      <c r="AF489" s="1">
        <v>-35.740278</v>
      </c>
      <c r="AG489" s="1">
        <v>-9.614444</v>
      </c>
      <c r="AH489" s="1" t="s">
        <v>3301</v>
      </c>
      <c r="AI489" s="1"/>
      <c r="AJ489" s="1" t="s">
        <v>417</v>
      </c>
      <c r="AK489" s="1"/>
      <c r="AL489" s="1"/>
      <c r="AM489" s="1" t="s">
        <v>65</v>
      </c>
      <c r="AN489" s="1" t="s">
        <v>274</v>
      </c>
      <c r="AO489" s="1"/>
      <c r="AP489" s="2" t="s">
        <v>3302</v>
      </c>
      <c r="AQ489" s="1"/>
      <c r="AR489" s="1" t="s">
        <v>3303</v>
      </c>
      <c r="AS489" s="1"/>
      <c r="AT489" s="2" t="s">
        <v>70</v>
      </c>
    </row>
    <row r="490">
      <c r="A490" s="1">
        <v>2043385.0</v>
      </c>
      <c r="B490" s="1" t="s">
        <v>116</v>
      </c>
      <c r="C490" s="1" t="s">
        <v>117</v>
      </c>
      <c r="D490" s="1" t="s">
        <v>46</v>
      </c>
      <c r="E490" s="1" t="s">
        <v>3304</v>
      </c>
      <c r="F490" s="1"/>
      <c r="G490" s="1" t="s">
        <v>119</v>
      </c>
      <c r="H490" s="1" t="s">
        <v>72</v>
      </c>
      <c r="I490" s="1">
        <v>1000.0</v>
      </c>
      <c r="J490" s="1"/>
      <c r="K490" s="1"/>
      <c r="L490" s="1" t="s">
        <v>64</v>
      </c>
      <c r="M490" s="1" t="s">
        <v>2818</v>
      </c>
      <c r="N490" s="1" t="s">
        <v>257</v>
      </c>
      <c r="O490" s="1" t="s">
        <v>258</v>
      </c>
      <c r="P490" s="2" t="s">
        <v>3305</v>
      </c>
      <c r="Q490" s="1" t="s">
        <v>77</v>
      </c>
      <c r="R490" s="2" t="s">
        <v>3306</v>
      </c>
      <c r="S490" s="1" t="s">
        <v>220</v>
      </c>
      <c r="T490" s="1">
        <v>3200409.0</v>
      </c>
      <c r="U490" s="1" t="s">
        <v>58</v>
      </c>
      <c r="V490" s="1" t="s">
        <v>59</v>
      </c>
      <c r="W490" s="1" t="s">
        <v>78</v>
      </c>
      <c r="X490" s="1"/>
      <c r="Y490" s="1" t="str">
        <f>"02009000321202192"</f>
        <v>02009000321202192</v>
      </c>
      <c r="Z490" s="1" t="s">
        <v>260</v>
      </c>
      <c r="AA490" s="1" t="s">
        <v>3307</v>
      </c>
      <c r="AB490" s="1" t="str">
        <f>"***051767**"</f>
        <v>***051767**</v>
      </c>
      <c r="AC490" s="1"/>
      <c r="AD490" s="1"/>
      <c r="AE490" s="1"/>
      <c r="AF490" s="1">
        <v>-40.716111</v>
      </c>
      <c r="AG490" s="1">
        <v>-20.779444</v>
      </c>
      <c r="AH490" s="1" t="s">
        <v>2821</v>
      </c>
      <c r="AI490" s="1"/>
      <c r="AJ490" s="1" t="s">
        <v>64</v>
      </c>
      <c r="AK490" s="1"/>
      <c r="AL490" s="1" t="s">
        <v>128</v>
      </c>
      <c r="AM490" s="1" t="s">
        <v>65</v>
      </c>
      <c r="AN490" s="1" t="s">
        <v>83</v>
      </c>
      <c r="AO490" s="2" t="s">
        <v>2275</v>
      </c>
      <c r="AP490" s="2" t="s">
        <v>3308</v>
      </c>
      <c r="AQ490" s="1" t="s">
        <v>132</v>
      </c>
      <c r="AR490" s="1" t="s">
        <v>2824</v>
      </c>
      <c r="AS490" s="1"/>
      <c r="AT490" s="2" t="s">
        <v>70</v>
      </c>
    </row>
    <row r="491">
      <c r="A491" s="1">
        <v>2043386.0</v>
      </c>
      <c r="B491" s="1" t="s">
        <v>116</v>
      </c>
      <c r="C491" s="1" t="s">
        <v>117</v>
      </c>
      <c r="D491" s="1" t="s">
        <v>46</v>
      </c>
      <c r="E491" s="1" t="s">
        <v>3309</v>
      </c>
      <c r="F491" s="1"/>
      <c r="G491" s="1" t="s">
        <v>119</v>
      </c>
      <c r="H491" s="1" t="s">
        <v>72</v>
      </c>
      <c r="I491" s="1">
        <v>6500.0</v>
      </c>
      <c r="J491" s="1"/>
      <c r="K491" s="1"/>
      <c r="L491" s="1" t="s">
        <v>64</v>
      </c>
      <c r="M491" s="1" t="s">
        <v>2818</v>
      </c>
      <c r="N491" s="1" t="s">
        <v>257</v>
      </c>
      <c r="O491" s="1" t="s">
        <v>258</v>
      </c>
      <c r="P491" s="2" t="s">
        <v>3305</v>
      </c>
      <c r="Q491" s="1" t="s">
        <v>77</v>
      </c>
      <c r="R491" s="2" t="s">
        <v>3306</v>
      </c>
      <c r="S491" s="1" t="s">
        <v>220</v>
      </c>
      <c r="T491" s="1">
        <v>3200409.0</v>
      </c>
      <c r="U491" s="1" t="s">
        <v>58</v>
      </c>
      <c r="V491" s="1" t="s">
        <v>59</v>
      </c>
      <c r="W491" s="1" t="s">
        <v>78</v>
      </c>
      <c r="X491" s="1"/>
      <c r="Y491" s="1" t="str">
        <f>"02009000322202137"</f>
        <v>02009000322202137</v>
      </c>
      <c r="Z491" s="1" t="s">
        <v>260</v>
      </c>
      <c r="AA491" s="1" t="s">
        <v>3310</v>
      </c>
      <c r="AB491" s="1" t="str">
        <f>"***965967**"</f>
        <v>***965967**</v>
      </c>
      <c r="AC491" s="1"/>
      <c r="AD491" s="1"/>
      <c r="AE491" s="1"/>
      <c r="AF491" s="1">
        <v>-40.716111</v>
      </c>
      <c r="AG491" s="1">
        <v>-20.779444</v>
      </c>
      <c r="AH491" s="1" t="s">
        <v>2821</v>
      </c>
      <c r="AI491" s="1"/>
      <c r="AJ491" s="1" t="s">
        <v>64</v>
      </c>
      <c r="AK491" s="1"/>
      <c r="AL491" s="1" t="s">
        <v>128</v>
      </c>
      <c r="AM491" s="1" t="s">
        <v>65</v>
      </c>
      <c r="AN491" s="1" t="s">
        <v>83</v>
      </c>
      <c r="AO491" s="2" t="s">
        <v>2275</v>
      </c>
      <c r="AP491" s="2" t="s">
        <v>3311</v>
      </c>
      <c r="AQ491" s="1" t="s">
        <v>132</v>
      </c>
      <c r="AR491" s="1" t="s">
        <v>2824</v>
      </c>
      <c r="AS491" s="1"/>
      <c r="AT491" s="2" t="s">
        <v>70</v>
      </c>
    </row>
    <row r="492">
      <c r="A492" s="1">
        <v>2043419.0</v>
      </c>
      <c r="B492" s="1" t="s">
        <v>116</v>
      </c>
      <c r="C492" s="1" t="s">
        <v>117</v>
      </c>
      <c r="D492" s="1" t="s">
        <v>46</v>
      </c>
      <c r="E492" s="1" t="s">
        <v>3312</v>
      </c>
      <c r="F492" s="1"/>
      <c r="G492" s="1" t="s">
        <v>119</v>
      </c>
      <c r="H492" s="1" t="s">
        <v>50</v>
      </c>
      <c r="I492" s="1">
        <v>820.0</v>
      </c>
      <c r="J492" s="1"/>
      <c r="K492" s="1"/>
      <c r="L492" s="1" t="s">
        <v>64</v>
      </c>
      <c r="M492" s="1" t="s">
        <v>3313</v>
      </c>
      <c r="N492" s="1" t="s">
        <v>74</v>
      </c>
      <c r="O492" s="1" t="s">
        <v>75</v>
      </c>
      <c r="P492" s="2" t="s">
        <v>3314</v>
      </c>
      <c r="Q492" s="1" t="s">
        <v>77</v>
      </c>
      <c r="R492" s="2" t="s">
        <v>3306</v>
      </c>
      <c r="S492" s="1" t="s">
        <v>57</v>
      </c>
      <c r="T492" s="1">
        <v>3200409.0</v>
      </c>
      <c r="U492" s="1" t="s">
        <v>58</v>
      </c>
      <c r="V492" s="1" t="s">
        <v>59</v>
      </c>
      <c r="W492" s="1" t="s">
        <v>60</v>
      </c>
      <c r="X492" s="1"/>
      <c r="Y492" s="1" t="str">
        <f>"02009000335202114"</f>
        <v>02009000335202114</v>
      </c>
      <c r="Z492" s="1" t="s">
        <v>79</v>
      </c>
      <c r="AA492" s="1" t="s">
        <v>3315</v>
      </c>
      <c r="AB492" s="1" t="str">
        <f>"***988927**"</f>
        <v>***988927**</v>
      </c>
      <c r="AC492" s="1"/>
      <c r="AD492" s="1"/>
      <c r="AE492" s="1"/>
      <c r="AF492" s="1">
        <v>-40.649167</v>
      </c>
      <c r="AG492" s="1">
        <v>-20.795556</v>
      </c>
      <c r="AH492" s="1" t="s">
        <v>3316</v>
      </c>
      <c r="AI492" s="1"/>
      <c r="AJ492" s="1" t="s">
        <v>64</v>
      </c>
      <c r="AK492" s="1"/>
      <c r="AL492" s="1" t="s">
        <v>128</v>
      </c>
      <c r="AM492" s="1" t="s">
        <v>65</v>
      </c>
      <c r="AN492" s="1" t="s">
        <v>83</v>
      </c>
      <c r="AO492" s="2" t="s">
        <v>2275</v>
      </c>
      <c r="AP492" s="2" t="s">
        <v>3317</v>
      </c>
      <c r="AQ492" s="1" t="s">
        <v>132</v>
      </c>
      <c r="AR492" s="1" t="s">
        <v>3121</v>
      </c>
      <c r="AS492" s="1"/>
      <c r="AT492" s="2" t="s">
        <v>70</v>
      </c>
    </row>
    <row r="493">
      <c r="A493" s="1">
        <v>2043324.0</v>
      </c>
      <c r="B493" s="1" t="s">
        <v>116</v>
      </c>
      <c r="C493" s="1" t="s">
        <v>117</v>
      </c>
      <c r="D493" s="1" t="s">
        <v>46</v>
      </c>
      <c r="E493" s="1" t="s">
        <v>3318</v>
      </c>
      <c r="F493" s="1"/>
      <c r="G493" s="1" t="s">
        <v>119</v>
      </c>
      <c r="H493" s="1" t="s">
        <v>50</v>
      </c>
      <c r="I493" s="1">
        <v>840.0</v>
      </c>
      <c r="J493" s="1"/>
      <c r="K493" s="1"/>
      <c r="L493" s="1" t="s">
        <v>2856</v>
      </c>
      <c r="M493" s="1" t="s">
        <v>3319</v>
      </c>
      <c r="N493" s="1" t="s">
        <v>74</v>
      </c>
      <c r="O493" s="1" t="s">
        <v>75</v>
      </c>
      <c r="P493" s="2" t="s">
        <v>3320</v>
      </c>
      <c r="Q493" s="1" t="s">
        <v>77</v>
      </c>
      <c r="R493" s="2" t="s">
        <v>3306</v>
      </c>
      <c r="S493" s="1" t="s">
        <v>220</v>
      </c>
      <c r="T493" s="1">
        <v>2402600.0</v>
      </c>
      <c r="U493" s="1" t="s">
        <v>3321</v>
      </c>
      <c r="V493" s="1" t="s">
        <v>1084</v>
      </c>
      <c r="W493" s="1" t="s">
        <v>60</v>
      </c>
      <c r="X493" s="1"/>
      <c r="Y493" s="1" t="str">
        <f>"02021000103202190"</f>
        <v>02021000103202190</v>
      </c>
      <c r="Z493" s="1" t="s">
        <v>79</v>
      </c>
      <c r="AA493" s="1" t="s">
        <v>3322</v>
      </c>
      <c r="AB493" s="1" t="str">
        <f>"***250384**"</f>
        <v>***250384**</v>
      </c>
      <c r="AC493" s="1"/>
      <c r="AD493" s="1"/>
      <c r="AE493" s="1"/>
      <c r="AF493" s="1">
        <v>-35.251389</v>
      </c>
      <c r="AG493" s="1">
        <v>-5.584167</v>
      </c>
      <c r="AH493" s="1" t="s">
        <v>3323</v>
      </c>
      <c r="AI493" s="1"/>
      <c r="AJ493" s="1" t="s">
        <v>2856</v>
      </c>
      <c r="AK493" s="1"/>
      <c r="AL493" s="1" t="s">
        <v>128</v>
      </c>
      <c r="AM493" s="1" t="s">
        <v>65</v>
      </c>
      <c r="AN493" s="1" t="s">
        <v>3119</v>
      </c>
      <c r="AO493" s="2" t="s">
        <v>2407</v>
      </c>
      <c r="AP493" s="2" t="s">
        <v>3324</v>
      </c>
      <c r="AQ493" s="1" t="s">
        <v>132</v>
      </c>
      <c r="AR493" s="1" t="s">
        <v>3325</v>
      </c>
      <c r="AS493" s="1" t="s">
        <v>3326</v>
      </c>
      <c r="AT493" s="2" t="s">
        <v>70</v>
      </c>
    </row>
    <row r="494">
      <c r="A494" s="1">
        <v>2043325.0</v>
      </c>
      <c r="B494" s="1" t="s">
        <v>116</v>
      </c>
      <c r="C494" s="1" t="s">
        <v>117</v>
      </c>
      <c r="D494" s="1" t="s">
        <v>46</v>
      </c>
      <c r="E494" s="1" t="s">
        <v>3327</v>
      </c>
      <c r="F494" s="1"/>
      <c r="G494" s="1" t="s">
        <v>119</v>
      </c>
      <c r="H494" s="1" t="s">
        <v>50</v>
      </c>
      <c r="I494" s="1">
        <v>800.0</v>
      </c>
      <c r="J494" s="1"/>
      <c r="K494" s="1"/>
      <c r="L494" s="1" t="s">
        <v>2856</v>
      </c>
      <c r="M494" s="1" t="s">
        <v>3328</v>
      </c>
      <c r="N494" s="1" t="s">
        <v>74</v>
      </c>
      <c r="O494" s="1" t="s">
        <v>75</v>
      </c>
      <c r="P494" s="2" t="s">
        <v>3329</v>
      </c>
      <c r="Q494" s="1" t="s">
        <v>77</v>
      </c>
      <c r="R494" s="2" t="s">
        <v>3306</v>
      </c>
      <c r="S494" s="1" t="s">
        <v>2859</v>
      </c>
      <c r="T494" s="1">
        <v>2402600.0</v>
      </c>
      <c r="U494" s="1" t="s">
        <v>3321</v>
      </c>
      <c r="V494" s="1" t="s">
        <v>1084</v>
      </c>
      <c r="W494" s="1" t="s">
        <v>60</v>
      </c>
      <c r="X494" s="1"/>
      <c r="Y494" s="1" t="str">
        <f>"02021000104202134"</f>
        <v>02021000104202134</v>
      </c>
      <c r="Z494" s="1" t="s">
        <v>79</v>
      </c>
      <c r="AA494" s="1" t="s">
        <v>3330</v>
      </c>
      <c r="AB494" s="1" t="str">
        <f>"***340068**"</f>
        <v>***340068**</v>
      </c>
      <c r="AC494" s="1"/>
      <c r="AD494" s="1"/>
      <c r="AE494" s="1"/>
      <c r="AF494" s="1">
        <v>-35.24</v>
      </c>
      <c r="AG494" s="1">
        <v>-5.598333</v>
      </c>
      <c r="AH494" s="1" t="s">
        <v>3331</v>
      </c>
      <c r="AI494" s="1"/>
      <c r="AJ494" s="1" t="s">
        <v>2856</v>
      </c>
      <c r="AK494" s="1"/>
      <c r="AL494" s="1" t="s">
        <v>128</v>
      </c>
      <c r="AM494" s="1" t="s">
        <v>65</v>
      </c>
      <c r="AN494" s="1" t="s">
        <v>3119</v>
      </c>
      <c r="AO494" s="2" t="s">
        <v>2407</v>
      </c>
      <c r="AP494" s="2" t="s">
        <v>3332</v>
      </c>
      <c r="AQ494" s="1" t="s">
        <v>132</v>
      </c>
      <c r="AR494" s="1" t="s">
        <v>3236</v>
      </c>
      <c r="AS494" s="1" t="s">
        <v>3333</v>
      </c>
      <c r="AT494" s="2" t="s">
        <v>70</v>
      </c>
    </row>
    <row r="495">
      <c r="A495" s="1"/>
      <c r="B495" s="1" t="s">
        <v>46</v>
      </c>
      <c r="C495" s="1" t="s">
        <v>47</v>
      </c>
      <c r="D495" s="1"/>
      <c r="E495" s="1" t="s">
        <v>3334</v>
      </c>
      <c r="F495" s="1"/>
      <c r="G495" s="1" t="s">
        <v>49</v>
      </c>
      <c r="H495" s="1" t="s">
        <v>50</v>
      </c>
      <c r="I495" s="1">
        <v>760.0</v>
      </c>
      <c r="J495" s="1"/>
      <c r="K495" s="1" t="s">
        <v>51</v>
      </c>
      <c r="L495" s="1"/>
      <c r="M495" s="1" t="s">
        <v>3335</v>
      </c>
      <c r="N495" s="1" t="s">
        <v>74</v>
      </c>
      <c r="O495" s="1" t="s">
        <v>75</v>
      </c>
      <c r="P495" s="2" t="s">
        <v>3336</v>
      </c>
      <c r="Q495" s="1" t="s">
        <v>77</v>
      </c>
      <c r="R495" s="1"/>
      <c r="S495" s="1" t="s">
        <v>220</v>
      </c>
      <c r="T495" s="1">
        <v>2606200.0</v>
      </c>
      <c r="U495" s="1" t="s">
        <v>3337</v>
      </c>
      <c r="V495" s="1" t="s">
        <v>507</v>
      </c>
      <c r="W495" s="1" t="s">
        <v>60</v>
      </c>
      <c r="X495" s="1"/>
      <c r="Y495" s="1"/>
      <c r="Z495" s="1" t="s">
        <v>79</v>
      </c>
      <c r="AA495" s="1" t="s">
        <v>3338</v>
      </c>
      <c r="AB495" s="1" t="str">
        <f>"***624254**"</f>
        <v>***624254**</v>
      </c>
      <c r="AC495" s="1"/>
      <c r="AD495" s="1" t="s">
        <v>81</v>
      </c>
      <c r="AE495" s="1"/>
      <c r="AF495" s="1">
        <v>-47.933056</v>
      </c>
      <c r="AG495" s="1">
        <v>-15.83</v>
      </c>
      <c r="AH495" s="1" t="s">
        <v>3339</v>
      </c>
      <c r="AI495" s="1"/>
      <c r="AJ495" s="1" t="s">
        <v>510</v>
      </c>
      <c r="AK495" s="1"/>
      <c r="AL495" s="1"/>
      <c r="AM495" s="1" t="s">
        <v>65</v>
      </c>
      <c r="AN495" s="1" t="s">
        <v>159</v>
      </c>
      <c r="AO495" s="1"/>
      <c r="AP495" s="2" t="s">
        <v>3340</v>
      </c>
      <c r="AQ495" s="1"/>
      <c r="AR495" s="1" t="s">
        <v>3341</v>
      </c>
      <c r="AS495" s="1"/>
      <c r="AT495" s="2" t="s">
        <v>70</v>
      </c>
    </row>
    <row r="496">
      <c r="A496" s="1">
        <v>2043263.0</v>
      </c>
      <c r="B496" s="1" t="s">
        <v>116</v>
      </c>
      <c r="C496" s="1" t="s">
        <v>117</v>
      </c>
      <c r="D496" s="1" t="s">
        <v>46</v>
      </c>
      <c r="E496" s="1" t="s">
        <v>3342</v>
      </c>
      <c r="F496" s="1"/>
      <c r="G496" s="1" t="s">
        <v>119</v>
      </c>
      <c r="H496" s="1" t="s">
        <v>50</v>
      </c>
      <c r="I496" s="1">
        <v>900.0</v>
      </c>
      <c r="J496" s="1"/>
      <c r="K496" s="1"/>
      <c r="L496" s="1" t="s">
        <v>2856</v>
      </c>
      <c r="M496" s="1" t="s">
        <v>3343</v>
      </c>
      <c r="N496" s="1" t="s">
        <v>74</v>
      </c>
      <c r="O496" s="1" t="s">
        <v>75</v>
      </c>
      <c r="P496" s="2" t="s">
        <v>3344</v>
      </c>
      <c r="Q496" s="1" t="s">
        <v>77</v>
      </c>
      <c r="R496" s="2" t="s">
        <v>3306</v>
      </c>
      <c r="S496" s="1" t="s">
        <v>220</v>
      </c>
      <c r="T496" s="1">
        <v>2403608.0</v>
      </c>
      <c r="U496" s="1" t="s">
        <v>3345</v>
      </c>
      <c r="V496" s="1" t="s">
        <v>1084</v>
      </c>
      <c r="W496" s="1" t="s">
        <v>60</v>
      </c>
      <c r="X496" s="1"/>
      <c r="Y496" s="1" t="str">
        <f>"02021000090202159"</f>
        <v>02021000090202159</v>
      </c>
      <c r="Z496" s="1" t="s">
        <v>79</v>
      </c>
      <c r="AA496" s="1" t="s">
        <v>3346</v>
      </c>
      <c r="AB496" s="1" t="str">
        <f>"***961314**"</f>
        <v>***961314**</v>
      </c>
      <c r="AC496" s="1"/>
      <c r="AD496" s="1"/>
      <c r="AE496" s="1"/>
      <c r="AF496" s="1">
        <v>-35.251389</v>
      </c>
      <c r="AG496" s="1">
        <v>-5.665278</v>
      </c>
      <c r="AH496" s="1" t="s">
        <v>3347</v>
      </c>
      <c r="AI496" s="1"/>
      <c r="AJ496" s="1" t="s">
        <v>2856</v>
      </c>
      <c r="AK496" s="1"/>
      <c r="AL496" s="1" t="s">
        <v>128</v>
      </c>
      <c r="AM496" s="1" t="s">
        <v>65</v>
      </c>
      <c r="AN496" s="1" t="s">
        <v>3119</v>
      </c>
      <c r="AO496" s="2" t="s">
        <v>3260</v>
      </c>
      <c r="AP496" s="2" t="s">
        <v>3348</v>
      </c>
      <c r="AQ496" s="1" t="s">
        <v>132</v>
      </c>
      <c r="AR496" s="1" t="s">
        <v>3236</v>
      </c>
      <c r="AS496" s="1" t="s">
        <v>3349</v>
      </c>
      <c r="AT496" s="2" t="s">
        <v>70</v>
      </c>
    </row>
    <row r="497">
      <c r="A497" s="1">
        <v>2043326.0</v>
      </c>
      <c r="B497" s="1" t="s">
        <v>116</v>
      </c>
      <c r="C497" s="1" t="s">
        <v>117</v>
      </c>
      <c r="D497" s="1" t="s">
        <v>46</v>
      </c>
      <c r="E497" s="1" t="s">
        <v>3350</v>
      </c>
      <c r="F497" s="1"/>
      <c r="G497" s="1" t="s">
        <v>119</v>
      </c>
      <c r="H497" s="1" t="s">
        <v>50</v>
      </c>
      <c r="I497" s="1">
        <v>1100.0</v>
      </c>
      <c r="J497" s="1"/>
      <c r="K497" s="1"/>
      <c r="L497" s="1" t="s">
        <v>2856</v>
      </c>
      <c r="M497" s="1" t="s">
        <v>3351</v>
      </c>
      <c r="N497" s="1" t="s">
        <v>74</v>
      </c>
      <c r="O497" s="1" t="s">
        <v>75</v>
      </c>
      <c r="P497" s="2" t="s">
        <v>3352</v>
      </c>
      <c r="Q497" s="1" t="s">
        <v>77</v>
      </c>
      <c r="R497" s="2" t="s">
        <v>3306</v>
      </c>
      <c r="S497" s="1" t="s">
        <v>2859</v>
      </c>
      <c r="T497" s="1">
        <v>2408102.0</v>
      </c>
      <c r="U497" s="1" t="s">
        <v>1083</v>
      </c>
      <c r="V497" s="1" t="s">
        <v>1084</v>
      </c>
      <c r="W497" s="1" t="s">
        <v>60</v>
      </c>
      <c r="X497" s="1"/>
      <c r="Y497" s="1" t="str">
        <f>"02021000105202189"</f>
        <v>02021000105202189</v>
      </c>
      <c r="Z497" s="1" t="s">
        <v>79</v>
      </c>
      <c r="AA497" s="1" t="s">
        <v>3353</v>
      </c>
      <c r="AB497" s="1" t="str">
        <f>"***822924**"</f>
        <v>***822924**</v>
      </c>
      <c r="AC497" s="1"/>
      <c r="AD497" s="1"/>
      <c r="AE497" s="1"/>
      <c r="AF497" s="1">
        <v>-35.211667</v>
      </c>
      <c r="AG497" s="1">
        <v>-5.746389</v>
      </c>
      <c r="AH497" s="1" t="s">
        <v>3354</v>
      </c>
      <c r="AI497" s="1"/>
      <c r="AJ497" s="1" t="s">
        <v>2856</v>
      </c>
      <c r="AK497" s="1"/>
      <c r="AL497" s="1" t="s">
        <v>128</v>
      </c>
      <c r="AM497" s="1" t="s">
        <v>65</v>
      </c>
      <c r="AN497" s="1" t="s">
        <v>3119</v>
      </c>
      <c r="AO497" s="2" t="s">
        <v>2407</v>
      </c>
      <c r="AP497" s="2" t="s">
        <v>3355</v>
      </c>
      <c r="AQ497" s="1" t="s">
        <v>132</v>
      </c>
      <c r="AR497" s="1" t="s">
        <v>3236</v>
      </c>
      <c r="AS497" s="1" t="s">
        <v>3356</v>
      </c>
      <c r="AT497" s="2" t="s">
        <v>70</v>
      </c>
    </row>
    <row r="498">
      <c r="A498" s="1">
        <v>2043461.0</v>
      </c>
      <c r="B498" s="1" t="s">
        <v>116</v>
      </c>
      <c r="C498" s="1" t="s">
        <v>117</v>
      </c>
      <c r="D498" s="1" t="s">
        <v>46</v>
      </c>
      <c r="E498" s="1" t="s">
        <v>3357</v>
      </c>
      <c r="F498" s="1"/>
      <c r="G498" s="1" t="s">
        <v>119</v>
      </c>
      <c r="H498" s="1" t="s">
        <v>72</v>
      </c>
      <c r="I498" s="1">
        <v>110000.0</v>
      </c>
      <c r="J498" s="1"/>
      <c r="K498" s="1"/>
      <c r="L498" s="1" t="s">
        <v>120</v>
      </c>
      <c r="M498" s="1" t="s">
        <v>3358</v>
      </c>
      <c r="N498" s="1" t="s">
        <v>53</v>
      </c>
      <c r="O498" s="1" t="s">
        <v>382</v>
      </c>
      <c r="P498" s="2" t="s">
        <v>3359</v>
      </c>
      <c r="Q498" s="1" t="s">
        <v>77</v>
      </c>
      <c r="R498" s="2" t="s">
        <v>3360</v>
      </c>
      <c r="S498" s="1" t="s">
        <v>1349</v>
      </c>
      <c r="T498" s="1">
        <v>1500859.0</v>
      </c>
      <c r="U498" s="1" t="s">
        <v>1723</v>
      </c>
      <c r="V498" s="1" t="s">
        <v>917</v>
      </c>
      <c r="W498" s="1" t="s">
        <v>100</v>
      </c>
      <c r="X498" s="1"/>
      <c r="Y498" s="1" t="str">
        <f>"02001003171202149"</f>
        <v>02001003171202149</v>
      </c>
      <c r="Z498" s="1" t="s">
        <v>384</v>
      </c>
      <c r="AA498" s="1" t="s">
        <v>3361</v>
      </c>
      <c r="AB498" s="1" t="str">
        <f t="shared" ref="AB498:AB499" si="28">"***324058**"</f>
        <v>***324058**</v>
      </c>
      <c r="AC498" s="1"/>
      <c r="AD498" s="1"/>
      <c r="AE498" s="1"/>
      <c r="AF498" s="1">
        <v>-51.189722</v>
      </c>
      <c r="AG498" s="1">
        <v>-3.491111</v>
      </c>
      <c r="AH498" s="1" t="s">
        <v>3362</v>
      </c>
      <c r="AI498" s="1"/>
      <c r="AJ498" s="1" t="s">
        <v>120</v>
      </c>
      <c r="AK498" s="1"/>
      <c r="AL498" s="1" t="s">
        <v>128</v>
      </c>
      <c r="AM498" s="1" t="s">
        <v>65</v>
      </c>
      <c r="AN498" s="1" t="s">
        <v>1726</v>
      </c>
      <c r="AO498" s="2" t="s">
        <v>1972</v>
      </c>
      <c r="AP498" s="2" t="s">
        <v>3363</v>
      </c>
      <c r="AQ498" s="1" t="s">
        <v>132</v>
      </c>
      <c r="AR498" s="1" t="s">
        <v>3080</v>
      </c>
      <c r="AS498" s="1" t="s">
        <v>3364</v>
      </c>
      <c r="AT498" s="2" t="s">
        <v>70</v>
      </c>
    </row>
    <row r="499">
      <c r="A499" s="1">
        <v>2043641.0</v>
      </c>
      <c r="B499" s="1" t="s">
        <v>116</v>
      </c>
      <c r="C499" s="1" t="s">
        <v>117</v>
      </c>
      <c r="D499" s="1" t="s">
        <v>46</v>
      </c>
      <c r="E499" s="1" t="s">
        <v>3365</v>
      </c>
      <c r="F499" s="1"/>
      <c r="G499" s="1" t="s">
        <v>119</v>
      </c>
      <c r="H499" s="1" t="s">
        <v>72</v>
      </c>
      <c r="I499" s="1">
        <v>110500.0</v>
      </c>
      <c r="J499" s="1"/>
      <c r="K499" s="1"/>
      <c r="L499" s="1" t="s">
        <v>120</v>
      </c>
      <c r="M499" s="1" t="s">
        <v>3366</v>
      </c>
      <c r="N499" s="1" t="s">
        <v>186</v>
      </c>
      <c r="O499" s="1" t="s">
        <v>302</v>
      </c>
      <c r="P499" s="2" t="s">
        <v>3359</v>
      </c>
      <c r="Q499" s="1" t="s">
        <v>77</v>
      </c>
      <c r="R499" s="2" t="s">
        <v>3360</v>
      </c>
      <c r="S499" s="1" t="s">
        <v>220</v>
      </c>
      <c r="T499" s="1">
        <v>1500859.0</v>
      </c>
      <c r="U499" s="1" t="s">
        <v>1723</v>
      </c>
      <c r="V499" s="1" t="s">
        <v>917</v>
      </c>
      <c r="W499" s="1" t="s">
        <v>100</v>
      </c>
      <c r="X499" s="1"/>
      <c r="Y499" s="1" t="str">
        <f>"02001003541202148"</f>
        <v>02001003541202148</v>
      </c>
      <c r="Z499" s="1" t="s">
        <v>306</v>
      </c>
      <c r="AA499" s="1" t="s">
        <v>3361</v>
      </c>
      <c r="AB499" s="1" t="str">
        <f t="shared" si="28"/>
        <v>***324058**</v>
      </c>
      <c r="AC499" s="1"/>
      <c r="AD499" s="1"/>
      <c r="AE499" s="1"/>
      <c r="AF499" s="1">
        <v>-51.176389</v>
      </c>
      <c r="AG499" s="1">
        <v>-3.498056</v>
      </c>
      <c r="AH499" s="1" t="s">
        <v>3367</v>
      </c>
      <c r="AI499" s="1"/>
      <c r="AJ499" s="1" t="s">
        <v>120</v>
      </c>
      <c r="AK499" s="1"/>
      <c r="AL499" s="1" t="s">
        <v>128</v>
      </c>
      <c r="AM499" s="1" t="s">
        <v>65</v>
      </c>
      <c r="AN499" s="1" t="s">
        <v>1726</v>
      </c>
      <c r="AO499" s="2" t="s">
        <v>1205</v>
      </c>
      <c r="AP499" s="2" t="s">
        <v>3368</v>
      </c>
      <c r="AQ499" s="1" t="s">
        <v>132</v>
      </c>
      <c r="AR499" s="1" t="s">
        <v>1242</v>
      </c>
      <c r="AS499" s="1"/>
      <c r="AT499" s="2" t="s">
        <v>70</v>
      </c>
    </row>
    <row r="500">
      <c r="A500" s="1">
        <v>2043770.0</v>
      </c>
      <c r="B500" s="1" t="s">
        <v>116</v>
      </c>
      <c r="C500" s="1" t="s">
        <v>117</v>
      </c>
      <c r="D500" s="1" t="s">
        <v>46</v>
      </c>
      <c r="E500" s="1" t="s">
        <v>3369</v>
      </c>
      <c r="F500" s="1"/>
      <c r="G500" s="1" t="s">
        <v>119</v>
      </c>
      <c r="H500" s="1" t="s">
        <v>72</v>
      </c>
      <c r="I500" s="1">
        <v>1000.0</v>
      </c>
      <c r="J500" s="1"/>
      <c r="K500" s="1"/>
      <c r="L500" s="1" t="s">
        <v>120</v>
      </c>
      <c r="M500" s="1" t="s">
        <v>3370</v>
      </c>
      <c r="N500" s="1" t="s">
        <v>186</v>
      </c>
      <c r="O500" s="1" t="s">
        <v>302</v>
      </c>
      <c r="P500" s="2" t="s">
        <v>3371</v>
      </c>
      <c r="Q500" s="1" t="s">
        <v>77</v>
      </c>
      <c r="R500" s="2" t="s">
        <v>3360</v>
      </c>
      <c r="S500" s="1" t="s">
        <v>220</v>
      </c>
      <c r="T500" s="1">
        <v>1500859.0</v>
      </c>
      <c r="U500" s="1" t="s">
        <v>1723</v>
      </c>
      <c r="V500" s="1" t="s">
        <v>917</v>
      </c>
      <c r="W500" s="1" t="s">
        <v>100</v>
      </c>
      <c r="X500" s="1"/>
      <c r="Y500" s="1" t="str">
        <f>"02001003922202127"</f>
        <v>02001003922202127</v>
      </c>
      <c r="Z500" s="1" t="s">
        <v>306</v>
      </c>
      <c r="AA500" s="1" t="s">
        <v>3372</v>
      </c>
      <c r="AB500" s="1" t="str">
        <f>"***490832**"</f>
        <v>***490832**</v>
      </c>
      <c r="AC500" s="1"/>
      <c r="AD500" s="1"/>
      <c r="AE500" s="1"/>
      <c r="AF500" s="1">
        <v>-51.221111</v>
      </c>
      <c r="AG500" s="1">
        <v>-3.451667</v>
      </c>
      <c r="AH500" s="1" t="s">
        <v>3373</v>
      </c>
      <c r="AI500" s="1"/>
      <c r="AJ500" s="1" t="s">
        <v>120</v>
      </c>
      <c r="AK500" s="1"/>
      <c r="AL500" s="1" t="s">
        <v>128</v>
      </c>
      <c r="AM500" s="1" t="s">
        <v>65</v>
      </c>
      <c r="AN500" s="1" t="s">
        <v>1726</v>
      </c>
      <c r="AO500" s="2" t="s">
        <v>529</v>
      </c>
      <c r="AP500" s="2" t="s">
        <v>3374</v>
      </c>
      <c r="AQ500" s="1" t="s">
        <v>132</v>
      </c>
      <c r="AR500" s="1" t="s">
        <v>1242</v>
      </c>
      <c r="AS500" s="1"/>
      <c r="AT500" s="2" t="s">
        <v>70</v>
      </c>
    </row>
    <row r="501">
      <c r="A501" s="1"/>
      <c r="B501" s="1" t="s">
        <v>46</v>
      </c>
      <c r="C501" s="1" t="s">
        <v>47</v>
      </c>
      <c r="D501" s="1"/>
      <c r="E501" s="1" t="s">
        <v>3375</v>
      </c>
      <c r="F501" s="1"/>
      <c r="G501" s="1" t="s">
        <v>49</v>
      </c>
      <c r="H501" s="1" t="s">
        <v>50</v>
      </c>
      <c r="I501" s="1">
        <v>110500.0</v>
      </c>
      <c r="J501" s="1"/>
      <c r="K501" s="1" t="s">
        <v>92</v>
      </c>
      <c r="L501" s="1"/>
      <c r="M501" s="1" t="s">
        <v>3376</v>
      </c>
      <c r="N501" s="1" t="s">
        <v>301</v>
      </c>
      <c r="O501" s="1" t="s">
        <v>302</v>
      </c>
      <c r="P501" s="2" t="s">
        <v>3377</v>
      </c>
      <c r="Q501" s="1" t="s">
        <v>137</v>
      </c>
      <c r="R501" s="1"/>
      <c r="S501" s="1" t="s">
        <v>1349</v>
      </c>
      <c r="T501" s="1">
        <v>1500859.0</v>
      </c>
      <c r="U501" s="1" t="s">
        <v>1723</v>
      </c>
      <c r="V501" s="1" t="s">
        <v>917</v>
      </c>
      <c r="W501" s="1" t="s">
        <v>100</v>
      </c>
      <c r="X501" s="1"/>
      <c r="Y501" s="1"/>
      <c r="Z501" s="1" t="s">
        <v>306</v>
      </c>
      <c r="AA501" s="1" t="s">
        <v>3378</v>
      </c>
      <c r="AB501" s="1" t="str">
        <f>"37645825000173"</f>
        <v>37645825000173</v>
      </c>
      <c r="AC501" s="1"/>
      <c r="AD501" s="1" t="s">
        <v>62</v>
      </c>
      <c r="AE501" s="1"/>
      <c r="AF501" s="1">
        <v>-51.221389</v>
      </c>
      <c r="AG501" s="1">
        <v>-3.451111</v>
      </c>
      <c r="AH501" s="1" t="s">
        <v>3379</v>
      </c>
      <c r="AI501" s="1"/>
      <c r="AJ501" s="1" t="s">
        <v>1763</v>
      </c>
      <c r="AK501" s="1"/>
      <c r="AL501" s="1"/>
      <c r="AM501" s="1" t="s">
        <v>65</v>
      </c>
      <c r="AN501" s="1" t="s">
        <v>1726</v>
      </c>
      <c r="AO501" s="1"/>
      <c r="AP501" s="2" t="s">
        <v>2172</v>
      </c>
      <c r="AQ501" s="1"/>
      <c r="AR501" s="1" t="s">
        <v>746</v>
      </c>
      <c r="AS501" s="1" t="s">
        <v>3380</v>
      </c>
      <c r="AT501" s="2" t="s">
        <v>70</v>
      </c>
    </row>
    <row r="502">
      <c r="A502" s="1">
        <v>2043194.0</v>
      </c>
      <c r="B502" s="1" t="s">
        <v>116</v>
      </c>
      <c r="C502" s="1" t="s">
        <v>117</v>
      </c>
      <c r="D502" s="1" t="s">
        <v>46</v>
      </c>
      <c r="E502" s="1" t="s">
        <v>3381</v>
      </c>
      <c r="F502" s="1"/>
      <c r="G502" s="1" t="s">
        <v>119</v>
      </c>
      <c r="H502" s="1" t="s">
        <v>72</v>
      </c>
      <c r="I502" s="1">
        <v>1000.0</v>
      </c>
      <c r="J502" s="1"/>
      <c r="K502" s="1"/>
      <c r="L502" s="1" t="s">
        <v>295</v>
      </c>
      <c r="M502" s="1" t="s">
        <v>3382</v>
      </c>
      <c r="N502" s="1" t="s">
        <v>257</v>
      </c>
      <c r="O502" s="1" t="s">
        <v>258</v>
      </c>
      <c r="P502" s="2" t="s">
        <v>3383</v>
      </c>
      <c r="Q502" s="1" t="s">
        <v>77</v>
      </c>
      <c r="R502" s="2" t="s">
        <v>3384</v>
      </c>
      <c r="S502" s="1" t="s">
        <v>288</v>
      </c>
      <c r="T502" s="1">
        <v>2211001.0</v>
      </c>
      <c r="U502" s="1" t="s">
        <v>527</v>
      </c>
      <c r="V502" s="1" t="s">
        <v>290</v>
      </c>
      <c r="W502" s="1" t="s">
        <v>291</v>
      </c>
      <c r="X502" s="1"/>
      <c r="Y502" s="1" t="str">
        <f>"02020000211202172"</f>
        <v>02020000211202172</v>
      </c>
      <c r="Z502" s="1" t="s">
        <v>260</v>
      </c>
      <c r="AA502" s="1" t="s">
        <v>3385</v>
      </c>
      <c r="AB502" s="1" t="str">
        <f>"***842143**"</f>
        <v>***842143**</v>
      </c>
      <c r="AC502" s="1"/>
      <c r="AD502" s="1"/>
      <c r="AE502" s="1"/>
      <c r="AF502" s="1">
        <v>-42.82</v>
      </c>
      <c r="AG502" s="1">
        <v>-5.063333</v>
      </c>
      <c r="AH502" s="1" t="s">
        <v>3386</v>
      </c>
      <c r="AI502" s="1"/>
      <c r="AJ502" s="1" t="s">
        <v>295</v>
      </c>
      <c r="AK502" s="1"/>
      <c r="AL502" s="1" t="s">
        <v>128</v>
      </c>
      <c r="AM502" s="1" t="s">
        <v>65</v>
      </c>
      <c r="AN502" s="1" t="s">
        <v>83</v>
      </c>
      <c r="AO502" s="2" t="s">
        <v>2903</v>
      </c>
      <c r="AP502" s="2" t="s">
        <v>3387</v>
      </c>
      <c r="AQ502" s="1" t="s">
        <v>132</v>
      </c>
      <c r="AR502" s="1" t="s">
        <v>3388</v>
      </c>
      <c r="AS502" s="1"/>
      <c r="AT502" s="2" t="s">
        <v>70</v>
      </c>
    </row>
    <row r="503">
      <c r="A503" s="1"/>
      <c r="B503" s="1" t="s">
        <v>46</v>
      </c>
      <c r="C503" s="1" t="s">
        <v>47</v>
      </c>
      <c r="D503" s="1"/>
      <c r="E503" s="1" t="s">
        <v>3389</v>
      </c>
      <c r="F503" s="1"/>
      <c r="G503" s="1" t="s">
        <v>49</v>
      </c>
      <c r="H503" s="1" t="s">
        <v>50</v>
      </c>
      <c r="I503" s="1">
        <v>4000.0</v>
      </c>
      <c r="J503" s="1"/>
      <c r="K503" s="1" t="s">
        <v>51</v>
      </c>
      <c r="L503" s="1"/>
      <c r="M503" s="1" t="s">
        <v>3390</v>
      </c>
      <c r="N503" s="1" t="s">
        <v>53</v>
      </c>
      <c r="O503" s="1" t="s">
        <v>54</v>
      </c>
      <c r="P503" s="2" t="s">
        <v>3391</v>
      </c>
      <c r="Q503" s="1" t="s">
        <v>56</v>
      </c>
      <c r="R503" s="1"/>
      <c r="S503" s="1" t="s">
        <v>57</v>
      </c>
      <c r="T503" s="1">
        <v>3203320.0</v>
      </c>
      <c r="U503" s="1" t="s">
        <v>3392</v>
      </c>
      <c r="V503" s="1" t="s">
        <v>59</v>
      </c>
      <c r="W503" s="1" t="s">
        <v>60</v>
      </c>
      <c r="X503" s="1"/>
      <c r="Y503" s="1"/>
      <c r="Z503" s="1"/>
      <c r="AA503" s="1" t="s">
        <v>61</v>
      </c>
      <c r="AB503" s="1" t="str">
        <f>"33000167000101"</f>
        <v>33000167000101</v>
      </c>
      <c r="AC503" s="1"/>
      <c r="AD503" s="1" t="s">
        <v>62</v>
      </c>
      <c r="AE503" s="1"/>
      <c r="AF503" s="1">
        <v>-40.008278</v>
      </c>
      <c r="AG503" s="1">
        <v>-21.262611</v>
      </c>
      <c r="AH503" s="1" t="s">
        <v>3393</v>
      </c>
      <c r="AI503" s="1"/>
      <c r="AJ503" s="1" t="s">
        <v>64</v>
      </c>
      <c r="AK503" s="1"/>
      <c r="AL503" s="1"/>
      <c r="AM503" s="1" t="s">
        <v>65</v>
      </c>
      <c r="AN503" s="1" t="s">
        <v>66</v>
      </c>
      <c r="AO503" s="1"/>
      <c r="AP503" s="2" t="s">
        <v>3394</v>
      </c>
      <c r="AQ503" s="1"/>
      <c r="AR503" s="1" t="s">
        <v>68</v>
      </c>
      <c r="AS503" s="1" t="s">
        <v>69</v>
      </c>
      <c r="AT503" s="2" t="s">
        <v>70</v>
      </c>
    </row>
    <row r="504">
      <c r="A504" s="1">
        <v>2043258.0</v>
      </c>
      <c r="B504" s="1" t="s">
        <v>116</v>
      </c>
      <c r="C504" s="1" t="s">
        <v>117</v>
      </c>
      <c r="D504" s="1" t="s">
        <v>46</v>
      </c>
      <c r="E504" s="1" t="s">
        <v>3395</v>
      </c>
      <c r="F504" s="1"/>
      <c r="G504" s="1" t="s">
        <v>119</v>
      </c>
      <c r="H504" s="1" t="s">
        <v>50</v>
      </c>
      <c r="I504" s="1">
        <v>500.0</v>
      </c>
      <c r="J504" s="1"/>
      <c r="K504" s="1"/>
      <c r="L504" s="1" t="s">
        <v>417</v>
      </c>
      <c r="M504" s="1" t="s">
        <v>3396</v>
      </c>
      <c r="N504" s="1" t="s">
        <v>186</v>
      </c>
      <c r="O504" s="1" t="s">
        <v>302</v>
      </c>
      <c r="P504" s="2" t="s">
        <v>3397</v>
      </c>
      <c r="Q504" s="1" t="s">
        <v>56</v>
      </c>
      <c r="R504" s="1"/>
      <c r="S504" s="1" t="s">
        <v>412</v>
      </c>
      <c r="T504" s="1">
        <v>2700607.0</v>
      </c>
      <c r="U504" s="1" t="s">
        <v>2689</v>
      </c>
      <c r="V504" s="1" t="s">
        <v>414</v>
      </c>
      <c r="W504" s="1" t="s">
        <v>60</v>
      </c>
      <c r="X504" s="1"/>
      <c r="Y504" s="1" t="str">
        <f>"02003000150202151"</f>
        <v>02003000150202151</v>
      </c>
      <c r="Z504" s="1" t="s">
        <v>306</v>
      </c>
      <c r="AA504" s="1" t="s">
        <v>3398</v>
      </c>
      <c r="AB504" s="1" t="str">
        <f>"***424344**"</f>
        <v>***424344**</v>
      </c>
      <c r="AC504" s="1"/>
      <c r="AD504" s="1"/>
      <c r="AE504" s="1"/>
      <c r="AF504" s="1">
        <v>-35.888361</v>
      </c>
      <c r="AG504" s="1">
        <v>-9.838</v>
      </c>
      <c r="AH504" s="1" t="s">
        <v>3399</v>
      </c>
      <c r="AI504" s="1"/>
      <c r="AJ504" s="1" t="s">
        <v>417</v>
      </c>
      <c r="AK504" s="1"/>
      <c r="AL504" s="1" t="s">
        <v>128</v>
      </c>
      <c r="AM504" s="1" t="s">
        <v>65</v>
      </c>
      <c r="AN504" s="1" t="s">
        <v>274</v>
      </c>
      <c r="AO504" s="2" t="s">
        <v>2671</v>
      </c>
      <c r="AP504" s="2" t="s">
        <v>3400</v>
      </c>
      <c r="AQ504" s="1" t="s">
        <v>132</v>
      </c>
      <c r="AR504" s="1" t="s">
        <v>1088</v>
      </c>
      <c r="AS504" s="1"/>
      <c r="AT504" s="2" t="s">
        <v>70</v>
      </c>
    </row>
    <row r="505">
      <c r="A505" s="1">
        <v>2043640.0</v>
      </c>
      <c r="B505" s="1" t="s">
        <v>116</v>
      </c>
      <c r="C505" s="1" t="s">
        <v>117</v>
      </c>
      <c r="D505" s="1" t="s">
        <v>46</v>
      </c>
      <c r="E505" s="1" t="s">
        <v>3401</v>
      </c>
      <c r="F505" s="1"/>
      <c r="G505" s="1" t="s">
        <v>119</v>
      </c>
      <c r="H505" s="1" t="s">
        <v>72</v>
      </c>
      <c r="I505" s="1">
        <v>1500.0</v>
      </c>
      <c r="J505" s="1"/>
      <c r="K505" s="1"/>
      <c r="L505" s="1" t="s">
        <v>120</v>
      </c>
      <c r="M505" s="1" t="s">
        <v>3402</v>
      </c>
      <c r="N505" s="1" t="s">
        <v>186</v>
      </c>
      <c r="O505" s="1" t="s">
        <v>95</v>
      </c>
      <c r="P505" s="2" t="s">
        <v>3397</v>
      </c>
      <c r="Q505" s="1" t="s">
        <v>137</v>
      </c>
      <c r="R505" s="1"/>
      <c r="S505" s="1" t="s">
        <v>220</v>
      </c>
      <c r="T505" s="1">
        <v>1500859.0</v>
      </c>
      <c r="U505" s="1" t="s">
        <v>1723</v>
      </c>
      <c r="V505" s="1" t="s">
        <v>917</v>
      </c>
      <c r="W505" s="1" t="s">
        <v>100</v>
      </c>
      <c r="X505" s="1"/>
      <c r="Y505" s="1" t="str">
        <f>"02001003538202124"</f>
        <v>02001003538202124</v>
      </c>
      <c r="Z505" s="1" t="s">
        <v>101</v>
      </c>
      <c r="AA505" s="1" t="s">
        <v>3403</v>
      </c>
      <c r="AB505" s="1" t="str">
        <f>"30320127000159"</f>
        <v>30320127000159</v>
      </c>
      <c r="AC505" s="1"/>
      <c r="AD505" s="1"/>
      <c r="AE505" s="1"/>
      <c r="AF505" s="1">
        <v>-51.189444</v>
      </c>
      <c r="AG505" s="1">
        <v>-3.490278</v>
      </c>
      <c r="AH505" s="1" t="s">
        <v>3404</v>
      </c>
      <c r="AI505" s="1"/>
      <c r="AJ505" s="1" t="s">
        <v>120</v>
      </c>
      <c r="AK505" s="1"/>
      <c r="AL505" s="1" t="s">
        <v>128</v>
      </c>
      <c r="AM505" s="1" t="s">
        <v>65</v>
      </c>
      <c r="AN505" s="1" t="s">
        <v>1726</v>
      </c>
      <c r="AO505" s="2" t="s">
        <v>1205</v>
      </c>
      <c r="AP505" s="2" t="s">
        <v>3405</v>
      </c>
      <c r="AQ505" s="1" t="s">
        <v>132</v>
      </c>
      <c r="AR505" s="1" t="s">
        <v>247</v>
      </c>
      <c r="AS505" s="1"/>
      <c r="AT505" s="2" t="s">
        <v>70</v>
      </c>
    </row>
    <row r="506">
      <c r="A506" s="1"/>
      <c r="B506" s="1" t="s">
        <v>46</v>
      </c>
      <c r="C506" s="1" t="s">
        <v>47</v>
      </c>
      <c r="D506" s="1"/>
      <c r="E506" s="1" t="s">
        <v>3406</v>
      </c>
      <c r="F506" s="1"/>
      <c r="G506" s="1" t="s">
        <v>49</v>
      </c>
      <c r="H506" s="1" t="s">
        <v>50</v>
      </c>
      <c r="I506" s="1">
        <v>52500.0</v>
      </c>
      <c r="J506" s="1"/>
      <c r="K506" s="1"/>
      <c r="L506" s="1"/>
      <c r="M506" s="1" t="s">
        <v>3407</v>
      </c>
      <c r="N506" s="1" t="s">
        <v>186</v>
      </c>
      <c r="O506" s="1" t="s">
        <v>187</v>
      </c>
      <c r="P506" s="2" t="s">
        <v>3408</v>
      </c>
      <c r="Q506" s="1" t="s">
        <v>56</v>
      </c>
      <c r="R506" s="1"/>
      <c r="S506" s="1" t="s">
        <v>148</v>
      </c>
      <c r="T506" s="1">
        <v>1100288.0</v>
      </c>
      <c r="U506" s="1" t="s">
        <v>423</v>
      </c>
      <c r="V506" s="1" t="s">
        <v>125</v>
      </c>
      <c r="W506" s="1" t="s">
        <v>100</v>
      </c>
      <c r="X506" s="1"/>
      <c r="Y506" s="1" t="str">
        <f>"02502000024202176"</f>
        <v>02502000024202176</v>
      </c>
      <c r="Z506" s="1"/>
      <c r="AA506" s="1" t="s">
        <v>3409</v>
      </c>
      <c r="AB506" s="1" t="str">
        <f>"21843699000121"</f>
        <v>21843699000121</v>
      </c>
      <c r="AC506" s="1"/>
      <c r="AD506" s="1" t="s">
        <v>62</v>
      </c>
      <c r="AE506" s="1"/>
      <c r="AF506" s="1">
        <v>-61.77</v>
      </c>
      <c r="AG506" s="1">
        <v>-11.726944</v>
      </c>
      <c r="AH506" s="1" t="s">
        <v>3410</v>
      </c>
      <c r="AI506" s="1"/>
      <c r="AJ506" s="1" t="s">
        <v>158</v>
      </c>
      <c r="AK506" s="1"/>
      <c r="AL506" s="1"/>
      <c r="AM506" s="1" t="s">
        <v>65</v>
      </c>
      <c r="AN506" s="1" t="s">
        <v>159</v>
      </c>
      <c r="AO506" s="1"/>
      <c r="AP506" s="2" t="s">
        <v>3411</v>
      </c>
      <c r="AQ506" s="1"/>
      <c r="AR506" s="1" t="s">
        <v>106</v>
      </c>
      <c r="AS506" s="1"/>
      <c r="AT506" s="2" t="s">
        <v>70</v>
      </c>
    </row>
    <row r="507">
      <c r="A507" s="1">
        <v>2043181.0</v>
      </c>
      <c r="B507" s="1" t="s">
        <v>116</v>
      </c>
      <c r="C507" s="1" t="s">
        <v>117</v>
      </c>
      <c r="D507" s="1" t="s">
        <v>46</v>
      </c>
      <c r="E507" s="1" t="s">
        <v>3412</v>
      </c>
      <c r="F507" s="1"/>
      <c r="G507" s="1" t="s">
        <v>119</v>
      </c>
      <c r="H507" s="1" t="s">
        <v>72</v>
      </c>
      <c r="I507" s="1">
        <v>70189.68</v>
      </c>
      <c r="J507" s="1"/>
      <c r="K507" s="1"/>
      <c r="L507" s="1" t="s">
        <v>120</v>
      </c>
      <c r="M507" s="1" t="s">
        <v>3413</v>
      </c>
      <c r="N507" s="1" t="s">
        <v>109</v>
      </c>
      <c r="O507" s="1" t="s">
        <v>110</v>
      </c>
      <c r="P507" s="2" t="s">
        <v>3414</v>
      </c>
      <c r="Q507" s="1" t="s">
        <v>56</v>
      </c>
      <c r="R507" s="1"/>
      <c r="S507" s="1" t="s">
        <v>2022</v>
      </c>
      <c r="T507" s="1">
        <v>3300308.0</v>
      </c>
      <c r="U507" s="1" t="s">
        <v>2023</v>
      </c>
      <c r="V507" s="1" t="s">
        <v>1741</v>
      </c>
      <c r="W507" s="1" t="s">
        <v>78</v>
      </c>
      <c r="X507" s="1"/>
      <c r="Y507" s="1" t="str">
        <f>"02001002411202198"</f>
        <v>02001002411202198</v>
      </c>
      <c r="Z507" s="1" t="s">
        <v>112</v>
      </c>
      <c r="AA507" s="1" t="s">
        <v>2024</v>
      </c>
      <c r="AB507" s="1" t="str">
        <f>"01417222000509"</f>
        <v>01417222000509</v>
      </c>
      <c r="AC507" s="1"/>
      <c r="AD507" s="1"/>
      <c r="AE507" s="1"/>
      <c r="AF507" s="1">
        <v>-47.861667</v>
      </c>
      <c r="AG507" s="1">
        <v>-15.766667</v>
      </c>
      <c r="AH507" s="1" t="s">
        <v>2025</v>
      </c>
      <c r="AI507" s="1"/>
      <c r="AJ507" s="1" t="s">
        <v>120</v>
      </c>
      <c r="AK507" s="1"/>
      <c r="AL507" s="1" t="s">
        <v>128</v>
      </c>
      <c r="AM507" s="1" t="s">
        <v>65</v>
      </c>
      <c r="AN507" s="1" t="s">
        <v>274</v>
      </c>
      <c r="AO507" s="2" t="s">
        <v>2903</v>
      </c>
      <c r="AP507" s="2" t="s">
        <v>3415</v>
      </c>
      <c r="AQ507" s="1" t="s">
        <v>132</v>
      </c>
      <c r="AR507" s="1" t="s">
        <v>470</v>
      </c>
      <c r="AS507" s="1"/>
      <c r="AT507" s="2" t="s">
        <v>70</v>
      </c>
    </row>
    <row r="508">
      <c r="A508" s="1">
        <v>2043257.0</v>
      </c>
      <c r="B508" s="1" t="s">
        <v>116</v>
      </c>
      <c r="C508" s="1" t="s">
        <v>117</v>
      </c>
      <c r="D508" s="1" t="s">
        <v>46</v>
      </c>
      <c r="E508" s="1" t="s">
        <v>3416</v>
      </c>
      <c r="F508" s="1"/>
      <c r="G508" s="1" t="s">
        <v>119</v>
      </c>
      <c r="H508" s="1" t="s">
        <v>50</v>
      </c>
      <c r="I508" s="1">
        <v>500.0</v>
      </c>
      <c r="J508" s="1"/>
      <c r="K508" s="1"/>
      <c r="L508" s="1" t="s">
        <v>417</v>
      </c>
      <c r="M508" s="1" t="s">
        <v>3417</v>
      </c>
      <c r="N508" s="1" t="s">
        <v>186</v>
      </c>
      <c r="O508" s="1" t="s">
        <v>302</v>
      </c>
      <c r="P508" s="2" t="s">
        <v>3414</v>
      </c>
      <c r="Q508" s="1" t="s">
        <v>56</v>
      </c>
      <c r="R508" s="1"/>
      <c r="S508" s="1" t="s">
        <v>412</v>
      </c>
      <c r="T508" s="1">
        <v>2700607.0</v>
      </c>
      <c r="U508" s="1" t="s">
        <v>2689</v>
      </c>
      <c r="V508" s="1" t="s">
        <v>414</v>
      </c>
      <c r="W508" s="1" t="s">
        <v>60</v>
      </c>
      <c r="X508" s="1"/>
      <c r="Y508" s="1" t="str">
        <f>"02003000149202127"</f>
        <v>02003000149202127</v>
      </c>
      <c r="Z508" s="1" t="s">
        <v>306</v>
      </c>
      <c r="AA508" s="1" t="s">
        <v>3418</v>
      </c>
      <c r="AB508" s="1" t="str">
        <f>"***208684**"</f>
        <v>***208684**</v>
      </c>
      <c r="AC508" s="1"/>
      <c r="AD508" s="1"/>
      <c r="AE508" s="1"/>
      <c r="AF508" s="1">
        <v>-35.889111</v>
      </c>
      <c r="AG508" s="1">
        <v>-9.838556</v>
      </c>
      <c r="AH508" s="1" t="s">
        <v>3419</v>
      </c>
      <c r="AI508" s="1"/>
      <c r="AJ508" s="1" t="s">
        <v>417</v>
      </c>
      <c r="AK508" s="1"/>
      <c r="AL508" s="1" t="s">
        <v>128</v>
      </c>
      <c r="AM508" s="1" t="s">
        <v>65</v>
      </c>
      <c r="AN508" s="1" t="s">
        <v>274</v>
      </c>
      <c r="AO508" s="2" t="s">
        <v>2671</v>
      </c>
      <c r="AP508" s="2" t="s">
        <v>3420</v>
      </c>
      <c r="AQ508" s="1" t="s">
        <v>132</v>
      </c>
      <c r="AR508" s="1" t="s">
        <v>1088</v>
      </c>
      <c r="AS508" s="1"/>
      <c r="AT508" s="2" t="s">
        <v>70</v>
      </c>
    </row>
    <row r="509">
      <c r="A509" s="1">
        <v>2043583.0</v>
      </c>
      <c r="B509" s="1" t="s">
        <v>116</v>
      </c>
      <c r="C509" s="1" t="s">
        <v>117</v>
      </c>
      <c r="D509" s="1" t="s">
        <v>46</v>
      </c>
      <c r="E509" s="1" t="s">
        <v>3421</v>
      </c>
      <c r="F509" s="1"/>
      <c r="G509" s="1" t="s">
        <v>119</v>
      </c>
      <c r="H509" s="1" t="s">
        <v>72</v>
      </c>
      <c r="I509" s="1">
        <v>22739.4</v>
      </c>
      <c r="J509" s="1"/>
      <c r="K509" s="1"/>
      <c r="L509" s="1" t="s">
        <v>120</v>
      </c>
      <c r="M509" s="1" t="s">
        <v>3422</v>
      </c>
      <c r="N509" s="1" t="s">
        <v>109</v>
      </c>
      <c r="O509" s="1" t="s">
        <v>110</v>
      </c>
      <c r="P509" s="2" t="s">
        <v>3414</v>
      </c>
      <c r="Q509" s="1" t="s">
        <v>77</v>
      </c>
      <c r="R509" s="2" t="s">
        <v>3384</v>
      </c>
      <c r="S509" s="1" t="s">
        <v>1349</v>
      </c>
      <c r="T509" s="1">
        <v>1500859.0</v>
      </c>
      <c r="U509" s="1" t="s">
        <v>1723</v>
      </c>
      <c r="V509" s="1" t="s">
        <v>917</v>
      </c>
      <c r="W509" s="1" t="s">
        <v>100</v>
      </c>
      <c r="X509" s="1"/>
      <c r="Y509" s="1" t="str">
        <f>"02001003409202136"</f>
        <v>02001003409202136</v>
      </c>
      <c r="Z509" s="1" t="s">
        <v>112</v>
      </c>
      <c r="AA509" s="1" t="s">
        <v>3423</v>
      </c>
      <c r="AB509" s="1" t="str">
        <f>"37510127000160"</f>
        <v>37510127000160</v>
      </c>
      <c r="AC509" s="1"/>
      <c r="AD509" s="1"/>
      <c r="AE509" s="1"/>
      <c r="AF509" s="1">
        <v>-51.187778</v>
      </c>
      <c r="AG509" s="1">
        <v>-3.4875</v>
      </c>
      <c r="AH509" s="1" t="s">
        <v>3424</v>
      </c>
      <c r="AI509" s="1"/>
      <c r="AJ509" s="1" t="s">
        <v>120</v>
      </c>
      <c r="AK509" s="1"/>
      <c r="AL509" s="1" t="s">
        <v>128</v>
      </c>
      <c r="AM509" s="1" t="s">
        <v>65</v>
      </c>
      <c r="AN509" s="1" t="s">
        <v>1726</v>
      </c>
      <c r="AO509" s="2" t="s">
        <v>1371</v>
      </c>
      <c r="AP509" s="2" t="s">
        <v>3425</v>
      </c>
      <c r="AQ509" s="1" t="s">
        <v>132</v>
      </c>
      <c r="AR509" s="1" t="s">
        <v>133</v>
      </c>
      <c r="AS509" s="1"/>
      <c r="AT509" s="2" t="s">
        <v>70</v>
      </c>
    </row>
    <row r="510">
      <c r="A510" s="1"/>
      <c r="B510" s="1" t="s">
        <v>46</v>
      </c>
      <c r="C510" s="1" t="s">
        <v>47</v>
      </c>
      <c r="D510" s="1"/>
      <c r="E510" s="1" t="s">
        <v>3426</v>
      </c>
      <c r="F510" s="1"/>
      <c r="G510" s="1" t="s">
        <v>49</v>
      </c>
      <c r="H510" s="1" t="s">
        <v>50</v>
      </c>
      <c r="I510" s="1">
        <v>52500.0</v>
      </c>
      <c r="J510" s="1"/>
      <c r="K510" s="1"/>
      <c r="L510" s="1"/>
      <c r="M510" s="1" t="s">
        <v>3427</v>
      </c>
      <c r="N510" s="1" t="s">
        <v>186</v>
      </c>
      <c r="O510" s="1" t="s">
        <v>187</v>
      </c>
      <c r="P510" s="2" t="s">
        <v>3428</v>
      </c>
      <c r="Q510" s="1" t="s">
        <v>56</v>
      </c>
      <c r="R510" s="1"/>
      <c r="S510" s="1" t="s">
        <v>123</v>
      </c>
      <c r="T510" s="1">
        <v>1100288.0</v>
      </c>
      <c r="U510" s="1" t="s">
        <v>423</v>
      </c>
      <c r="V510" s="1" t="s">
        <v>125</v>
      </c>
      <c r="W510" s="1" t="s">
        <v>100</v>
      </c>
      <c r="X510" s="1"/>
      <c r="Y510" s="1" t="str">
        <f>"02502000023202121"</f>
        <v>02502000023202121</v>
      </c>
      <c r="Z510" s="1"/>
      <c r="AA510" s="1" t="s">
        <v>3409</v>
      </c>
      <c r="AB510" s="1" t="str">
        <f>"21843699000121"</f>
        <v>21843699000121</v>
      </c>
      <c r="AC510" s="1"/>
      <c r="AD510" s="1" t="s">
        <v>62</v>
      </c>
      <c r="AE510" s="1"/>
      <c r="AF510" s="1">
        <v>-61.77</v>
      </c>
      <c r="AG510" s="1">
        <v>-11.726944</v>
      </c>
      <c r="AH510" s="1" t="s">
        <v>3429</v>
      </c>
      <c r="AI510" s="1"/>
      <c r="AJ510" s="1" t="s">
        <v>158</v>
      </c>
      <c r="AK510" s="1"/>
      <c r="AL510" s="1"/>
      <c r="AM510" s="1" t="s">
        <v>65</v>
      </c>
      <c r="AN510" s="1" t="s">
        <v>159</v>
      </c>
      <c r="AO510" s="1"/>
      <c r="AP510" s="2" t="s">
        <v>3430</v>
      </c>
      <c r="AQ510" s="1"/>
      <c r="AR510" s="1" t="s">
        <v>106</v>
      </c>
      <c r="AS510" s="1"/>
      <c r="AT510" s="2" t="s">
        <v>70</v>
      </c>
    </row>
    <row r="511">
      <c r="A511" s="1"/>
      <c r="B511" s="1" t="s">
        <v>46</v>
      </c>
      <c r="C511" s="1" t="s">
        <v>47</v>
      </c>
      <c r="D511" s="1"/>
      <c r="E511" s="1" t="s">
        <v>3431</v>
      </c>
      <c r="F511" s="1"/>
      <c r="G511" s="1" t="s">
        <v>49</v>
      </c>
      <c r="H511" s="1" t="s">
        <v>50</v>
      </c>
      <c r="I511" s="1">
        <v>210500.0</v>
      </c>
      <c r="J511" s="1"/>
      <c r="K511" s="1" t="s">
        <v>92</v>
      </c>
      <c r="L511" s="1"/>
      <c r="M511" s="1" t="s">
        <v>3432</v>
      </c>
      <c r="N511" s="1" t="s">
        <v>301</v>
      </c>
      <c r="O511" s="1" t="s">
        <v>302</v>
      </c>
      <c r="P511" s="2" t="s">
        <v>3433</v>
      </c>
      <c r="Q511" s="1" t="s">
        <v>77</v>
      </c>
      <c r="R511" s="1"/>
      <c r="S511" s="1" t="s">
        <v>220</v>
      </c>
      <c r="T511" s="1">
        <v>1500859.0</v>
      </c>
      <c r="U511" s="1" t="s">
        <v>1723</v>
      </c>
      <c r="V511" s="1" t="s">
        <v>917</v>
      </c>
      <c r="W511" s="1" t="s">
        <v>100</v>
      </c>
      <c r="X511" s="1"/>
      <c r="Y511" s="1"/>
      <c r="Z511" s="1" t="s">
        <v>306</v>
      </c>
      <c r="AA511" s="1" t="s">
        <v>3434</v>
      </c>
      <c r="AB511" s="1" t="str">
        <f>"37510127000160"</f>
        <v>37510127000160</v>
      </c>
      <c r="AC511" s="1"/>
      <c r="AD511" s="1" t="s">
        <v>62</v>
      </c>
      <c r="AE511" s="1"/>
      <c r="AF511" s="1">
        <v>-51.1875</v>
      </c>
      <c r="AG511" s="1">
        <v>-3.486389</v>
      </c>
      <c r="AH511" s="1" t="s">
        <v>3434</v>
      </c>
      <c r="AI511" s="1"/>
      <c r="AJ511" s="1" t="s">
        <v>1763</v>
      </c>
      <c r="AK511" s="1"/>
      <c r="AL511" s="1"/>
      <c r="AM511" s="1" t="s">
        <v>65</v>
      </c>
      <c r="AN511" s="1" t="s">
        <v>1726</v>
      </c>
      <c r="AO511" s="1"/>
      <c r="AP511" s="2" t="s">
        <v>3435</v>
      </c>
      <c r="AQ511" s="1"/>
      <c r="AR511" s="1" t="s">
        <v>463</v>
      </c>
      <c r="AS511" s="1"/>
      <c r="AT511" s="2" t="s">
        <v>70</v>
      </c>
    </row>
    <row r="512">
      <c r="A512" s="1"/>
      <c r="B512" s="1" t="s">
        <v>46</v>
      </c>
      <c r="C512" s="1" t="s">
        <v>47</v>
      </c>
      <c r="D512" s="1"/>
      <c r="E512" s="1" t="s">
        <v>3436</v>
      </c>
      <c r="F512" s="1"/>
      <c r="G512" s="1" t="s">
        <v>49</v>
      </c>
      <c r="H512" s="1" t="s">
        <v>72</v>
      </c>
      <c r="I512" s="1">
        <v>500.0</v>
      </c>
      <c r="J512" s="1"/>
      <c r="K512" s="1"/>
      <c r="L512" s="1"/>
      <c r="M512" s="1" t="s">
        <v>3437</v>
      </c>
      <c r="N512" s="1" t="s">
        <v>109</v>
      </c>
      <c r="O512" s="1" t="s">
        <v>110</v>
      </c>
      <c r="P512" s="2" t="s">
        <v>3438</v>
      </c>
      <c r="Q512" s="1" t="s">
        <v>77</v>
      </c>
      <c r="R512" s="1"/>
      <c r="S512" s="1" t="s">
        <v>220</v>
      </c>
      <c r="T512" s="1">
        <v>1500859.0</v>
      </c>
      <c r="U512" s="1" t="s">
        <v>1723</v>
      </c>
      <c r="V512" s="1" t="s">
        <v>917</v>
      </c>
      <c r="W512" s="1" t="s">
        <v>100</v>
      </c>
      <c r="X512" s="1"/>
      <c r="Y512" s="1"/>
      <c r="Z512" s="1" t="s">
        <v>112</v>
      </c>
      <c r="AA512" s="1" t="s">
        <v>3403</v>
      </c>
      <c r="AB512" s="1" t="str">
        <f t="shared" ref="AB512:AB513" si="29">"30320127000159"</f>
        <v>30320127000159</v>
      </c>
      <c r="AC512" s="1"/>
      <c r="AD512" s="1" t="s">
        <v>62</v>
      </c>
      <c r="AE512" s="1"/>
      <c r="AF512" s="1">
        <v>-51.189444</v>
      </c>
      <c r="AG512" s="1">
        <v>-3.490278</v>
      </c>
      <c r="AH512" s="1" t="s">
        <v>3439</v>
      </c>
      <c r="AI512" s="1"/>
      <c r="AJ512" s="1" t="s">
        <v>1763</v>
      </c>
      <c r="AK512" s="1"/>
      <c r="AL512" s="1"/>
      <c r="AM512" s="1" t="s">
        <v>65</v>
      </c>
      <c r="AN512" s="1" t="s">
        <v>1726</v>
      </c>
      <c r="AO512" s="1"/>
      <c r="AP512" s="2" t="s">
        <v>3440</v>
      </c>
      <c r="AQ512" s="1"/>
      <c r="AR512" s="1" t="s">
        <v>3441</v>
      </c>
      <c r="AS512" s="1"/>
      <c r="AT512" s="2" t="s">
        <v>70</v>
      </c>
    </row>
    <row r="513">
      <c r="A513" s="1"/>
      <c r="B513" s="1" t="s">
        <v>46</v>
      </c>
      <c r="C513" s="1" t="s">
        <v>47</v>
      </c>
      <c r="D513" s="1"/>
      <c r="E513" s="1" t="s">
        <v>3442</v>
      </c>
      <c r="F513" s="1"/>
      <c r="G513" s="1" t="s">
        <v>49</v>
      </c>
      <c r="H513" s="1" t="s">
        <v>50</v>
      </c>
      <c r="I513" s="1">
        <v>110500.0</v>
      </c>
      <c r="J513" s="1"/>
      <c r="K513" s="1" t="s">
        <v>92</v>
      </c>
      <c r="L513" s="1"/>
      <c r="M513" s="1" t="s">
        <v>3443</v>
      </c>
      <c r="N513" s="1" t="s">
        <v>301</v>
      </c>
      <c r="O513" s="1" t="s">
        <v>302</v>
      </c>
      <c r="P513" s="2" t="s">
        <v>3444</v>
      </c>
      <c r="Q513" s="1" t="s">
        <v>137</v>
      </c>
      <c r="R513" s="1"/>
      <c r="S513" s="1" t="s">
        <v>1349</v>
      </c>
      <c r="T513" s="1">
        <v>1500859.0</v>
      </c>
      <c r="U513" s="1" t="s">
        <v>1723</v>
      </c>
      <c r="V513" s="1" t="s">
        <v>917</v>
      </c>
      <c r="W513" s="1" t="s">
        <v>100</v>
      </c>
      <c r="X513" s="1"/>
      <c r="Y513" s="1"/>
      <c r="Z513" s="1" t="s">
        <v>306</v>
      </c>
      <c r="AA513" s="1" t="s">
        <v>3403</v>
      </c>
      <c r="AB513" s="1" t="str">
        <f t="shared" si="29"/>
        <v>30320127000159</v>
      </c>
      <c r="AC513" s="1"/>
      <c r="AD513" s="1" t="s">
        <v>62</v>
      </c>
      <c r="AE513" s="1"/>
      <c r="AF513" s="1">
        <v>-51.189444</v>
      </c>
      <c r="AG513" s="1">
        <v>-3.490278</v>
      </c>
      <c r="AH513" s="1" t="s">
        <v>3445</v>
      </c>
      <c r="AI513" s="1"/>
      <c r="AJ513" s="1" t="s">
        <v>1763</v>
      </c>
      <c r="AK513" s="1"/>
      <c r="AL513" s="1"/>
      <c r="AM513" s="1" t="s">
        <v>65</v>
      </c>
      <c r="AN513" s="1" t="s">
        <v>1726</v>
      </c>
      <c r="AO513" s="1"/>
      <c r="AP513" s="2" t="s">
        <v>3446</v>
      </c>
      <c r="AQ513" s="1"/>
      <c r="AR513" s="1" t="s">
        <v>463</v>
      </c>
      <c r="AS513" s="1"/>
      <c r="AT513" s="2" t="s">
        <v>70</v>
      </c>
    </row>
    <row r="514">
      <c r="A514" s="1">
        <v>2043230.0</v>
      </c>
      <c r="B514" s="1" t="s">
        <v>116</v>
      </c>
      <c r="C514" s="1" t="s">
        <v>117</v>
      </c>
      <c r="D514" s="1" t="s">
        <v>46</v>
      </c>
      <c r="E514" s="1" t="s">
        <v>3447</v>
      </c>
      <c r="F514" s="1"/>
      <c r="G514" s="1" t="s">
        <v>119</v>
      </c>
      <c r="H514" s="1" t="s">
        <v>72</v>
      </c>
      <c r="I514" s="1">
        <v>1800.0</v>
      </c>
      <c r="J514" s="1"/>
      <c r="K514" s="1"/>
      <c r="L514" s="1" t="s">
        <v>175</v>
      </c>
      <c r="M514" s="1" t="s">
        <v>3448</v>
      </c>
      <c r="N514" s="1" t="s">
        <v>285</v>
      </c>
      <c r="O514" s="1" t="s">
        <v>286</v>
      </c>
      <c r="P514" s="2" t="s">
        <v>3449</v>
      </c>
      <c r="Q514" s="1" t="s">
        <v>56</v>
      </c>
      <c r="R514" s="1"/>
      <c r="S514" s="1" t="s">
        <v>169</v>
      </c>
      <c r="T514" s="1">
        <v>5201405.0</v>
      </c>
      <c r="U514" s="1" t="s">
        <v>2443</v>
      </c>
      <c r="V514" s="1" t="s">
        <v>171</v>
      </c>
      <c r="W514" s="1" t="s">
        <v>172</v>
      </c>
      <c r="X514" s="1"/>
      <c r="Y514" s="1" t="str">
        <f>"02010000193202148"</f>
        <v>02010000193202148</v>
      </c>
      <c r="Z514" s="1" t="s">
        <v>292</v>
      </c>
      <c r="AA514" s="1" t="s">
        <v>3450</v>
      </c>
      <c r="AB514" s="1" t="str">
        <f>"08773288000149"</f>
        <v>08773288000149</v>
      </c>
      <c r="AC514" s="1"/>
      <c r="AD514" s="1"/>
      <c r="AE514" s="1"/>
      <c r="AF514" s="1">
        <v>-49.246667</v>
      </c>
      <c r="AG514" s="1">
        <v>-16.674167</v>
      </c>
      <c r="AH514" s="1" t="s">
        <v>3451</v>
      </c>
      <c r="AI514" s="1"/>
      <c r="AJ514" s="1" t="s">
        <v>175</v>
      </c>
      <c r="AK514" s="1"/>
      <c r="AL514" s="1" t="s">
        <v>128</v>
      </c>
      <c r="AM514" s="1" t="s">
        <v>65</v>
      </c>
      <c r="AN514" s="1" t="s">
        <v>296</v>
      </c>
      <c r="AO514" s="2" t="s">
        <v>2788</v>
      </c>
      <c r="AP514" s="2" t="s">
        <v>3452</v>
      </c>
      <c r="AQ514" s="1" t="s">
        <v>132</v>
      </c>
      <c r="AR514" s="1" t="s">
        <v>952</v>
      </c>
      <c r="AS514" s="1"/>
      <c r="AT514" s="2" t="s">
        <v>70</v>
      </c>
    </row>
    <row r="515">
      <c r="A515" s="1">
        <v>2043208.0</v>
      </c>
      <c r="B515" s="1" t="s">
        <v>116</v>
      </c>
      <c r="C515" s="1" t="s">
        <v>117</v>
      </c>
      <c r="D515" s="1" t="s">
        <v>46</v>
      </c>
      <c r="E515" s="1" t="s">
        <v>3453</v>
      </c>
      <c r="F515" s="1"/>
      <c r="G515" s="1" t="s">
        <v>119</v>
      </c>
      <c r="H515" s="1" t="s">
        <v>50</v>
      </c>
      <c r="I515" s="1">
        <v>1300.0</v>
      </c>
      <c r="J515" s="1"/>
      <c r="K515" s="1"/>
      <c r="L515" s="1" t="s">
        <v>175</v>
      </c>
      <c r="M515" s="1" t="s">
        <v>3454</v>
      </c>
      <c r="N515" s="1" t="s">
        <v>285</v>
      </c>
      <c r="O515" s="1" t="s">
        <v>286</v>
      </c>
      <c r="P515" s="2" t="s">
        <v>3455</v>
      </c>
      <c r="Q515" s="1" t="s">
        <v>56</v>
      </c>
      <c r="R515" s="1"/>
      <c r="S515" s="1" t="s">
        <v>169</v>
      </c>
      <c r="T515" s="1">
        <v>5204102.0</v>
      </c>
      <c r="U515" s="1" t="s">
        <v>3456</v>
      </c>
      <c r="V515" s="1" t="s">
        <v>171</v>
      </c>
      <c r="W515" s="1" t="s">
        <v>172</v>
      </c>
      <c r="X515" s="1"/>
      <c r="Y515" s="1" t="str">
        <f>"02010000178202108"</f>
        <v>02010000178202108</v>
      </c>
      <c r="Z515" s="1" t="s">
        <v>292</v>
      </c>
      <c r="AA515" s="1" t="s">
        <v>3457</v>
      </c>
      <c r="AB515" s="1" t="str">
        <f>"08303533000154"</f>
        <v>08303533000154</v>
      </c>
      <c r="AC515" s="1"/>
      <c r="AD515" s="1"/>
      <c r="AE515" s="1"/>
      <c r="AF515" s="1">
        <v>-49.246389</v>
      </c>
      <c r="AG515" s="1">
        <v>-16.672778</v>
      </c>
      <c r="AH515" s="1" t="s">
        <v>3458</v>
      </c>
      <c r="AI515" s="1"/>
      <c r="AJ515" s="1" t="s">
        <v>175</v>
      </c>
      <c r="AK515" s="1"/>
      <c r="AL515" s="1" t="s">
        <v>128</v>
      </c>
      <c r="AM515" s="1" t="s">
        <v>65</v>
      </c>
      <c r="AN515" s="1" t="s">
        <v>296</v>
      </c>
      <c r="AO515" s="2" t="s">
        <v>2903</v>
      </c>
      <c r="AP515" s="2" t="s">
        <v>3459</v>
      </c>
      <c r="AQ515" s="1" t="s">
        <v>132</v>
      </c>
      <c r="AR515" s="1" t="s">
        <v>531</v>
      </c>
      <c r="AS515" s="1" t="s">
        <v>3460</v>
      </c>
      <c r="AT515" s="2" t="s">
        <v>70</v>
      </c>
    </row>
    <row r="516">
      <c r="A516" s="1">
        <v>2043453.0</v>
      </c>
      <c r="B516" s="1" t="s">
        <v>116</v>
      </c>
      <c r="C516" s="1" t="s">
        <v>117</v>
      </c>
      <c r="D516" s="1" t="s">
        <v>46</v>
      </c>
      <c r="E516" s="1" t="s">
        <v>3461</v>
      </c>
      <c r="F516" s="1"/>
      <c r="G516" s="1" t="s">
        <v>119</v>
      </c>
      <c r="H516" s="1" t="s">
        <v>50</v>
      </c>
      <c r="I516" s="1">
        <v>19500.0</v>
      </c>
      <c r="J516" s="1"/>
      <c r="K516" s="1"/>
      <c r="L516" s="1" t="s">
        <v>120</v>
      </c>
      <c r="M516" s="1" t="s">
        <v>3462</v>
      </c>
      <c r="N516" s="1" t="s">
        <v>53</v>
      </c>
      <c r="O516" s="1" t="s">
        <v>333</v>
      </c>
      <c r="P516" s="2" t="s">
        <v>3455</v>
      </c>
      <c r="Q516" s="1" t="s">
        <v>56</v>
      </c>
      <c r="R516" s="1"/>
      <c r="S516" s="1" t="s">
        <v>268</v>
      </c>
      <c r="T516" s="1">
        <v>4106902.0</v>
      </c>
      <c r="U516" s="1" t="s">
        <v>2404</v>
      </c>
      <c r="V516" s="1" t="s">
        <v>270</v>
      </c>
      <c r="W516" s="1" t="s">
        <v>78</v>
      </c>
      <c r="X516" s="1"/>
      <c r="Y516" s="1" t="str">
        <f>"02001003118202148"</f>
        <v>02001003118202148</v>
      </c>
      <c r="Z516" s="1" t="s">
        <v>223</v>
      </c>
      <c r="AA516" s="1" t="s">
        <v>3463</v>
      </c>
      <c r="AB516" s="1" t="str">
        <f>"51784262000125"</f>
        <v>51784262000125</v>
      </c>
      <c r="AC516" s="1"/>
      <c r="AD516" s="1"/>
      <c r="AE516" s="1"/>
      <c r="AF516" s="1">
        <v>-49.318889</v>
      </c>
      <c r="AG516" s="1">
        <v>-25.547417</v>
      </c>
      <c r="AH516" s="1" t="s">
        <v>3464</v>
      </c>
      <c r="AI516" s="1"/>
      <c r="AJ516" s="1" t="s">
        <v>120</v>
      </c>
      <c r="AK516" s="1"/>
      <c r="AL516" s="1" t="s">
        <v>128</v>
      </c>
      <c r="AM516" s="1" t="s">
        <v>65</v>
      </c>
      <c r="AN516" s="1" t="s">
        <v>296</v>
      </c>
      <c r="AO516" s="2" t="s">
        <v>1972</v>
      </c>
      <c r="AP516" s="2" t="s">
        <v>3465</v>
      </c>
      <c r="AQ516" s="1" t="s">
        <v>132</v>
      </c>
      <c r="AR516" s="1" t="s">
        <v>1001</v>
      </c>
      <c r="AS516" s="1"/>
      <c r="AT516" s="2" t="s">
        <v>70</v>
      </c>
    </row>
    <row r="517">
      <c r="A517" s="1"/>
      <c r="B517" s="1" t="s">
        <v>46</v>
      </c>
      <c r="C517" s="1" t="s">
        <v>47</v>
      </c>
      <c r="D517" s="1"/>
      <c r="E517" s="1" t="s">
        <v>3466</v>
      </c>
      <c r="F517" s="1"/>
      <c r="G517" s="1" t="s">
        <v>49</v>
      </c>
      <c r="H517" s="1" t="s">
        <v>72</v>
      </c>
      <c r="I517" s="1">
        <v>15000.0</v>
      </c>
      <c r="J517" s="1"/>
      <c r="K517" s="1"/>
      <c r="L517" s="1"/>
      <c r="M517" s="1" t="s">
        <v>3467</v>
      </c>
      <c r="N517" s="1" t="s">
        <v>109</v>
      </c>
      <c r="O517" s="1" t="s">
        <v>110</v>
      </c>
      <c r="P517" s="2" t="s">
        <v>3468</v>
      </c>
      <c r="Q517" s="1" t="s">
        <v>77</v>
      </c>
      <c r="R517" s="1"/>
      <c r="S517" s="1" t="s">
        <v>148</v>
      </c>
      <c r="T517" s="1">
        <v>1100122.0</v>
      </c>
      <c r="U517" s="1" t="s">
        <v>3469</v>
      </c>
      <c r="V517" s="1" t="s">
        <v>125</v>
      </c>
      <c r="W517" s="1" t="s">
        <v>100</v>
      </c>
      <c r="X517" s="1"/>
      <c r="Y517" s="1" t="str">
        <f>"02502000025202111"</f>
        <v>02502000025202111</v>
      </c>
      <c r="Z517" s="1" t="s">
        <v>112</v>
      </c>
      <c r="AA517" s="1" t="s">
        <v>3470</v>
      </c>
      <c r="AB517" s="1" t="str">
        <f>"***287091**"</f>
        <v>***287091**</v>
      </c>
      <c r="AC517" s="1"/>
      <c r="AD517" s="1" t="s">
        <v>325</v>
      </c>
      <c r="AE517" s="1"/>
      <c r="AF517" s="1">
        <v>-61.866389</v>
      </c>
      <c r="AG517" s="1">
        <v>-10.903889</v>
      </c>
      <c r="AH517" s="1" t="s">
        <v>3471</v>
      </c>
      <c r="AI517" s="1"/>
      <c r="AJ517" s="1" t="s">
        <v>158</v>
      </c>
      <c r="AK517" s="1"/>
      <c r="AL517" s="1"/>
      <c r="AM517" s="1" t="s">
        <v>65</v>
      </c>
      <c r="AN517" s="1" t="s">
        <v>159</v>
      </c>
      <c r="AO517" s="1"/>
      <c r="AP517" s="2" t="s">
        <v>3472</v>
      </c>
      <c r="AQ517" s="1"/>
      <c r="AR517" s="1" t="s">
        <v>3473</v>
      </c>
      <c r="AS517" s="1"/>
      <c r="AT517" s="2" t="s">
        <v>70</v>
      </c>
    </row>
    <row r="518">
      <c r="A518" s="1">
        <v>2043127.0</v>
      </c>
      <c r="B518" s="1" t="s">
        <v>116</v>
      </c>
      <c r="C518" s="1" t="s">
        <v>117</v>
      </c>
      <c r="D518" s="1" t="s">
        <v>46</v>
      </c>
      <c r="E518" s="1" t="s">
        <v>3474</v>
      </c>
      <c r="F518" s="1"/>
      <c r="G518" s="1" t="s">
        <v>119</v>
      </c>
      <c r="H518" s="1" t="s">
        <v>50</v>
      </c>
      <c r="I518" s="1">
        <v>52500.0</v>
      </c>
      <c r="J518" s="1"/>
      <c r="K518" s="1"/>
      <c r="L518" s="1" t="s">
        <v>1227</v>
      </c>
      <c r="M518" s="1" t="s">
        <v>3475</v>
      </c>
      <c r="N518" s="1" t="s">
        <v>53</v>
      </c>
      <c r="O518" s="1" t="s">
        <v>333</v>
      </c>
      <c r="P518" s="2" t="s">
        <v>3476</v>
      </c>
      <c r="Q518" s="1" t="s">
        <v>56</v>
      </c>
      <c r="R518" s="1"/>
      <c r="S518" s="1" t="s">
        <v>123</v>
      </c>
      <c r="T518" s="1">
        <v>1100064.0</v>
      </c>
      <c r="U518" s="1" t="s">
        <v>3477</v>
      </c>
      <c r="V518" s="1" t="s">
        <v>125</v>
      </c>
      <c r="W518" s="1" t="s">
        <v>100</v>
      </c>
      <c r="X518" s="1"/>
      <c r="Y518" s="1" t="str">
        <f>"02049000026202160"</f>
        <v>02049000026202160</v>
      </c>
      <c r="Z518" s="1" t="s">
        <v>223</v>
      </c>
      <c r="AA518" s="1" t="s">
        <v>3478</v>
      </c>
      <c r="AB518" s="1" t="str">
        <f>"17133577000174"</f>
        <v>17133577000174</v>
      </c>
      <c r="AC518" s="1"/>
      <c r="AD518" s="1"/>
      <c r="AE518" s="1"/>
      <c r="AF518" s="1">
        <v>-60.197222</v>
      </c>
      <c r="AG518" s="1">
        <v>-13.118889</v>
      </c>
      <c r="AH518" s="1" t="s">
        <v>3479</v>
      </c>
      <c r="AI518" s="1"/>
      <c r="AJ518" s="1" t="s">
        <v>1227</v>
      </c>
      <c r="AK518" s="1"/>
      <c r="AL518" s="1" t="s">
        <v>128</v>
      </c>
      <c r="AM518" s="1" t="s">
        <v>65</v>
      </c>
      <c r="AN518" s="1" t="s">
        <v>274</v>
      </c>
      <c r="AO518" s="2" t="s">
        <v>3480</v>
      </c>
      <c r="AP518" s="2" t="s">
        <v>3481</v>
      </c>
      <c r="AQ518" s="1" t="s">
        <v>132</v>
      </c>
      <c r="AR518" s="1" t="s">
        <v>247</v>
      </c>
      <c r="AS518" s="1" t="s">
        <v>2310</v>
      </c>
      <c r="AT518" s="2" t="s">
        <v>70</v>
      </c>
    </row>
    <row r="519">
      <c r="A519" s="1">
        <v>2043157.0</v>
      </c>
      <c r="B519" s="1" t="s">
        <v>116</v>
      </c>
      <c r="C519" s="1" t="s">
        <v>117</v>
      </c>
      <c r="D519" s="1" t="s">
        <v>46</v>
      </c>
      <c r="E519" s="1" t="s">
        <v>3482</v>
      </c>
      <c r="F519" s="1"/>
      <c r="G519" s="1" t="s">
        <v>119</v>
      </c>
      <c r="H519" s="1" t="s">
        <v>50</v>
      </c>
      <c r="I519" s="1">
        <v>500.0</v>
      </c>
      <c r="J519" s="1"/>
      <c r="K519" s="1"/>
      <c r="L519" s="1" t="s">
        <v>417</v>
      </c>
      <c r="M519" s="1" t="s">
        <v>3483</v>
      </c>
      <c r="N519" s="1" t="s">
        <v>186</v>
      </c>
      <c r="O519" s="1" t="s">
        <v>302</v>
      </c>
      <c r="P519" s="2" t="s">
        <v>3484</v>
      </c>
      <c r="Q519" s="1" t="s">
        <v>56</v>
      </c>
      <c r="R519" s="1"/>
      <c r="S519" s="1" t="s">
        <v>412</v>
      </c>
      <c r="T519" s="1">
        <v>2700607.0</v>
      </c>
      <c r="U519" s="1" t="s">
        <v>2689</v>
      </c>
      <c r="V519" s="1" t="s">
        <v>414</v>
      </c>
      <c r="W519" s="1" t="s">
        <v>60</v>
      </c>
      <c r="X519" s="1"/>
      <c r="Y519" s="1" t="str">
        <f>"02003000135202111"</f>
        <v>02003000135202111</v>
      </c>
      <c r="Z519" s="1" t="s">
        <v>306</v>
      </c>
      <c r="AA519" s="1" t="s">
        <v>3485</v>
      </c>
      <c r="AB519" s="1" t="str">
        <f>"23163961000112"</f>
        <v>23163961000112</v>
      </c>
      <c r="AC519" s="1"/>
      <c r="AD519" s="1"/>
      <c r="AE519" s="1"/>
      <c r="AF519" s="1">
        <v>-35.889</v>
      </c>
      <c r="AG519" s="1">
        <v>-9.83875</v>
      </c>
      <c r="AH519" s="1" t="s">
        <v>3486</v>
      </c>
      <c r="AI519" s="1"/>
      <c r="AJ519" s="1" t="s">
        <v>417</v>
      </c>
      <c r="AK519" s="1"/>
      <c r="AL519" s="1" t="s">
        <v>128</v>
      </c>
      <c r="AM519" s="1" t="s">
        <v>65</v>
      </c>
      <c r="AN519" s="1" t="s">
        <v>274</v>
      </c>
      <c r="AO519" s="2" t="s">
        <v>2903</v>
      </c>
      <c r="AP519" s="2" t="s">
        <v>3487</v>
      </c>
      <c r="AQ519" s="1" t="s">
        <v>132</v>
      </c>
      <c r="AR519" s="1" t="s">
        <v>1088</v>
      </c>
      <c r="AS519" s="1"/>
      <c r="AT519" s="2" t="s">
        <v>70</v>
      </c>
    </row>
    <row r="520">
      <c r="A520" s="1">
        <v>2043387.0</v>
      </c>
      <c r="B520" s="1" t="s">
        <v>116</v>
      </c>
      <c r="C520" s="1" t="s">
        <v>117</v>
      </c>
      <c r="D520" s="1" t="s">
        <v>46</v>
      </c>
      <c r="E520" s="1" t="s">
        <v>3488</v>
      </c>
      <c r="F520" s="1"/>
      <c r="G520" s="1" t="s">
        <v>119</v>
      </c>
      <c r="H520" s="1" t="s">
        <v>72</v>
      </c>
      <c r="I520" s="1">
        <v>24000.0</v>
      </c>
      <c r="J520" s="1"/>
      <c r="K520" s="1"/>
      <c r="L520" s="1" t="s">
        <v>64</v>
      </c>
      <c r="M520" s="1" t="s">
        <v>3489</v>
      </c>
      <c r="N520" s="1" t="s">
        <v>257</v>
      </c>
      <c r="O520" s="1" t="s">
        <v>258</v>
      </c>
      <c r="P520" s="2" t="s">
        <v>3484</v>
      </c>
      <c r="Q520" s="1" t="s">
        <v>77</v>
      </c>
      <c r="R520" s="2" t="s">
        <v>3384</v>
      </c>
      <c r="S520" s="1" t="s">
        <v>220</v>
      </c>
      <c r="T520" s="1">
        <v>3203106.0</v>
      </c>
      <c r="U520" s="1" t="s">
        <v>3490</v>
      </c>
      <c r="V520" s="1" t="s">
        <v>59</v>
      </c>
      <c r="W520" s="1" t="s">
        <v>78</v>
      </c>
      <c r="X520" s="1"/>
      <c r="Y520" s="1" t="str">
        <f>"02009000323202181"</f>
        <v>02009000323202181</v>
      </c>
      <c r="Z520" s="1" t="s">
        <v>260</v>
      </c>
      <c r="AA520" s="1" t="s">
        <v>3491</v>
      </c>
      <c r="AB520" s="1" t="str">
        <f>"***789647**"</f>
        <v>***789647**</v>
      </c>
      <c r="AC520" s="1"/>
      <c r="AD520" s="1"/>
      <c r="AE520" s="1"/>
      <c r="AF520" s="1">
        <v>-41.3775</v>
      </c>
      <c r="AG520" s="1">
        <v>-20.863056</v>
      </c>
      <c r="AH520" s="1" t="s">
        <v>2821</v>
      </c>
      <c r="AI520" s="1"/>
      <c r="AJ520" s="1" t="s">
        <v>64</v>
      </c>
      <c r="AK520" s="1"/>
      <c r="AL520" s="1" t="s">
        <v>128</v>
      </c>
      <c r="AM520" s="1" t="s">
        <v>65</v>
      </c>
      <c r="AN520" s="1" t="s">
        <v>83</v>
      </c>
      <c r="AO520" s="2" t="s">
        <v>2275</v>
      </c>
      <c r="AP520" s="2" t="s">
        <v>3492</v>
      </c>
      <c r="AQ520" s="1" t="s">
        <v>132</v>
      </c>
      <c r="AR520" s="1" t="s">
        <v>3493</v>
      </c>
      <c r="AS520" s="1"/>
      <c r="AT520" s="2" t="s">
        <v>70</v>
      </c>
    </row>
    <row r="521">
      <c r="A521" s="1">
        <v>2043389.0</v>
      </c>
      <c r="B521" s="1" t="s">
        <v>116</v>
      </c>
      <c r="C521" s="1" t="s">
        <v>117</v>
      </c>
      <c r="D521" s="1" t="s">
        <v>46</v>
      </c>
      <c r="E521" s="1" t="s">
        <v>3494</v>
      </c>
      <c r="F521" s="1"/>
      <c r="G521" s="1" t="s">
        <v>119</v>
      </c>
      <c r="H521" s="1" t="s">
        <v>72</v>
      </c>
      <c r="I521" s="1">
        <v>1000.0</v>
      </c>
      <c r="J521" s="1"/>
      <c r="K521" s="1"/>
      <c r="L521" s="1" t="s">
        <v>64</v>
      </c>
      <c r="M521" s="1" t="s">
        <v>2818</v>
      </c>
      <c r="N521" s="1" t="s">
        <v>257</v>
      </c>
      <c r="O521" s="1" t="s">
        <v>258</v>
      </c>
      <c r="P521" s="2" t="s">
        <v>3495</v>
      </c>
      <c r="Q521" s="1" t="s">
        <v>77</v>
      </c>
      <c r="R521" s="2" t="s">
        <v>3384</v>
      </c>
      <c r="S521" s="1" t="s">
        <v>57</v>
      </c>
      <c r="T521" s="1">
        <v>3203106.0</v>
      </c>
      <c r="U521" s="1" t="s">
        <v>3490</v>
      </c>
      <c r="V521" s="1" t="s">
        <v>59</v>
      </c>
      <c r="W521" s="1" t="s">
        <v>78</v>
      </c>
      <c r="X521" s="1"/>
      <c r="Y521" s="1" t="str">
        <f>"02009000325202171"</f>
        <v>02009000325202171</v>
      </c>
      <c r="Z521" s="1" t="s">
        <v>260</v>
      </c>
      <c r="AA521" s="1" t="s">
        <v>3496</v>
      </c>
      <c r="AB521" s="1" t="str">
        <f>"***518047**"</f>
        <v>***518047**</v>
      </c>
      <c r="AC521" s="1"/>
      <c r="AD521" s="1"/>
      <c r="AE521" s="1"/>
      <c r="AF521" s="1">
        <v>-41.375556</v>
      </c>
      <c r="AG521" s="1">
        <v>-20.795278</v>
      </c>
      <c r="AH521" s="1" t="s">
        <v>3497</v>
      </c>
      <c r="AI521" s="1"/>
      <c r="AJ521" s="1" t="s">
        <v>64</v>
      </c>
      <c r="AK521" s="1"/>
      <c r="AL521" s="1" t="s">
        <v>128</v>
      </c>
      <c r="AM521" s="1" t="s">
        <v>65</v>
      </c>
      <c r="AN521" s="1" t="s">
        <v>83</v>
      </c>
      <c r="AO521" s="2" t="s">
        <v>2275</v>
      </c>
      <c r="AP521" s="2" t="s">
        <v>3498</v>
      </c>
      <c r="AQ521" s="1" t="s">
        <v>132</v>
      </c>
      <c r="AR521" s="1" t="s">
        <v>1558</v>
      </c>
      <c r="AS521" s="1"/>
      <c r="AT521" s="2" t="s">
        <v>70</v>
      </c>
    </row>
    <row r="522">
      <c r="A522" s="1"/>
      <c r="B522" s="1" t="s">
        <v>46</v>
      </c>
      <c r="C522" s="1" t="s">
        <v>47</v>
      </c>
      <c r="D522" s="1"/>
      <c r="E522" s="1" t="s">
        <v>3499</v>
      </c>
      <c r="F522" s="1"/>
      <c r="G522" s="1" t="s">
        <v>49</v>
      </c>
      <c r="H522" s="1" t="s">
        <v>50</v>
      </c>
      <c r="I522" s="1">
        <v>860.0</v>
      </c>
      <c r="J522" s="1"/>
      <c r="K522" s="1" t="s">
        <v>92</v>
      </c>
      <c r="L522" s="1"/>
      <c r="M522" s="1" t="s">
        <v>3500</v>
      </c>
      <c r="N522" s="1" t="s">
        <v>74</v>
      </c>
      <c r="O522" s="1" t="s">
        <v>75</v>
      </c>
      <c r="P522" s="2" t="s">
        <v>3501</v>
      </c>
      <c r="Q522" s="1" t="s">
        <v>77</v>
      </c>
      <c r="R522" s="1"/>
      <c r="S522" s="1" t="s">
        <v>220</v>
      </c>
      <c r="T522" s="1">
        <v>2304400.0</v>
      </c>
      <c r="U522" s="1" t="s">
        <v>592</v>
      </c>
      <c r="V522" s="1" t="s">
        <v>439</v>
      </c>
      <c r="W522" s="1" t="s">
        <v>60</v>
      </c>
      <c r="X522" s="1"/>
      <c r="Y522" s="1"/>
      <c r="Z522" s="1" t="s">
        <v>79</v>
      </c>
      <c r="AA522" s="1" t="s">
        <v>3502</v>
      </c>
      <c r="AB522" s="1" t="str">
        <f>"14951901000173"</f>
        <v>14951901000173</v>
      </c>
      <c r="AC522" s="1"/>
      <c r="AD522" s="1" t="s">
        <v>81</v>
      </c>
      <c r="AE522" s="1"/>
      <c r="AF522" s="1">
        <v>-38.479722</v>
      </c>
      <c r="AG522" s="1">
        <v>-3.721389</v>
      </c>
      <c r="AH522" s="1" t="s">
        <v>3503</v>
      </c>
      <c r="AI522" s="1"/>
      <c r="AJ522" s="1" t="s">
        <v>442</v>
      </c>
      <c r="AK522" s="1"/>
      <c r="AL522" s="1"/>
      <c r="AM522" s="1" t="s">
        <v>65</v>
      </c>
      <c r="AN522" s="1" t="s">
        <v>3504</v>
      </c>
      <c r="AO522" s="1"/>
      <c r="AP522" s="2" t="s">
        <v>3505</v>
      </c>
      <c r="AQ522" s="1"/>
      <c r="AR522" s="1" t="s">
        <v>502</v>
      </c>
      <c r="AS522" s="1"/>
      <c r="AT522" s="2" t="s">
        <v>70</v>
      </c>
    </row>
    <row r="523">
      <c r="A523" s="1">
        <v>2043198.0</v>
      </c>
      <c r="B523" s="1" t="s">
        <v>116</v>
      </c>
      <c r="C523" s="1" t="s">
        <v>117</v>
      </c>
      <c r="D523" s="1" t="s">
        <v>46</v>
      </c>
      <c r="E523" s="1" t="s">
        <v>3506</v>
      </c>
      <c r="F523" s="1"/>
      <c r="G523" s="1" t="s">
        <v>119</v>
      </c>
      <c r="H523" s="1" t="s">
        <v>50</v>
      </c>
      <c r="I523" s="1">
        <v>4000.0</v>
      </c>
      <c r="J523" s="1"/>
      <c r="K523" s="1"/>
      <c r="L523" s="1" t="s">
        <v>295</v>
      </c>
      <c r="M523" s="1" t="s">
        <v>350</v>
      </c>
      <c r="N523" s="1" t="s">
        <v>186</v>
      </c>
      <c r="O523" s="1" t="s">
        <v>95</v>
      </c>
      <c r="P523" s="2" t="s">
        <v>3507</v>
      </c>
      <c r="Q523" s="1" t="s">
        <v>56</v>
      </c>
      <c r="R523" s="2" t="s">
        <v>3384</v>
      </c>
      <c r="S523" s="1" t="s">
        <v>288</v>
      </c>
      <c r="T523" s="1">
        <v>2211001.0</v>
      </c>
      <c r="U523" s="1" t="s">
        <v>527</v>
      </c>
      <c r="V523" s="1" t="s">
        <v>290</v>
      </c>
      <c r="W523" s="1" t="s">
        <v>172</v>
      </c>
      <c r="X523" s="1"/>
      <c r="Y523" s="1" t="str">
        <f>"02020000215202151"</f>
        <v>02020000215202151</v>
      </c>
      <c r="Z523" s="1" t="s">
        <v>101</v>
      </c>
      <c r="AA523" s="1" t="s">
        <v>3508</v>
      </c>
      <c r="AB523" s="1" t="str">
        <f>"06834196000104"</f>
        <v>06834196000104</v>
      </c>
      <c r="AC523" s="1"/>
      <c r="AD523" s="1"/>
      <c r="AE523" s="1"/>
      <c r="AF523" s="1">
        <v>-42.783889</v>
      </c>
      <c r="AG523" s="1">
        <v>-5.064722</v>
      </c>
      <c r="AH523" s="1" t="s">
        <v>354</v>
      </c>
      <c r="AI523" s="1"/>
      <c r="AJ523" s="1" t="s">
        <v>295</v>
      </c>
      <c r="AK523" s="1"/>
      <c r="AL523" s="1" t="s">
        <v>128</v>
      </c>
      <c r="AM523" s="1" t="s">
        <v>65</v>
      </c>
      <c r="AN523" s="1" t="s">
        <v>296</v>
      </c>
      <c r="AO523" s="2" t="s">
        <v>2903</v>
      </c>
      <c r="AP523" s="2" t="s">
        <v>3509</v>
      </c>
      <c r="AQ523" s="1" t="s">
        <v>132</v>
      </c>
      <c r="AR523" s="1" t="s">
        <v>531</v>
      </c>
      <c r="AS523" s="1"/>
      <c r="AT523" s="2" t="s">
        <v>70</v>
      </c>
    </row>
    <row r="524">
      <c r="A524" s="1">
        <v>2043452.0</v>
      </c>
      <c r="B524" s="1" t="s">
        <v>116</v>
      </c>
      <c r="C524" s="1" t="s">
        <v>117</v>
      </c>
      <c r="D524" s="1" t="s">
        <v>46</v>
      </c>
      <c r="E524" s="1" t="s">
        <v>3510</v>
      </c>
      <c r="F524" s="1"/>
      <c r="G524" s="1" t="s">
        <v>119</v>
      </c>
      <c r="H524" s="1" t="s">
        <v>50</v>
      </c>
      <c r="I524" s="1">
        <v>3105500.0</v>
      </c>
      <c r="J524" s="1"/>
      <c r="K524" s="1"/>
      <c r="L524" s="1" t="s">
        <v>120</v>
      </c>
      <c r="M524" s="1" t="s">
        <v>3511</v>
      </c>
      <c r="N524" s="1" t="s">
        <v>186</v>
      </c>
      <c r="O524" s="1" t="s">
        <v>302</v>
      </c>
      <c r="P524" s="2" t="s">
        <v>3507</v>
      </c>
      <c r="Q524" s="1" t="s">
        <v>56</v>
      </c>
      <c r="R524" s="1"/>
      <c r="S524" s="1" t="s">
        <v>241</v>
      </c>
      <c r="T524" s="1">
        <v>2408102.0</v>
      </c>
      <c r="U524" s="1" t="s">
        <v>1083</v>
      </c>
      <c r="V524" s="1" t="s">
        <v>1084</v>
      </c>
      <c r="W524" s="1" t="s">
        <v>60</v>
      </c>
      <c r="X524" s="1"/>
      <c r="Y524" s="1" t="str">
        <f>"02001003117202101"</f>
        <v>02001003117202101</v>
      </c>
      <c r="Z524" s="1" t="s">
        <v>306</v>
      </c>
      <c r="AA524" s="1" t="s">
        <v>1085</v>
      </c>
      <c r="AB524" s="1" t="str">
        <f>"33000167104900"</f>
        <v>33000167104900</v>
      </c>
      <c r="AC524" s="1"/>
      <c r="AD524" s="1"/>
      <c r="AE524" s="1"/>
      <c r="AF524" s="1">
        <v>-36.165</v>
      </c>
      <c r="AG524" s="1">
        <v>-5.673611</v>
      </c>
      <c r="AH524" s="1" t="s">
        <v>3512</v>
      </c>
      <c r="AI524" s="1"/>
      <c r="AJ524" s="1" t="s">
        <v>120</v>
      </c>
      <c r="AK524" s="1"/>
      <c r="AL524" s="1" t="s">
        <v>128</v>
      </c>
      <c r="AM524" s="1" t="s">
        <v>65</v>
      </c>
      <c r="AN524" s="1" t="s">
        <v>66</v>
      </c>
      <c r="AO524" s="2" t="s">
        <v>1972</v>
      </c>
      <c r="AP524" s="2" t="s">
        <v>3513</v>
      </c>
      <c r="AQ524" s="1" t="s">
        <v>132</v>
      </c>
      <c r="AR524" s="1" t="s">
        <v>1242</v>
      </c>
      <c r="AS524" s="1" t="s">
        <v>3514</v>
      </c>
      <c r="AT524" s="2" t="s">
        <v>70</v>
      </c>
    </row>
    <row r="525">
      <c r="A525" s="1">
        <v>2043652.0</v>
      </c>
      <c r="B525" s="1" t="s">
        <v>116</v>
      </c>
      <c r="C525" s="1" t="s">
        <v>117</v>
      </c>
      <c r="D525" s="1" t="s">
        <v>46</v>
      </c>
      <c r="E525" s="1" t="s">
        <v>3515</v>
      </c>
      <c r="F525" s="1"/>
      <c r="G525" s="1" t="s">
        <v>119</v>
      </c>
      <c r="H525" s="1" t="s">
        <v>72</v>
      </c>
      <c r="I525" s="1">
        <v>880.0</v>
      </c>
      <c r="J525" s="1"/>
      <c r="K525" s="1"/>
      <c r="L525" s="1" t="s">
        <v>442</v>
      </c>
      <c r="M525" s="1" t="s">
        <v>3516</v>
      </c>
      <c r="N525" s="1" t="s">
        <v>74</v>
      </c>
      <c r="O525" s="1" t="s">
        <v>75</v>
      </c>
      <c r="P525" s="2" t="s">
        <v>3507</v>
      </c>
      <c r="Q525" s="1" t="s">
        <v>77</v>
      </c>
      <c r="R525" s="2" t="s">
        <v>3384</v>
      </c>
      <c r="S525" s="1" t="s">
        <v>437</v>
      </c>
      <c r="T525" s="1">
        <v>2304400.0</v>
      </c>
      <c r="U525" s="1" t="s">
        <v>592</v>
      </c>
      <c r="V525" s="1" t="s">
        <v>439</v>
      </c>
      <c r="W525" s="1" t="s">
        <v>60</v>
      </c>
      <c r="X525" s="1"/>
      <c r="Y525" s="1" t="str">
        <f>"02007000547202111"</f>
        <v>02007000547202111</v>
      </c>
      <c r="Z525" s="1" t="s">
        <v>79</v>
      </c>
      <c r="AA525" s="1" t="s">
        <v>3517</v>
      </c>
      <c r="AB525" s="1" t="str">
        <f>"***917613**"</f>
        <v>***917613**</v>
      </c>
      <c r="AC525" s="1"/>
      <c r="AD525" s="1"/>
      <c r="AE525" s="1"/>
      <c r="AF525" s="1">
        <v>-38.479444</v>
      </c>
      <c r="AG525" s="1">
        <v>-3.721389</v>
      </c>
      <c r="AH525" s="1" t="s">
        <v>3518</v>
      </c>
      <c r="AI525" s="1"/>
      <c r="AJ525" s="1" t="s">
        <v>442</v>
      </c>
      <c r="AK525" s="1"/>
      <c r="AL525" s="1" t="s">
        <v>128</v>
      </c>
      <c r="AM525" s="1" t="s">
        <v>65</v>
      </c>
      <c r="AN525" s="1" t="s">
        <v>3504</v>
      </c>
      <c r="AO525" s="2" t="s">
        <v>1205</v>
      </c>
      <c r="AP525" s="2" t="s">
        <v>3519</v>
      </c>
      <c r="AQ525" s="1" t="s">
        <v>132</v>
      </c>
      <c r="AR525" s="1" t="s">
        <v>3236</v>
      </c>
      <c r="AS525" s="1"/>
      <c r="AT525" s="2" t="s">
        <v>70</v>
      </c>
    </row>
    <row r="526">
      <c r="A526" s="1">
        <v>2043680.0</v>
      </c>
      <c r="B526" s="1" t="s">
        <v>116</v>
      </c>
      <c r="C526" s="1" t="s">
        <v>117</v>
      </c>
      <c r="D526" s="1" t="s">
        <v>46</v>
      </c>
      <c r="E526" s="1" t="s">
        <v>3520</v>
      </c>
      <c r="F526" s="1"/>
      <c r="G526" s="1" t="s">
        <v>119</v>
      </c>
      <c r="H526" s="1" t="s">
        <v>72</v>
      </c>
      <c r="I526" s="1">
        <v>29391.0</v>
      </c>
      <c r="J526" s="1"/>
      <c r="K526" s="1"/>
      <c r="L526" s="1" t="s">
        <v>120</v>
      </c>
      <c r="M526" s="1" t="s">
        <v>3521</v>
      </c>
      <c r="N526" s="1" t="s">
        <v>109</v>
      </c>
      <c r="O526" s="1" t="s">
        <v>110</v>
      </c>
      <c r="P526" s="2" t="s">
        <v>3507</v>
      </c>
      <c r="Q526" s="1" t="s">
        <v>137</v>
      </c>
      <c r="R526" s="1"/>
      <c r="S526" s="1" t="s">
        <v>220</v>
      </c>
      <c r="T526" s="1">
        <v>1500859.0</v>
      </c>
      <c r="U526" s="1" t="s">
        <v>1723</v>
      </c>
      <c r="V526" s="1" t="s">
        <v>917</v>
      </c>
      <c r="W526" s="1" t="s">
        <v>100</v>
      </c>
      <c r="X526" s="1"/>
      <c r="Y526" s="1" t="str">
        <f>"02001003635202117"</f>
        <v>02001003635202117</v>
      </c>
      <c r="Z526" s="1" t="s">
        <v>112</v>
      </c>
      <c r="AA526" s="1" t="s">
        <v>3403</v>
      </c>
      <c r="AB526" s="1" t="str">
        <f>"30320127000159"</f>
        <v>30320127000159</v>
      </c>
      <c r="AC526" s="1"/>
      <c r="AD526" s="1"/>
      <c r="AE526" s="1"/>
      <c r="AF526" s="1">
        <v>-51.189444</v>
      </c>
      <c r="AG526" s="1">
        <v>-3.490278</v>
      </c>
      <c r="AH526" s="1" t="s">
        <v>3522</v>
      </c>
      <c r="AI526" s="1"/>
      <c r="AJ526" s="1" t="s">
        <v>120</v>
      </c>
      <c r="AK526" s="1"/>
      <c r="AL526" s="1" t="s">
        <v>128</v>
      </c>
      <c r="AM526" s="1" t="s">
        <v>65</v>
      </c>
      <c r="AN526" s="1" t="s">
        <v>1726</v>
      </c>
      <c r="AO526" s="2" t="s">
        <v>1068</v>
      </c>
      <c r="AP526" s="2" t="s">
        <v>3523</v>
      </c>
      <c r="AQ526" s="1" t="s">
        <v>132</v>
      </c>
      <c r="AR526" s="1" t="s">
        <v>133</v>
      </c>
      <c r="AS526" s="1"/>
      <c r="AT526" s="2" t="s">
        <v>70</v>
      </c>
    </row>
    <row r="527">
      <c r="A527" s="1"/>
      <c r="B527" s="1" t="s">
        <v>46</v>
      </c>
      <c r="C527" s="1" t="s">
        <v>47</v>
      </c>
      <c r="D527" s="1"/>
      <c r="E527" s="1" t="s">
        <v>3524</v>
      </c>
      <c r="F527" s="1"/>
      <c r="G527" s="1" t="s">
        <v>49</v>
      </c>
      <c r="H527" s="1" t="s">
        <v>72</v>
      </c>
      <c r="I527" s="1">
        <v>46984.2</v>
      </c>
      <c r="J527" s="1"/>
      <c r="K527" s="1"/>
      <c r="L527" s="1"/>
      <c r="M527" s="1" t="s">
        <v>3525</v>
      </c>
      <c r="N527" s="1" t="s">
        <v>109</v>
      </c>
      <c r="O527" s="1" t="s">
        <v>110</v>
      </c>
      <c r="P527" s="2" t="s">
        <v>3526</v>
      </c>
      <c r="Q527" s="1" t="s">
        <v>77</v>
      </c>
      <c r="R527" s="1"/>
      <c r="S527" s="1" t="s">
        <v>220</v>
      </c>
      <c r="T527" s="1">
        <v>1500859.0</v>
      </c>
      <c r="U527" s="1" t="s">
        <v>1723</v>
      </c>
      <c r="V527" s="1" t="s">
        <v>917</v>
      </c>
      <c r="W527" s="1" t="s">
        <v>100</v>
      </c>
      <c r="X527" s="1"/>
      <c r="Y527" s="1"/>
      <c r="Z527" s="1" t="s">
        <v>112</v>
      </c>
      <c r="AA527" s="1" t="s">
        <v>3527</v>
      </c>
      <c r="AB527" s="1" t="str">
        <f>"37645825000173"</f>
        <v>37645825000173</v>
      </c>
      <c r="AC527" s="1"/>
      <c r="AD527" s="1" t="s">
        <v>62</v>
      </c>
      <c r="AE527" s="1"/>
      <c r="AF527" s="1">
        <v>-51.543611</v>
      </c>
      <c r="AG527" s="1">
        <v>-3.086389</v>
      </c>
      <c r="AH527" s="1" t="s">
        <v>3528</v>
      </c>
      <c r="AI527" s="1"/>
      <c r="AJ527" s="1" t="s">
        <v>1763</v>
      </c>
      <c r="AK527" s="1"/>
      <c r="AL527" s="1"/>
      <c r="AM527" s="1" t="s">
        <v>65</v>
      </c>
      <c r="AN527" s="1" t="s">
        <v>1726</v>
      </c>
      <c r="AO527" s="1"/>
      <c r="AP527" s="2" t="s">
        <v>3529</v>
      </c>
      <c r="AQ527" s="1"/>
      <c r="AR527" s="1" t="s">
        <v>3530</v>
      </c>
      <c r="AS527" s="1"/>
      <c r="AT527" s="2" t="s">
        <v>70</v>
      </c>
    </row>
    <row r="528">
      <c r="A528" s="1"/>
      <c r="B528" s="1" t="s">
        <v>46</v>
      </c>
      <c r="C528" s="1" t="s">
        <v>47</v>
      </c>
      <c r="D528" s="1"/>
      <c r="E528" s="1" t="s">
        <v>3531</v>
      </c>
      <c r="F528" s="1"/>
      <c r="G528" s="1" t="s">
        <v>49</v>
      </c>
      <c r="H528" s="1" t="s">
        <v>50</v>
      </c>
      <c r="I528" s="1">
        <v>11500.0</v>
      </c>
      <c r="J528" s="1"/>
      <c r="K528" s="1" t="s">
        <v>51</v>
      </c>
      <c r="L528" s="1"/>
      <c r="M528" s="1" t="s">
        <v>3532</v>
      </c>
      <c r="N528" s="1" t="s">
        <v>109</v>
      </c>
      <c r="O528" s="1" t="s">
        <v>110</v>
      </c>
      <c r="P528" s="2" t="s">
        <v>3533</v>
      </c>
      <c r="Q528" s="1" t="s">
        <v>56</v>
      </c>
      <c r="R528" s="1"/>
      <c r="S528" s="1" t="s">
        <v>1468</v>
      </c>
      <c r="T528" s="1">
        <v>5001243.0</v>
      </c>
      <c r="U528" s="1" t="s">
        <v>3534</v>
      </c>
      <c r="V528" s="1" t="s">
        <v>1470</v>
      </c>
      <c r="W528" s="1" t="s">
        <v>78</v>
      </c>
      <c r="X528" s="1"/>
      <c r="Y528" s="1"/>
      <c r="Z528" s="1" t="s">
        <v>112</v>
      </c>
      <c r="AA528" s="1" t="s">
        <v>3535</v>
      </c>
      <c r="AB528" s="1" t="str">
        <f>"***295681**"</f>
        <v>***295681**</v>
      </c>
      <c r="AC528" s="1"/>
      <c r="AD528" s="1" t="s">
        <v>325</v>
      </c>
      <c r="AE528" s="1"/>
      <c r="AF528" s="1">
        <v>-55.381667</v>
      </c>
      <c r="AG528" s="1">
        <v>-23.719167</v>
      </c>
      <c r="AH528" s="1" t="s">
        <v>3536</v>
      </c>
      <c r="AI528" s="1"/>
      <c r="AJ528" s="1" t="s">
        <v>1473</v>
      </c>
      <c r="AK528" s="1"/>
      <c r="AL528" s="1"/>
      <c r="AM528" s="1" t="s">
        <v>65</v>
      </c>
      <c r="AN528" s="1"/>
      <c r="AO528" s="1"/>
      <c r="AP528" s="2" t="s">
        <v>3537</v>
      </c>
      <c r="AQ528" s="1"/>
      <c r="AR528" s="1" t="s">
        <v>318</v>
      </c>
      <c r="AS528" s="1"/>
      <c r="AT528" s="2" t="s">
        <v>70</v>
      </c>
    </row>
    <row r="529">
      <c r="A529" s="1">
        <v>2043134.0</v>
      </c>
      <c r="B529" s="1" t="s">
        <v>116</v>
      </c>
      <c r="C529" s="1" t="s">
        <v>117</v>
      </c>
      <c r="D529" s="1" t="s">
        <v>46</v>
      </c>
      <c r="E529" s="1" t="s">
        <v>3538</v>
      </c>
      <c r="F529" s="1"/>
      <c r="G529" s="1" t="s">
        <v>119</v>
      </c>
      <c r="H529" s="1" t="s">
        <v>50</v>
      </c>
      <c r="I529" s="1">
        <v>155000.0</v>
      </c>
      <c r="J529" s="1"/>
      <c r="K529" s="1"/>
      <c r="L529" s="1" t="s">
        <v>226</v>
      </c>
      <c r="M529" s="1" t="s">
        <v>3539</v>
      </c>
      <c r="N529" s="1" t="s">
        <v>53</v>
      </c>
      <c r="O529" s="1" t="s">
        <v>54</v>
      </c>
      <c r="P529" s="2" t="s">
        <v>3540</v>
      </c>
      <c r="Q529" s="1" t="s">
        <v>56</v>
      </c>
      <c r="R529" s="1"/>
      <c r="S529" s="1" t="s">
        <v>784</v>
      </c>
      <c r="T529" s="1">
        <v>4205407.0</v>
      </c>
      <c r="U529" s="1" t="s">
        <v>2497</v>
      </c>
      <c r="V529" s="1" t="s">
        <v>222</v>
      </c>
      <c r="W529" s="1" t="s">
        <v>78</v>
      </c>
      <c r="X529" s="1"/>
      <c r="Y529" s="1" t="str">
        <f>"02026000296202139"</f>
        <v>02026000296202139</v>
      </c>
      <c r="Z529" s="1" t="s">
        <v>223</v>
      </c>
      <c r="AA529" s="1" t="s">
        <v>3541</v>
      </c>
      <c r="AB529" s="1" t="str">
        <f>"01258944000207"</f>
        <v>01258944000207</v>
      </c>
      <c r="AC529" s="1"/>
      <c r="AD529" s="1"/>
      <c r="AE529" s="1"/>
      <c r="AF529" s="1">
        <v>-48.557222</v>
      </c>
      <c r="AG529" s="1">
        <v>-27.594167</v>
      </c>
      <c r="AH529" s="1" t="s">
        <v>3542</v>
      </c>
      <c r="AI529" s="1"/>
      <c r="AJ529" s="1" t="s">
        <v>226</v>
      </c>
      <c r="AK529" s="1"/>
      <c r="AL529" s="1" t="s">
        <v>128</v>
      </c>
      <c r="AM529" s="1" t="s">
        <v>65</v>
      </c>
      <c r="AN529" s="1" t="s">
        <v>788</v>
      </c>
      <c r="AO529" s="2" t="s">
        <v>3093</v>
      </c>
      <c r="AP529" s="2" t="s">
        <v>3543</v>
      </c>
      <c r="AQ529" s="1" t="s">
        <v>132</v>
      </c>
      <c r="AR529" s="1" t="s">
        <v>3544</v>
      </c>
      <c r="AS529" s="1"/>
      <c r="AT529" s="2" t="s">
        <v>70</v>
      </c>
    </row>
    <row r="530">
      <c r="A530" s="1">
        <v>2043627.0</v>
      </c>
      <c r="B530" s="1" t="s">
        <v>116</v>
      </c>
      <c r="C530" s="1" t="s">
        <v>117</v>
      </c>
      <c r="D530" s="1" t="s">
        <v>46</v>
      </c>
      <c r="E530" s="1" t="s">
        <v>3545</v>
      </c>
      <c r="F530" s="1"/>
      <c r="G530" s="1" t="s">
        <v>119</v>
      </c>
      <c r="H530" s="1" t="s">
        <v>72</v>
      </c>
      <c r="I530" s="1">
        <v>7200.0</v>
      </c>
      <c r="J530" s="1"/>
      <c r="K530" s="1"/>
      <c r="L530" s="1" t="s">
        <v>587</v>
      </c>
      <c r="M530" s="1" t="s">
        <v>3546</v>
      </c>
      <c r="N530" s="1" t="s">
        <v>109</v>
      </c>
      <c r="O530" s="1" t="s">
        <v>110</v>
      </c>
      <c r="P530" s="2" t="s">
        <v>3547</v>
      </c>
      <c r="Q530" s="1" t="s">
        <v>56</v>
      </c>
      <c r="R530" s="1"/>
      <c r="S530" s="1" t="s">
        <v>582</v>
      </c>
      <c r="T530" s="1">
        <v>1400100.0</v>
      </c>
      <c r="U530" s="1" t="s">
        <v>1123</v>
      </c>
      <c r="V530" s="1" t="s">
        <v>584</v>
      </c>
      <c r="W530" s="1" t="s">
        <v>100</v>
      </c>
      <c r="X530" s="1"/>
      <c r="Y530" s="1" t="str">
        <f>"02025000171202119"</f>
        <v>02025000171202119</v>
      </c>
      <c r="Z530" s="1" t="s">
        <v>112</v>
      </c>
      <c r="AA530" s="1" t="s">
        <v>1731</v>
      </c>
      <c r="AB530" s="1" t="str">
        <f>"26452626000122"</f>
        <v>26452626000122</v>
      </c>
      <c r="AC530" s="1"/>
      <c r="AD530" s="1"/>
      <c r="AE530" s="1"/>
      <c r="AF530" s="1">
        <v>-60.75</v>
      </c>
      <c r="AG530" s="1">
        <v>2.843333</v>
      </c>
      <c r="AH530" s="1" t="s">
        <v>3548</v>
      </c>
      <c r="AI530" s="1"/>
      <c r="AJ530" s="1" t="s">
        <v>587</v>
      </c>
      <c r="AK530" s="1"/>
      <c r="AL530" s="1" t="s">
        <v>128</v>
      </c>
      <c r="AM530" s="1" t="s">
        <v>65</v>
      </c>
      <c r="AN530" s="1"/>
      <c r="AO530" s="2" t="s">
        <v>1371</v>
      </c>
      <c r="AP530" s="2" t="s">
        <v>3549</v>
      </c>
      <c r="AQ530" s="1" t="s">
        <v>132</v>
      </c>
      <c r="AR530" s="1" t="s">
        <v>133</v>
      </c>
      <c r="AS530" s="1" t="s">
        <v>3550</v>
      </c>
      <c r="AT530" s="2" t="s">
        <v>70</v>
      </c>
    </row>
    <row r="531">
      <c r="A531" s="1">
        <v>2043294.0</v>
      </c>
      <c r="B531" s="1" t="s">
        <v>116</v>
      </c>
      <c r="C531" s="1" t="s">
        <v>117</v>
      </c>
      <c r="D531" s="1" t="s">
        <v>46</v>
      </c>
      <c r="E531" s="1" t="s">
        <v>3551</v>
      </c>
      <c r="F531" s="1"/>
      <c r="G531" s="1" t="s">
        <v>119</v>
      </c>
      <c r="H531" s="1" t="s">
        <v>72</v>
      </c>
      <c r="I531" s="1">
        <v>59000.0</v>
      </c>
      <c r="J531" s="1"/>
      <c r="K531" s="1"/>
      <c r="L531" s="1" t="s">
        <v>1473</v>
      </c>
      <c r="M531" s="1" t="s">
        <v>3552</v>
      </c>
      <c r="N531" s="1" t="s">
        <v>109</v>
      </c>
      <c r="O531" s="1" t="s">
        <v>110</v>
      </c>
      <c r="P531" s="2" t="s">
        <v>3553</v>
      </c>
      <c r="Q531" s="1" t="s">
        <v>56</v>
      </c>
      <c r="R531" s="2" t="s">
        <v>3384</v>
      </c>
      <c r="S531" s="1" t="s">
        <v>1468</v>
      </c>
      <c r="T531" s="1">
        <v>5003207.0</v>
      </c>
      <c r="U531" s="1" t="s">
        <v>2929</v>
      </c>
      <c r="V531" s="1" t="s">
        <v>1470</v>
      </c>
      <c r="W531" s="1" t="s">
        <v>1658</v>
      </c>
      <c r="X531" s="1"/>
      <c r="Y531" s="1"/>
      <c r="Z531" s="1" t="s">
        <v>112</v>
      </c>
      <c r="AA531" s="1" t="s">
        <v>3554</v>
      </c>
      <c r="AB531" s="1" t="str">
        <f>"***175501**"</f>
        <v>***175501**</v>
      </c>
      <c r="AC531" s="1"/>
      <c r="AD531" s="1"/>
      <c r="AE531" s="1"/>
      <c r="AF531" s="1">
        <v>-57.764167</v>
      </c>
      <c r="AG531" s="1">
        <v>-19.054722</v>
      </c>
      <c r="AH531" s="1" t="s">
        <v>3555</v>
      </c>
      <c r="AI531" s="1"/>
      <c r="AJ531" s="1" t="s">
        <v>1473</v>
      </c>
      <c r="AK531" s="1"/>
      <c r="AL531" s="1" t="s">
        <v>128</v>
      </c>
      <c r="AM531" s="1" t="s">
        <v>65</v>
      </c>
      <c r="AN531" s="1"/>
      <c r="AO531" s="2" t="s">
        <v>2918</v>
      </c>
      <c r="AP531" s="2" t="s">
        <v>3556</v>
      </c>
      <c r="AQ531" s="1" t="s">
        <v>132</v>
      </c>
      <c r="AR531" s="1" t="s">
        <v>3557</v>
      </c>
      <c r="AS531" s="1"/>
      <c r="AT531" s="2" t="s">
        <v>70</v>
      </c>
    </row>
    <row r="532">
      <c r="A532" s="1">
        <v>2043628.0</v>
      </c>
      <c r="B532" s="1" t="s">
        <v>116</v>
      </c>
      <c r="C532" s="1" t="s">
        <v>117</v>
      </c>
      <c r="D532" s="1" t="s">
        <v>46</v>
      </c>
      <c r="E532" s="1" t="s">
        <v>3558</v>
      </c>
      <c r="F532" s="1"/>
      <c r="G532" s="1" t="s">
        <v>119</v>
      </c>
      <c r="H532" s="1" t="s">
        <v>72</v>
      </c>
      <c r="I532" s="1">
        <v>6000.0</v>
      </c>
      <c r="J532" s="1"/>
      <c r="K532" s="1"/>
      <c r="L532" s="1" t="s">
        <v>587</v>
      </c>
      <c r="M532" s="1" t="s">
        <v>3559</v>
      </c>
      <c r="N532" s="1" t="s">
        <v>109</v>
      </c>
      <c r="O532" s="1" t="s">
        <v>110</v>
      </c>
      <c r="P532" s="2" t="s">
        <v>3553</v>
      </c>
      <c r="Q532" s="1" t="s">
        <v>56</v>
      </c>
      <c r="R532" s="1"/>
      <c r="S532" s="1" t="s">
        <v>582</v>
      </c>
      <c r="T532" s="1">
        <v>1400100.0</v>
      </c>
      <c r="U532" s="1" t="s">
        <v>1123</v>
      </c>
      <c r="V532" s="1" t="s">
        <v>584</v>
      </c>
      <c r="W532" s="1" t="s">
        <v>100</v>
      </c>
      <c r="X532" s="1"/>
      <c r="Y532" s="1" t="str">
        <f>"02025000172202163"</f>
        <v>02025000172202163</v>
      </c>
      <c r="Z532" s="1" t="s">
        <v>112</v>
      </c>
      <c r="AA532" s="1" t="s">
        <v>1731</v>
      </c>
      <c r="AB532" s="1" t="str">
        <f>"26452626000122"</f>
        <v>26452626000122</v>
      </c>
      <c r="AC532" s="1"/>
      <c r="AD532" s="1"/>
      <c r="AE532" s="1"/>
      <c r="AF532" s="1">
        <v>-60.75</v>
      </c>
      <c r="AG532" s="1">
        <v>2.843333</v>
      </c>
      <c r="AH532" s="1" t="s">
        <v>3560</v>
      </c>
      <c r="AI532" s="1"/>
      <c r="AJ532" s="1" t="s">
        <v>587</v>
      </c>
      <c r="AK532" s="1"/>
      <c r="AL532" s="1" t="s">
        <v>128</v>
      </c>
      <c r="AM532" s="1" t="s">
        <v>65</v>
      </c>
      <c r="AN532" s="1"/>
      <c r="AO532" s="2" t="s">
        <v>1371</v>
      </c>
      <c r="AP532" s="2" t="s">
        <v>3561</v>
      </c>
      <c r="AQ532" s="1" t="s">
        <v>132</v>
      </c>
      <c r="AR532" s="1" t="s">
        <v>133</v>
      </c>
      <c r="AS532" s="1" t="s">
        <v>3562</v>
      </c>
      <c r="AT532" s="2" t="s">
        <v>70</v>
      </c>
    </row>
    <row r="533">
      <c r="A533" s="1"/>
      <c r="B533" s="1" t="s">
        <v>46</v>
      </c>
      <c r="C533" s="1" t="s">
        <v>47</v>
      </c>
      <c r="D533" s="1"/>
      <c r="E533" s="1" t="s">
        <v>3563</v>
      </c>
      <c r="F533" s="1"/>
      <c r="G533" s="1" t="s">
        <v>49</v>
      </c>
      <c r="H533" s="1" t="s">
        <v>72</v>
      </c>
      <c r="I533" s="1">
        <v>1000.0</v>
      </c>
      <c r="J533" s="1"/>
      <c r="K533" s="1"/>
      <c r="L533" s="1"/>
      <c r="M533" s="1" t="s">
        <v>3564</v>
      </c>
      <c r="N533" s="1" t="s">
        <v>53</v>
      </c>
      <c r="O533" s="1" t="s">
        <v>1171</v>
      </c>
      <c r="P533" s="2" t="s">
        <v>3565</v>
      </c>
      <c r="Q533" s="1" t="s">
        <v>56</v>
      </c>
      <c r="R533" s="1"/>
      <c r="S533" s="1" t="s">
        <v>2859</v>
      </c>
      <c r="T533" s="1">
        <v>2414456.0</v>
      </c>
      <c r="U533" s="1" t="s">
        <v>3566</v>
      </c>
      <c r="V533" s="1" t="s">
        <v>1084</v>
      </c>
      <c r="W533" s="1" t="s">
        <v>291</v>
      </c>
      <c r="X533" s="1"/>
      <c r="Y533" s="1"/>
      <c r="Z533" s="1"/>
      <c r="AA533" s="1" t="s">
        <v>3567</v>
      </c>
      <c r="AB533" s="1" t="str">
        <f>"***614604**"</f>
        <v>***614604**</v>
      </c>
      <c r="AC533" s="1"/>
      <c r="AD533" s="1" t="s">
        <v>81</v>
      </c>
      <c r="AE533" s="1"/>
      <c r="AF533" s="1">
        <v>-37.188333</v>
      </c>
      <c r="AG533" s="1">
        <v>-5.855278</v>
      </c>
      <c r="AH533" s="1" t="s">
        <v>3568</v>
      </c>
      <c r="AI533" s="1"/>
      <c r="AJ533" s="1" t="s">
        <v>2856</v>
      </c>
      <c r="AK533" s="1"/>
      <c r="AL533" s="1"/>
      <c r="AM533" s="1" t="s">
        <v>65</v>
      </c>
      <c r="AN533" s="1" t="s">
        <v>159</v>
      </c>
      <c r="AO533" s="1"/>
      <c r="AP533" s="2" t="s">
        <v>3569</v>
      </c>
      <c r="AQ533" s="1"/>
      <c r="AR533" s="1" t="s">
        <v>1663</v>
      </c>
      <c r="AS533" s="1"/>
      <c r="AT533" s="2" t="s">
        <v>70</v>
      </c>
    </row>
    <row r="534">
      <c r="A534" s="1"/>
      <c r="B534" s="1" t="s">
        <v>46</v>
      </c>
      <c r="C534" s="1" t="s">
        <v>47</v>
      </c>
      <c r="D534" s="1"/>
      <c r="E534" s="1" t="s">
        <v>3570</v>
      </c>
      <c r="F534" s="1"/>
      <c r="G534" s="1" t="s">
        <v>49</v>
      </c>
      <c r="H534" s="1" t="s">
        <v>72</v>
      </c>
      <c r="I534" s="1">
        <v>65400.0</v>
      </c>
      <c r="J534" s="1"/>
      <c r="K534" s="1"/>
      <c r="L534" s="1"/>
      <c r="M534" s="1" t="s">
        <v>3571</v>
      </c>
      <c r="N534" s="1" t="s">
        <v>109</v>
      </c>
      <c r="O534" s="1" t="s">
        <v>110</v>
      </c>
      <c r="P534" s="2" t="s">
        <v>3572</v>
      </c>
      <c r="Q534" s="1" t="s">
        <v>56</v>
      </c>
      <c r="R534" s="1"/>
      <c r="S534" s="1" t="s">
        <v>1468</v>
      </c>
      <c r="T534" s="1">
        <v>5003207.0</v>
      </c>
      <c r="U534" s="1" t="s">
        <v>2929</v>
      </c>
      <c r="V534" s="1" t="s">
        <v>1470</v>
      </c>
      <c r="W534" s="1" t="s">
        <v>1658</v>
      </c>
      <c r="X534" s="1"/>
      <c r="Y534" s="1"/>
      <c r="Z534" s="1" t="s">
        <v>112</v>
      </c>
      <c r="AA534" s="1" t="s">
        <v>3573</v>
      </c>
      <c r="AB534" s="1" t="str">
        <f>"***435219**"</f>
        <v>***435219**</v>
      </c>
      <c r="AC534" s="1"/>
      <c r="AD534" s="1" t="s">
        <v>325</v>
      </c>
      <c r="AE534" s="1"/>
      <c r="AF534" s="1">
        <v>-57.772778</v>
      </c>
      <c r="AG534" s="1">
        <v>-19.132222</v>
      </c>
      <c r="AH534" s="1" t="s">
        <v>3574</v>
      </c>
      <c r="AI534" s="1"/>
      <c r="AJ534" s="1" t="s">
        <v>1473</v>
      </c>
      <c r="AK534" s="1"/>
      <c r="AL534" s="1"/>
      <c r="AM534" s="1" t="s">
        <v>65</v>
      </c>
      <c r="AN534" s="1"/>
      <c r="AO534" s="1"/>
      <c r="AP534" s="2" t="s">
        <v>3575</v>
      </c>
      <c r="AQ534" s="1"/>
      <c r="AR534" s="1" t="s">
        <v>991</v>
      </c>
      <c r="AS534" s="1"/>
      <c r="AT534" s="2" t="s">
        <v>70</v>
      </c>
    </row>
    <row r="535">
      <c r="A535" s="1">
        <v>2043130.0</v>
      </c>
      <c r="B535" s="1" t="s">
        <v>116</v>
      </c>
      <c r="C535" s="1" t="s">
        <v>117</v>
      </c>
      <c r="D535" s="1" t="s">
        <v>46</v>
      </c>
      <c r="E535" s="1" t="s">
        <v>3576</v>
      </c>
      <c r="F535" s="1"/>
      <c r="G535" s="1" t="s">
        <v>119</v>
      </c>
      <c r="H535" s="1" t="s">
        <v>72</v>
      </c>
      <c r="I535" s="1">
        <v>6600.0</v>
      </c>
      <c r="J535" s="1"/>
      <c r="K535" s="1"/>
      <c r="L535" s="1" t="s">
        <v>1365</v>
      </c>
      <c r="M535" s="1" t="s">
        <v>3577</v>
      </c>
      <c r="N535" s="1" t="s">
        <v>109</v>
      </c>
      <c r="O535" s="1" t="s">
        <v>110</v>
      </c>
      <c r="P535" s="2" t="s">
        <v>3578</v>
      </c>
      <c r="Q535" s="1" t="s">
        <v>56</v>
      </c>
      <c r="R535" s="1"/>
      <c r="S535" s="1" t="s">
        <v>475</v>
      </c>
      <c r="T535" s="1">
        <v>3106200.0</v>
      </c>
      <c r="U535" s="1" t="s">
        <v>1441</v>
      </c>
      <c r="V535" s="1" t="s">
        <v>477</v>
      </c>
      <c r="W535" s="1" t="s">
        <v>78</v>
      </c>
      <c r="X535" s="1"/>
      <c r="Y535" s="1" t="str">
        <f>"02015000336202171"</f>
        <v>02015000336202171</v>
      </c>
      <c r="Z535" s="1" t="s">
        <v>112</v>
      </c>
      <c r="AA535" s="1" t="s">
        <v>1453</v>
      </c>
      <c r="AB535" s="1" t="str">
        <f t="shared" ref="AB535:AB537" si="30">"18750612000167"</f>
        <v>18750612000167</v>
      </c>
      <c r="AC535" s="1"/>
      <c r="AD535" s="1"/>
      <c r="AE535" s="1"/>
      <c r="AF535" s="1">
        <v>-43.965833</v>
      </c>
      <c r="AG535" s="1">
        <v>-19.838139</v>
      </c>
      <c r="AH535" s="1" t="s">
        <v>1971</v>
      </c>
      <c r="AI535" s="1">
        <v>643675.0</v>
      </c>
      <c r="AJ535" s="1" t="s">
        <v>1365</v>
      </c>
      <c r="AK535" s="1"/>
      <c r="AL535" s="1" t="s">
        <v>128</v>
      </c>
      <c r="AM535" s="1" t="s">
        <v>65</v>
      </c>
      <c r="AN535" s="1" t="s">
        <v>83</v>
      </c>
      <c r="AO535" s="2" t="s">
        <v>3093</v>
      </c>
      <c r="AP535" s="2" t="s">
        <v>3579</v>
      </c>
      <c r="AQ535" s="1" t="s">
        <v>132</v>
      </c>
      <c r="AR535" s="1" t="s">
        <v>1373</v>
      </c>
      <c r="AS535" s="1"/>
      <c r="AT535" s="2" t="s">
        <v>70</v>
      </c>
    </row>
    <row r="536">
      <c r="A536" s="1">
        <v>2043131.0</v>
      </c>
      <c r="B536" s="1" t="s">
        <v>116</v>
      </c>
      <c r="C536" s="1" t="s">
        <v>117</v>
      </c>
      <c r="D536" s="1" t="s">
        <v>46</v>
      </c>
      <c r="E536" s="1" t="s">
        <v>3580</v>
      </c>
      <c r="F536" s="1"/>
      <c r="G536" s="1" t="s">
        <v>119</v>
      </c>
      <c r="H536" s="1" t="s">
        <v>72</v>
      </c>
      <c r="I536" s="1">
        <v>8100.0</v>
      </c>
      <c r="J536" s="1"/>
      <c r="K536" s="1"/>
      <c r="L536" s="1" t="s">
        <v>1365</v>
      </c>
      <c r="M536" s="1" t="s">
        <v>3581</v>
      </c>
      <c r="N536" s="1" t="s">
        <v>109</v>
      </c>
      <c r="O536" s="1" t="s">
        <v>110</v>
      </c>
      <c r="P536" s="2" t="s">
        <v>3578</v>
      </c>
      <c r="Q536" s="1" t="s">
        <v>56</v>
      </c>
      <c r="R536" s="1"/>
      <c r="S536" s="1" t="s">
        <v>475</v>
      </c>
      <c r="T536" s="1">
        <v>3106200.0</v>
      </c>
      <c r="U536" s="1" t="s">
        <v>1441</v>
      </c>
      <c r="V536" s="1" t="s">
        <v>477</v>
      </c>
      <c r="W536" s="1" t="s">
        <v>78</v>
      </c>
      <c r="X536" s="1"/>
      <c r="Y536" s="1" t="str">
        <f>"02015000337202116"</f>
        <v>02015000337202116</v>
      </c>
      <c r="Z536" s="1" t="s">
        <v>112</v>
      </c>
      <c r="AA536" s="1" t="s">
        <v>1453</v>
      </c>
      <c r="AB536" s="1" t="str">
        <f t="shared" si="30"/>
        <v>18750612000167</v>
      </c>
      <c r="AC536" s="1"/>
      <c r="AD536" s="1"/>
      <c r="AE536" s="1"/>
      <c r="AF536" s="1">
        <v>-43.965833</v>
      </c>
      <c r="AG536" s="1">
        <v>-19.838139</v>
      </c>
      <c r="AH536" s="1" t="s">
        <v>1971</v>
      </c>
      <c r="AI536" s="1">
        <v>643675.0</v>
      </c>
      <c r="AJ536" s="1" t="s">
        <v>1365</v>
      </c>
      <c r="AK536" s="1"/>
      <c r="AL536" s="1" t="s">
        <v>128</v>
      </c>
      <c r="AM536" s="1" t="s">
        <v>65</v>
      </c>
      <c r="AN536" s="1" t="s">
        <v>83</v>
      </c>
      <c r="AO536" s="2" t="s">
        <v>3093</v>
      </c>
      <c r="AP536" s="2" t="s">
        <v>3582</v>
      </c>
      <c r="AQ536" s="1" t="s">
        <v>132</v>
      </c>
      <c r="AR536" s="1" t="s">
        <v>1373</v>
      </c>
      <c r="AS536" s="1"/>
      <c r="AT536" s="2" t="s">
        <v>70</v>
      </c>
    </row>
    <row r="537">
      <c r="A537" s="1">
        <v>2043132.0</v>
      </c>
      <c r="B537" s="1" t="s">
        <v>116</v>
      </c>
      <c r="C537" s="1" t="s">
        <v>117</v>
      </c>
      <c r="D537" s="1" t="s">
        <v>46</v>
      </c>
      <c r="E537" s="1" t="s">
        <v>3583</v>
      </c>
      <c r="F537" s="1"/>
      <c r="G537" s="1" t="s">
        <v>119</v>
      </c>
      <c r="H537" s="1" t="s">
        <v>72</v>
      </c>
      <c r="I537" s="1">
        <v>14100.0</v>
      </c>
      <c r="J537" s="1"/>
      <c r="K537" s="1"/>
      <c r="L537" s="1" t="s">
        <v>1365</v>
      </c>
      <c r="M537" s="1" t="s">
        <v>3584</v>
      </c>
      <c r="N537" s="1" t="s">
        <v>109</v>
      </c>
      <c r="O537" s="1" t="s">
        <v>110</v>
      </c>
      <c r="P537" s="2" t="s">
        <v>3578</v>
      </c>
      <c r="Q537" s="1" t="s">
        <v>56</v>
      </c>
      <c r="R537" s="1"/>
      <c r="S537" s="1" t="s">
        <v>475</v>
      </c>
      <c r="T537" s="1">
        <v>3106200.0</v>
      </c>
      <c r="U537" s="1" t="s">
        <v>1441</v>
      </c>
      <c r="V537" s="1" t="s">
        <v>477</v>
      </c>
      <c r="W537" s="1" t="s">
        <v>78</v>
      </c>
      <c r="X537" s="1"/>
      <c r="Y537" s="1" t="str">
        <f>"02015000338202161"</f>
        <v>02015000338202161</v>
      </c>
      <c r="Z537" s="1" t="s">
        <v>112</v>
      </c>
      <c r="AA537" s="1" t="s">
        <v>1453</v>
      </c>
      <c r="AB537" s="1" t="str">
        <f t="shared" si="30"/>
        <v>18750612000167</v>
      </c>
      <c r="AC537" s="1"/>
      <c r="AD537" s="1"/>
      <c r="AE537" s="1"/>
      <c r="AF537" s="1">
        <v>-43.965833</v>
      </c>
      <c r="AG537" s="1">
        <v>-19.838139</v>
      </c>
      <c r="AH537" s="1" t="s">
        <v>1971</v>
      </c>
      <c r="AI537" s="1">
        <v>643675.0</v>
      </c>
      <c r="AJ537" s="1" t="s">
        <v>1365</v>
      </c>
      <c r="AK537" s="1"/>
      <c r="AL537" s="1" t="s">
        <v>128</v>
      </c>
      <c r="AM537" s="1" t="s">
        <v>65</v>
      </c>
      <c r="AN537" s="1" t="s">
        <v>83</v>
      </c>
      <c r="AO537" s="2" t="s">
        <v>3093</v>
      </c>
      <c r="AP537" s="2" t="s">
        <v>3585</v>
      </c>
      <c r="AQ537" s="1" t="s">
        <v>132</v>
      </c>
      <c r="AR537" s="1" t="s">
        <v>1373</v>
      </c>
      <c r="AS537" s="1"/>
      <c r="AT537" s="2" t="s">
        <v>70</v>
      </c>
    </row>
    <row r="538">
      <c r="A538" s="1">
        <v>2043119.0</v>
      </c>
      <c r="B538" s="1" t="s">
        <v>116</v>
      </c>
      <c r="C538" s="1" t="s">
        <v>117</v>
      </c>
      <c r="D538" s="1" t="s">
        <v>46</v>
      </c>
      <c r="E538" s="1" t="s">
        <v>3586</v>
      </c>
      <c r="F538" s="1"/>
      <c r="G538" s="1" t="s">
        <v>119</v>
      </c>
      <c r="H538" s="1" t="s">
        <v>72</v>
      </c>
      <c r="I538" s="1">
        <v>9600.0</v>
      </c>
      <c r="J538" s="1"/>
      <c r="K538" s="1"/>
      <c r="L538" s="1" t="s">
        <v>1365</v>
      </c>
      <c r="M538" s="1" t="s">
        <v>3587</v>
      </c>
      <c r="N538" s="1" t="s">
        <v>109</v>
      </c>
      <c r="O538" s="1" t="s">
        <v>110</v>
      </c>
      <c r="P538" s="2" t="s">
        <v>3588</v>
      </c>
      <c r="Q538" s="1" t="s">
        <v>56</v>
      </c>
      <c r="R538" s="1"/>
      <c r="S538" s="1" t="s">
        <v>475</v>
      </c>
      <c r="T538" s="1">
        <v>3134608.0</v>
      </c>
      <c r="U538" s="1" t="s">
        <v>3589</v>
      </c>
      <c r="V538" s="1" t="s">
        <v>477</v>
      </c>
      <c r="W538" s="1" t="s">
        <v>172</v>
      </c>
      <c r="X538" s="1"/>
      <c r="Y538" s="1" t="str">
        <f>"02015000308202154"</f>
        <v>02015000308202154</v>
      </c>
      <c r="Z538" s="1" t="s">
        <v>112</v>
      </c>
      <c r="AA538" s="1" t="s">
        <v>3590</v>
      </c>
      <c r="AB538" s="1" t="str">
        <f>"41766429000171"</f>
        <v>41766429000171</v>
      </c>
      <c r="AC538" s="1"/>
      <c r="AD538" s="1"/>
      <c r="AE538" s="1"/>
      <c r="AF538" s="1">
        <v>-43.755306</v>
      </c>
      <c r="AG538" s="1">
        <v>-19.518833</v>
      </c>
      <c r="AH538" s="1" t="s">
        <v>3591</v>
      </c>
      <c r="AI538" s="1">
        <v>643673.0</v>
      </c>
      <c r="AJ538" s="1" t="s">
        <v>1365</v>
      </c>
      <c r="AK538" s="1"/>
      <c r="AL538" s="1" t="s">
        <v>128</v>
      </c>
      <c r="AM538" s="1" t="s">
        <v>65</v>
      </c>
      <c r="AN538" s="1" t="s">
        <v>83</v>
      </c>
      <c r="AO538" s="2" t="s">
        <v>3480</v>
      </c>
      <c r="AP538" s="2" t="s">
        <v>3592</v>
      </c>
      <c r="AQ538" s="1" t="s">
        <v>132</v>
      </c>
      <c r="AR538" s="1" t="s">
        <v>1373</v>
      </c>
      <c r="AS538" s="1"/>
      <c r="AT538" s="2" t="s">
        <v>70</v>
      </c>
    </row>
    <row r="539">
      <c r="A539" s="1">
        <v>2043036.0</v>
      </c>
      <c r="B539" s="1" t="s">
        <v>116</v>
      </c>
      <c r="C539" s="1" t="s">
        <v>117</v>
      </c>
      <c r="D539" s="1" t="s">
        <v>46</v>
      </c>
      <c r="E539" s="1" t="s">
        <v>3593</v>
      </c>
      <c r="F539" s="1"/>
      <c r="G539" s="1" t="s">
        <v>119</v>
      </c>
      <c r="H539" s="1" t="s">
        <v>50</v>
      </c>
      <c r="I539" s="1">
        <v>361000.0</v>
      </c>
      <c r="J539" s="1"/>
      <c r="K539" s="1"/>
      <c r="L539" s="1" t="s">
        <v>442</v>
      </c>
      <c r="M539" s="1" t="s">
        <v>3594</v>
      </c>
      <c r="N539" s="1" t="s">
        <v>186</v>
      </c>
      <c r="O539" s="1" t="s">
        <v>95</v>
      </c>
      <c r="P539" s="2" t="s">
        <v>3595</v>
      </c>
      <c r="Q539" s="1" t="s">
        <v>56</v>
      </c>
      <c r="R539" s="1"/>
      <c r="S539" s="1" t="s">
        <v>437</v>
      </c>
      <c r="T539" s="1">
        <v>2301109.0</v>
      </c>
      <c r="U539" s="1" t="s">
        <v>1130</v>
      </c>
      <c r="V539" s="1" t="s">
        <v>439</v>
      </c>
      <c r="W539" s="1" t="s">
        <v>60</v>
      </c>
      <c r="X539" s="1"/>
      <c r="Y539" s="1" t="str">
        <f>"02007000292202189"</f>
        <v>02007000292202189</v>
      </c>
      <c r="Z539" s="1" t="s">
        <v>101</v>
      </c>
      <c r="AA539" s="1" t="s">
        <v>3596</v>
      </c>
      <c r="AB539" s="1" t="str">
        <f>"07684756000146"</f>
        <v>07684756000146</v>
      </c>
      <c r="AC539" s="1"/>
      <c r="AD539" s="1"/>
      <c r="AE539" s="1"/>
      <c r="AF539" s="1">
        <v>-37.768833</v>
      </c>
      <c r="AG539" s="1">
        <v>-4.561222</v>
      </c>
      <c r="AH539" s="1" t="s">
        <v>3597</v>
      </c>
      <c r="AI539" s="1"/>
      <c r="AJ539" s="1" t="s">
        <v>442</v>
      </c>
      <c r="AK539" s="1"/>
      <c r="AL539" s="1" t="s">
        <v>128</v>
      </c>
      <c r="AM539" s="1" t="s">
        <v>65</v>
      </c>
      <c r="AN539" s="1" t="s">
        <v>3504</v>
      </c>
      <c r="AO539" s="2" t="s">
        <v>3598</v>
      </c>
      <c r="AP539" s="2" t="s">
        <v>3599</v>
      </c>
      <c r="AQ539" s="1" t="s">
        <v>132</v>
      </c>
      <c r="AR539" s="1" t="s">
        <v>693</v>
      </c>
      <c r="AS539" s="1"/>
      <c r="AT539" s="2" t="s">
        <v>70</v>
      </c>
    </row>
    <row r="540">
      <c r="A540" s="1">
        <v>2043115.0</v>
      </c>
      <c r="B540" s="1" t="s">
        <v>116</v>
      </c>
      <c r="C540" s="1" t="s">
        <v>117</v>
      </c>
      <c r="D540" s="1" t="s">
        <v>46</v>
      </c>
      <c r="E540" s="1" t="s">
        <v>3600</v>
      </c>
      <c r="F540" s="1"/>
      <c r="G540" s="1" t="s">
        <v>119</v>
      </c>
      <c r="H540" s="1" t="s">
        <v>72</v>
      </c>
      <c r="I540" s="1">
        <v>9600.0</v>
      </c>
      <c r="J540" s="1"/>
      <c r="K540" s="1"/>
      <c r="L540" s="1" t="s">
        <v>1365</v>
      </c>
      <c r="M540" s="1" t="s">
        <v>3601</v>
      </c>
      <c r="N540" s="1" t="s">
        <v>109</v>
      </c>
      <c r="O540" s="1" t="s">
        <v>110</v>
      </c>
      <c r="P540" s="2" t="s">
        <v>3595</v>
      </c>
      <c r="Q540" s="1" t="s">
        <v>56</v>
      </c>
      <c r="R540" s="1"/>
      <c r="S540" s="1" t="s">
        <v>475</v>
      </c>
      <c r="T540" s="1">
        <v>3106200.0</v>
      </c>
      <c r="U540" s="1" t="s">
        <v>1441</v>
      </c>
      <c r="V540" s="1" t="s">
        <v>477</v>
      </c>
      <c r="W540" s="1" t="s">
        <v>172</v>
      </c>
      <c r="X540" s="1"/>
      <c r="Y540" s="1" t="str">
        <f>"02015000304202176"</f>
        <v>02015000304202176</v>
      </c>
      <c r="Z540" s="1" t="s">
        <v>112</v>
      </c>
      <c r="AA540" s="1" t="s">
        <v>3602</v>
      </c>
      <c r="AB540" s="1" t="str">
        <f>"42861542000107"</f>
        <v>42861542000107</v>
      </c>
      <c r="AC540" s="1"/>
      <c r="AD540" s="1"/>
      <c r="AE540" s="1"/>
      <c r="AF540" s="1">
        <v>-44.00875</v>
      </c>
      <c r="AG540" s="1">
        <v>-19.987472</v>
      </c>
      <c r="AH540" s="1" t="s">
        <v>3603</v>
      </c>
      <c r="AI540" s="1">
        <v>643677.0</v>
      </c>
      <c r="AJ540" s="1" t="s">
        <v>1365</v>
      </c>
      <c r="AK540" s="1"/>
      <c r="AL540" s="1" t="s">
        <v>128</v>
      </c>
      <c r="AM540" s="1" t="s">
        <v>65</v>
      </c>
      <c r="AN540" s="1" t="s">
        <v>83</v>
      </c>
      <c r="AO540" s="2" t="s">
        <v>3480</v>
      </c>
      <c r="AP540" s="2" t="s">
        <v>3604</v>
      </c>
      <c r="AQ540" s="1" t="s">
        <v>132</v>
      </c>
      <c r="AR540" s="1" t="s">
        <v>1373</v>
      </c>
      <c r="AS540" s="1"/>
      <c r="AT540" s="2" t="s">
        <v>70</v>
      </c>
    </row>
    <row r="541">
      <c r="A541" s="1">
        <v>2043116.0</v>
      </c>
      <c r="B541" s="1" t="s">
        <v>116</v>
      </c>
      <c r="C541" s="1" t="s">
        <v>117</v>
      </c>
      <c r="D541" s="1" t="s">
        <v>46</v>
      </c>
      <c r="E541" s="1" t="s">
        <v>3605</v>
      </c>
      <c r="F541" s="1"/>
      <c r="G541" s="1" t="s">
        <v>119</v>
      </c>
      <c r="H541" s="1" t="s">
        <v>72</v>
      </c>
      <c r="I541" s="1">
        <v>1500.0</v>
      </c>
      <c r="J541" s="1"/>
      <c r="K541" s="1"/>
      <c r="L541" s="1" t="s">
        <v>1365</v>
      </c>
      <c r="M541" s="1" t="s">
        <v>3606</v>
      </c>
      <c r="N541" s="1" t="s">
        <v>109</v>
      </c>
      <c r="O541" s="1" t="s">
        <v>110</v>
      </c>
      <c r="P541" s="2" t="s">
        <v>3595</v>
      </c>
      <c r="Q541" s="1" t="s">
        <v>56</v>
      </c>
      <c r="R541" s="1"/>
      <c r="S541" s="1" t="s">
        <v>475</v>
      </c>
      <c r="T541" s="1">
        <v>3136207.0</v>
      </c>
      <c r="U541" s="1" t="s">
        <v>3607</v>
      </c>
      <c r="V541" s="1" t="s">
        <v>477</v>
      </c>
      <c r="W541" s="1" t="s">
        <v>78</v>
      </c>
      <c r="X541" s="1"/>
      <c r="Y541" s="1" t="str">
        <f>"02015000305202111"</f>
        <v>02015000305202111</v>
      </c>
      <c r="Z541" s="1" t="s">
        <v>112</v>
      </c>
      <c r="AA541" s="1" t="s">
        <v>3608</v>
      </c>
      <c r="AB541" s="1" t="str">
        <f>"25344680000191"</f>
        <v>25344680000191</v>
      </c>
      <c r="AC541" s="1"/>
      <c r="AD541" s="1"/>
      <c r="AE541" s="1"/>
      <c r="AF541" s="1">
        <v>-43.162139</v>
      </c>
      <c r="AG541" s="1">
        <v>-19.822333</v>
      </c>
      <c r="AH541" s="1" t="s">
        <v>3609</v>
      </c>
      <c r="AI541" s="1">
        <v>643666.0</v>
      </c>
      <c r="AJ541" s="1" t="s">
        <v>1365</v>
      </c>
      <c r="AK541" s="1"/>
      <c r="AL541" s="1" t="s">
        <v>128</v>
      </c>
      <c r="AM541" s="1" t="s">
        <v>65</v>
      </c>
      <c r="AN541" s="1" t="s">
        <v>83</v>
      </c>
      <c r="AO541" s="2" t="s">
        <v>3480</v>
      </c>
      <c r="AP541" s="2" t="s">
        <v>3610</v>
      </c>
      <c r="AQ541" s="1" t="s">
        <v>132</v>
      </c>
      <c r="AR541" s="1" t="s">
        <v>1373</v>
      </c>
      <c r="AS541" s="1"/>
      <c r="AT541" s="2" t="s">
        <v>70</v>
      </c>
    </row>
    <row r="542">
      <c r="A542" s="1">
        <v>2043117.0</v>
      </c>
      <c r="B542" s="1" t="s">
        <v>116</v>
      </c>
      <c r="C542" s="1" t="s">
        <v>117</v>
      </c>
      <c r="D542" s="1" t="s">
        <v>46</v>
      </c>
      <c r="E542" s="1" t="s">
        <v>3611</v>
      </c>
      <c r="F542" s="1"/>
      <c r="G542" s="1" t="s">
        <v>119</v>
      </c>
      <c r="H542" s="1" t="s">
        <v>72</v>
      </c>
      <c r="I542" s="1">
        <v>2700.0</v>
      </c>
      <c r="J542" s="1"/>
      <c r="K542" s="1"/>
      <c r="L542" s="1" t="s">
        <v>1365</v>
      </c>
      <c r="M542" s="1" t="s">
        <v>3612</v>
      </c>
      <c r="N542" s="1" t="s">
        <v>109</v>
      </c>
      <c r="O542" s="1" t="s">
        <v>110</v>
      </c>
      <c r="P542" s="2" t="s">
        <v>3595</v>
      </c>
      <c r="Q542" s="1" t="s">
        <v>56</v>
      </c>
      <c r="R542" s="1"/>
      <c r="S542" s="1" t="s">
        <v>475</v>
      </c>
      <c r="T542" s="1">
        <v>3129806.0</v>
      </c>
      <c r="U542" s="1" t="s">
        <v>3613</v>
      </c>
      <c r="V542" s="1" t="s">
        <v>477</v>
      </c>
      <c r="W542" s="1" t="s">
        <v>78</v>
      </c>
      <c r="X542" s="1"/>
      <c r="Y542" s="1" t="str">
        <f>"02015000306202165"</f>
        <v>02015000306202165</v>
      </c>
      <c r="Z542" s="1" t="s">
        <v>112</v>
      </c>
      <c r="AA542" s="1" t="s">
        <v>3614</v>
      </c>
      <c r="AB542" s="1" t="str">
        <f>"18056799000101"</f>
        <v>18056799000101</v>
      </c>
      <c r="AC542" s="1"/>
      <c r="AD542" s="1"/>
      <c r="AE542" s="1"/>
      <c r="AF542" s="1">
        <v>-44.053583</v>
      </c>
      <c r="AG542" s="1">
        <v>-19.997417</v>
      </c>
      <c r="AH542" s="1" t="s">
        <v>3615</v>
      </c>
      <c r="AI542" s="1">
        <v>643668.0</v>
      </c>
      <c r="AJ542" s="1" t="s">
        <v>1365</v>
      </c>
      <c r="AK542" s="1"/>
      <c r="AL542" s="1" t="s">
        <v>128</v>
      </c>
      <c r="AM542" s="1" t="s">
        <v>65</v>
      </c>
      <c r="AN542" s="1" t="s">
        <v>83</v>
      </c>
      <c r="AO542" s="2" t="s">
        <v>3480</v>
      </c>
      <c r="AP542" s="2" t="s">
        <v>3616</v>
      </c>
      <c r="AQ542" s="1" t="s">
        <v>132</v>
      </c>
      <c r="AR542" s="1" t="s">
        <v>1373</v>
      </c>
      <c r="AS542" s="1"/>
      <c r="AT542" s="2" t="s">
        <v>70</v>
      </c>
    </row>
    <row r="543">
      <c r="A543" s="1">
        <v>2043118.0</v>
      </c>
      <c r="B543" s="1" t="s">
        <v>116</v>
      </c>
      <c r="C543" s="1" t="s">
        <v>117</v>
      </c>
      <c r="D543" s="1" t="s">
        <v>46</v>
      </c>
      <c r="E543" s="1" t="s">
        <v>3617</v>
      </c>
      <c r="F543" s="1"/>
      <c r="G543" s="1" t="s">
        <v>119</v>
      </c>
      <c r="H543" s="1" t="s">
        <v>72</v>
      </c>
      <c r="I543" s="1">
        <v>6600.0</v>
      </c>
      <c r="J543" s="1"/>
      <c r="K543" s="1"/>
      <c r="L543" s="1" t="s">
        <v>1365</v>
      </c>
      <c r="M543" s="1" t="s">
        <v>3618</v>
      </c>
      <c r="N543" s="1" t="s">
        <v>109</v>
      </c>
      <c r="O543" s="1" t="s">
        <v>110</v>
      </c>
      <c r="P543" s="2" t="s">
        <v>3595</v>
      </c>
      <c r="Q543" s="1" t="s">
        <v>56</v>
      </c>
      <c r="R543" s="1"/>
      <c r="S543" s="1" t="s">
        <v>475</v>
      </c>
      <c r="T543" s="1">
        <v>3106002.0</v>
      </c>
      <c r="U543" s="1" t="s">
        <v>3619</v>
      </c>
      <c r="V543" s="1" t="s">
        <v>477</v>
      </c>
      <c r="W543" s="1" t="s">
        <v>78</v>
      </c>
      <c r="X543" s="1"/>
      <c r="Y543" s="1" t="str">
        <f>"02015000307202118"</f>
        <v>02015000307202118</v>
      </c>
      <c r="Z543" s="1" t="s">
        <v>112</v>
      </c>
      <c r="AA543" s="1" t="s">
        <v>3620</v>
      </c>
      <c r="AB543" s="1" t="str">
        <f>"08856836000102"</f>
        <v>08856836000102</v>
      </c>
      <c r="AC543" s="1"/>
      <c r="AD543" s="1"/>
      <c r="AE543" s="1"/>
      <c r="AF543" s="1">
        <v>-43.086556</v>
      </c>
      <c r="AG543" s="1">
        <v>-19.830583</v>
      </c>
      <c r="AH543" s="1" t="s">
        <v>3621</v>
      </c>
      <c r="AI543" s="1">
        <v>643669.0</v>
      </c>
      <c r="AJ543" s="1" t="s">
        <v>1365</v>
      </c>
      <c r="AK543" s="1"/>
      <c r="AL543" s="1" t="s">
        <v>128</v>
      </c>
      <c r="AM543" s="1" t="s">
        <v>65</v>
      </c>
      <c r="AN543" s="1" t="s">
        <v>83</v>
      </c>
      <c r="AO543" s="2" t="s">
        <v>3480</v>
      </c>
      <c r="AP543" s="2" t="s">
        <v>3622</v>
      </c>
      <c r="AQ543" s="1" t="s">
        <v>132</v>
      </c>
      <c r="AR543" s="1" t="s">
        <v>1373</v>
      </c>
      <c r="AS543" s="1"/>
      <c r="AT543" s="2" t="s">
        <v>70</v>
      </c>
    </row>
    <row r="544">
      <c r="A544" s="1">
        <v>2043199.0</v>
      </c>
      <c r="B544" s="1" t="s">
        <v>116</v>
      </c>
      <c r="C544" s="1" t="s">
        <v>117</v>
      </c>
      <c r="D544" s="1" t="s">
        <v>46</v>
      </c>
      <c r="E544" s="1" t="s">
        <v>3623</v>
      </c>
      <c r="F544" s="1"/>
      <c r="G544" s="1" t="s">
        <v>119</v>
      </c>
      <c r="H544" s="1" t="s">
        <v>50</v>
      </c>
      <c r="I544" s="1">
        <v>1000.0</v>
      </c>
      <c r="J544" s="1"/>
      <c r="K544" s="1"/>
      <c r="L544" s="1" t="s">
        <v>295</v>
      </c>
      <c r="M544" s="1" t="s">
        <v>3624</v>
      </c>
      <c r="N544" s="1" t="s">
        <v>186</v>
      </c>
      <c r="O544" s="1" t="s">
        <v>95</v>
      </c>
      <c r="P544" s="2" t="s">
        <v>3595</v>
      </c>
      <c r="Q544" s="1" t="s">
        <v>56</v>
      </c>
      <c r="R544" s="2" t="s">
        <v>3625</v>
      </c>
      <c r="S544" s="1" t="s">
        <v>288</v>
      </c>
      <c r="T544" s="1">
        <v>2208007.0</v>
      </c>
      <c r="U544" s="1" t="s">
        <v>2279</v>
      </c>
      <c r="V544" s="1" t="s">
        <v>290</v>
      </c>
      <c r="W544" s="1" t="s">
        <v>172</v>
      </c>
      <c r="X544" s="1"/>
      <c r="Y544" s="1" t="str">
        <f>"02020000216202103"</f>
        <v>02020000216202103</v>
      </c>
      <c r="Z544" s="1" t="s">
        <v>101</v>
      </c>
      <c r="AA544" s="1" t="s">
        <v>3626</v>
      </c>
      <c r="AB544" s="1" t="str">
        <f>"05956327000155"</f>
        <v>05956327000155</v>
      </c>
      <c r="AC544" s="1"/>
      <c r="AD544" s="1"/>
      <c r="AE544" s="1"/>
      <c r="AF544" s="1">
        <v>-42.783889</v>
      </c>
      <c r="AG544" s="1">
        <v>-5.064722</v>
      </c>
      <c r="AH544" s="1" t="s">
        <v>3627</v>
      </c>
      <c r="AI544" s="1"/>
      <c r="AJ544" s="1" t="s">
        <v>295</v>
      </c>
      <c r="AK544" s="1"/>
      <c r="AL544" s="1" t="s">
        <v>128</v>
      </c>
      <c r="AM544" s="1" t="s">
        <v>65</v>
      </c>
      <c r="AN544" s="1" t="s">
        <v>296</v>
      </c>
      <c r="AO544" s="2" t="s">
        <v>2903</v>
      </c>
      <c r="AP544" s="2" t="s">
        <v>3628</v>
      </c>
      <c r="AQ544" s="1" t="s">
        <v>132</v>
      </c>
      <c r="AR544" s="1" t="s">
        <v>531</v>
      </c>
      <c r="AS544" s="1"/>
      <c r="AT544" s="2" t="s">
        <v>70</v>
      </c>
    </row>
    <row r="545">
      <c r="A545" s="1">
        <v>2043088.0</v>
      </c>
      <c r="B545" s="1" t="s">
        <v>116</v>
      </c>
      <c r="C545" s="1" t="s">
        <v>117</v>
      </c>
      <c r="D545" s="1" t="s">
        <v>46</v>
      </c>
      <c r="E545" s="1" t="s">
        <v>3629</v>
      </c>
      <c r="F545" s="1"/>
      <c r="G545" s="1" t="s">
        <v>119</v>
      </c>
      <c r="H545" s="1" t="s">
        <v>72</v>
      </c>
      <c r="I545" s="1">
        <v>10500.0</v>
      </c>
      <c r="J545" s="1"/>
      <c r="K545" s="1"/>
      <c r="L545" s="1" t="s">
        <v>1365</v>
      </c>
      <c r="M545" s="1" t="s">
        <v>3630</v>
      </c>
      <c r="N545" s="1" t="s">
        <v>109</v>
      </c>
      <c r="O545" s="1" t="s">
        <v>110</v>
      </c>
      <c r="P545" s="2" t="s">
        <v>3631</v>
      </c>
      <c r="Q545" s="1" t="s">
        <v>56</v>
      </c>
      <c r="R545" s="1"/>
      <c r="S545" s="1" t="s">
        <v>475</v>
      </c>
      <c r="T545" s="1">
        <v>3129806.0</v>
      </c>
      <c r="U545" s="1" t="s">
        <v>3613</v>
      </c>
      <c r="V545" s="1" t="s">
        <v>477</v>
      </c>
      <c r="W545" s="1" t="s">
        <v>172</v>
      </c>
      <c r="X545" s="1"/>
      <c r="Y545" s="1" t="str">
        <f>"02015000287202177"</f>
        <v>02015000287202177</v>
      </c>
      <c r="Z545" s="1" t="s">
        <v>112</v>
      </c>
      <c r="AA545" s="1" t="s">
        <v>3632</v>
      </c>
      <c r="AB545" s="1" t="str">
        <f t="shared" ref="AB545:AB546" si="31">"08730265000157"</f>
        <v>08730265000157</v>
      </c>
      <c r="AC545" s="1"/>
      <c r="AD545" s="1"/>
      <c r="AE545" s="1"/>
      <c r="AF545" s="1">
        <v>-44.053278</v>
      </c>
      <c r="AG545" s="1">
        <v>-19.997306</v>
      </c>
      <c r="AH545" s="1" t="s">
        <v>3633</v>
      </c>
      <c r="AI545" s="1"/>
      <c r="AJ545" s="1" t="s">
        <v>1365</v>
      </c>
      <c r="AK545" s="1"/>
      <c r="AL545" s="1" t="s">
        <v>128</v>
      </c>
      <c r="AM545" s="1" t="s">
        <v>65</v>
      </c>
      <c r="AN545" s="1" t="s">
        <v>83</v>
      </c>
      <c r="AO545" s="2" t="s">
        <v>3480</v>
      </c>
      <c r="AP545" s="2" t="s">
        <v>3634</v>
      </c>
      <c r="AQ545" s="1" t="s">
        <v>132</v>
      </c>
      <c r="AR545" s="1" t="s">
        <v>1373</v>
      </c>
      <c r="AS545" s="1"/>
      <c r="AT545" s="2" t="s">
        <v>70</v>
      </c>
    </row>
    <row r="546">
      <c r="A546" s="1">
        <v>2043089.0</v>
      </c>
      <c r="B546" s="1" t="s">
        <v>116</v>
      </c>
      <c r="C546" s="1" t="s">
        <v>117</v>
      </c>
      <c r="D546" s="1" t="s">
        <v>46</v>
      </c>
      <c r="E546" s="1" t="s">
        <v>3635</v>
      </c>
      <c r="F546" s="1"/>
      <c r="G546" s="1" t="s">
        <v>119</v>
      </c>
      <c r="H546" s="1" t="s">
        <v>72</v>
      </c>
      <c r="I546" s="1">
        <v>10500.0</v>
      </c>
      <c r="J546" s="1"/>
      <c r="K546" s="1"/>
      <c r="L546" s="1" t="s">
        <v>1365</v>
      </c>
      <c r="M546" s="1" t="s">
        <v>3636</v>
      </c>
      <c r="N546" s="1" t="s">
        <v>109</v>
      </c>
      <c r="O546" s="1" t="s">
        <v>110</v>
      </c>
      <c r="P546" s="2" t="s">
        <v>3631</v>
      </c>
      <c r="Q546" s="1" t="s">
        <v>56</v>
      </c>
      <c r="R546" s="1"/>
      <c r="S546" s="1" t="s">
        <v>475</v>
      </c>
      <c r="T546" s="1">
        <v>3129806.0</v>
      </c>
      <c r="U546" s="1" t="s">
        <v>3613</v>
      </c>
      <c r="V546" s="1" t="s">
        <v>477</v>
      </c>
      <c r="W546" s="1" t="s">
        <v>172</v>
      </c>
      <c r="X546" s="1"/>
      <c r="Y546" s="1" t="str">
        <f>"02015000289202166"</f>
        <v>02015000289202166</v>
      </c>
      <c r="Z546" s="1" t="s">
        <v>112</v>
      </c>
      <c r="AA546" s="1" t="s">
        <v>3632</v>
      </c>
      <c r="AB546" s="1" t="str">
        <f t="shared" si="31"/>
        <v>08730265000157</v>
      </c>
      <c r="AC546" s="1"/>
      <c r="AD546" s="1"/>
      <c r="AE546" s="1"/>
      <c r="AF546" s="1">
        <v>-44.053278</v>
      </c>
      <c r="AG546" s="1">
        <v>-19.997306</v>
      </c>
      <c r="AH546" s="1" t="s">
        <v>3633</v>
      </c>
      <c r="AI546" s="1"/>
      <c r="AJ546" s="1" t="s">
        <v>1365</v>
      </c>
      <c r="AK546" s="1"/>
      <c r="AL546" s="1" t="s">
        <v>128</v>
      </c>
      <c r="AM546" s="1" t="s">
        <v>65</v>
      </c>
      <c r="AN546" s="1" t="s">
        <v>83</v>
      </c>
      <c r="AO546" s="2" t="s">
        <v>3480</v>
      </c>
      <c r="AP546" s="2" t="s">
        <v>3637</v>
      </c>
      <c r="AQ546" s="1" t="s">
        <v>132</v>
      </c>
      <c r="AR546" s="1" t="s">
        <v>1373</v>
      </c>
      <c r="AS546" s="1"/>
      <c r="AT546" s="2" t="s">
        <v>70</v>
      </c>
    </row>
    <row r="547">
      <c r="A547" s="1">
        <v>2043109.0</v>
      </c>
      <c r="B547" s="1" t="s">
        <v>116</v>
      </c>
      <c r="C547" s="1" t="s">
        <v>117</v>
      </c>
      <c r="D547" s="1" t="s">
        <v>46</v>
      </c>
      <c r="E547" s="1" t="s">
        <v>3638</v>
      </c>
      <c r="F547" s="1"/>
      <c r="G547" s="1" t="s">
        <v>119</v>
      </c>
      <c r="H547" s="1" t="s">
        <v>72</v>
      </c>
      <c r="I547" s="1">
        <v>4500.0</v>
      </c>
      <c r="J547" s="1"/>
      <c r="K547" s="1"/>
      <c r="L547" s="1" t="s">
        <v>1365</v>
      </c>
      <c r="M547" s="1" t="s">
        <v>3639</v>
      </c>
      <c r="N547" s="1" t="s">
        <v>109</v>
      </c>
      <c r="O547" s="1" t="s">
        <v>110</v>
      </c>
      <c r="P547" s="2" t="s">
        <v>3631</v>
      </c>
      <c r="Q547" s="1" t="s">
        <v>56</v>
      </c>
      <c r="R547" s="1"/>
      <c r="S547" s="1" t="s">
        <v>475</v>
      </c>
      <c r="T547" s="1">
        <v>3106200.0</v>
      </c>
      <c r="U547" s="1" t="s">
        <v>1441</v>
      </c>
      <c r="V547" s="1" t="s">
        <v>477</v>
      </c>
      <c r="W547" s="1" t="s">
        <v>172</v>
      </c>
      <c r="X547" s="1"/>
      <c r="Y547" s="1" t="str">
        <f>"02015000300202198"</f>
        <v>02015000300202198</v>
      </c>
      <c r="Z547" s="1" t="s">
        <v>112</v>
      </c>
      <c r="AA547" s="1" t="s">
        <v>3640</v>
      </c>
      <c r="AB547" s="1" t="str">
        <f t="shared" ref="AB547:AB550" si="32">"17677853000165"</f>
        <v>17677853000165</v>
      </c>
      <c r="AC547" s="1"/>
      <c r="AD547" s="1"/>
      <c r="AE547" s="1"/>
      <c r="AF547" s="1">
        <v>-44.009139</v>
      </c>
      <c r="AG547" s="1">
        <v>-19.893861</v>
      </c>
      <c r="AH547" s="1" t="s">
        <v>3641</v>
      </c>
      <c r="AI547" s="1">
        <v>643676.0</v>
      </c>
      <c r="AJ547" s="1" t="s">
        <v>1365</v>
      </c>
      <c r="AK547" s="1"/>
      <c r="AL547" s="1" t="s">
        <v>128</v>
      </c>
      <c r="AM547" s="1" t="s">
        <v>65</v>
      </c>
      <c r="AN547" s="1" t="s">
        <v>83</v>
      </c>
      <c r="AO547" s="2" t="s">
        <v>3480</v>
      </c>
      <c r="AP547" s="2" t="s">
        <v>3642</v>
      </c>
      <c r="AQ547" s="1" t="s">
        <v>132</v>
      </c>
      <c r="AR547" s="1" t="s">
        <v>1373</v>
      </c>
      <c r="AS547" s="1"/>
      <c r="AT547" s="2" t="s">
        <v>70</v>
      </c>
    </row>
    <row r="548">
      <c r="A548" s="1">
        <v>2043110.0</v>
      </c>
      <c r="B548" s="1" t="s">
        <v>116</v>
      </c>
      <c r="C548" s="1" t="s">
        <v>117</v>
      </c>
      <c r="D548" s="1" t="s">
        <v>46</v>
      </c>
      <c r="E548" s="1" t="s">
        <v>3643</v>
      </c>
      <c r="F548" s="1"/>
      <c r="G548" s="1" t="s">
        <v>119</v>
      </c>
      <c r="H548" s="1" t="s">
        <v>72</v>
      </c>
      <c r="I548" s="1">
        <v>5400.0</v>
      </c>
      <c r="J548" s="1"/>
      <c r="K548" s="1"/>
      <c r="L548" s="1" t="s">
        <v>1365</v>
      </c>
      <c r="M548" s="1" t="s">
        <v>3644</v>
      </c>
      <c r="N548" s="1" t="s">
        <v>109</v>
      </c>
      <c r="O548" s="1" t="s">
        <v>110</v>
      </c>
      <c r="P548" s="2" t="s">
        <v>3631</v>
      </c>
      <c r="Q548" s="1" t="s">
        <v>56</v>
      </c>
      <c r="R548" s="1"/>
      <c r="S548" s="1" t="s">
        <v>475</v>
      </c>
      <c r="T548" s="1">
        <v>3106200.0</v>
      </c>
      <c r="U548" s="1" t="s">
        <v>1441</v>
      </c>
      <c r="V548" s="1" t="s">
        <v>477</v>
      </c>
      <c r="W548" s="1" t="s">
        <v>172</v>
      </c>
      <c r="X548" s="1"/>
      <c r="Y548" s="1" t="str">
        <f>"02015000301202132"</f>
        <v>02015000301202132</v>
      </c>
      <c r="Z548" s="1" t="s">
        <v>112</v>
      </c>
      <c r="AA548" s="1" t="s">
        <v>3640</v>
      </c>
      <c r="AB548" s="1" t="str">
        <f t="shared" si="32"/>
        <v>17677853000165</v>
      </c>
      <c r="AC548" s="1"/>
      <c r="AD548" s="1"/>
      <c r="AE548" s="1"/>
      <c r="AF548" s="1">
        <v>-44.009139</v>
      </c>
      <c r="AG548" s="1">
        <v>-19.893861</v>
      </c>
      <c r="AH548" s="1" t="s">
        <v>3641</v>
      </c>
      <c r="AI548" s="1">
        <v>643676.0</v>
      </c>
      <c r="AJ548" s="1" t="s">
        <v>1365</v>
      </c>
      <c r="AK548" s="1"/>
      <c r="AL548" s="1" t="s">
        <v>128</v>
      </c>
      <c r="AM548" s="1" t="s">
        <v>65</v>
      </c>
      <c r="AN548" s="1" t="s">
        <v>83</v>
      </c>
      <c r="AO548" s="2" t="s">
        <v>3480</v>
      </c>
      <c r="AP548" s="2" t="s">
        <v>3645</v>
      </c>
      <c r="AQ548" s="1" t="s">
        <v>132</v>
      </c>
      <c r="AR548" s="1" t="s">
        <v>1373</v>
      </c>
      <c r="AS548" s="1"/>
      <c r="AT548" s="2" t="s">
        <v>70</v>
      </c>
    </row>
    <row r="549">
      <c r="A549" s="1">
        <v>2043112.0</v>
      </c>
      <c r="B549" s="1" t="s">
        <v>116</v>
      </c>
      <c r="C549" s="1" t="s">
        <v>117</v>
      </c>
      <c r="D549" s="1" t="s">
        <v>46</v>
      </c>
      <c r="E549" s="1" t="s">
        <v>3646</v>
      </c>
      <c r="F549" s="1"/>
      <c r="G549" s="1" t="s">
        <v>119</v>
      </c>
      <c r="H549" s="1" t="s">
        <v>72</v>
      </c>
      <c r="I549" s="1">
        <v>3600.0</v>
      </c>
      <c r="J549" s="1"/>
      <c r="K549" s="1"/>
      <c r="L549" s="1" t="s">
        <v>1365</v>
      </c>
      <c r="M549" s="1" t="s">
        <v>3647</v>
      </c>
      <c r="N549" s="1" t="s">
        <v>109</v>
      </c>
      <c r="O549" s="1" t="s">
        <v>110</v>
      </c>
      <c r="P549" s="2" t="s">
        <v>3631</v>
      </c>
      <c r="Q549" s="1" t="s">
        <v>56</v>
      </c>
      <c r="R549" s="1"/>
      <c r="S549" s="1" t="s">
        <v>475</v>
      </c>
      <c r="T549" s="1">
        <v>3106200.0</v>
      </c>
      <c r="U549" s="1" t="s">
        <v>1441</v>
      </c>
      <c r="V549" s="1" t="s">
        <v>477</v>
      </c>
      <c r="W549" s="1" t="s">
        <v>172</v>
      </c>
      <c r="X549" s="1"/>
      <c r="Y549" s="1" t="str">
        <f>"02015000302202187"</f>
        <v>02015000302202187</v>
      </c>
      <c r="Z549" s="1" t="s">
        <v>112</v>
      </c>
      <c r="AA549" s="1" t="s">
        <v>3640</v>
      </c>
      <c r="AB549" s="1" t="str">
        <f t="shared" si="32"/>
        <v>17677853000165</v>
      </c>
      <c r="AC549" s="1"/>
      <c r="AD549" s="1"/>
      <c r="AE549" s="1"/>
      <c r="AF549" s="1">
        <v>-44.009139</v>
      </c>
      <c r="AG549" s="1">
        <v>-19.893861</v>
      </c>
      <c r="AH549" s="1" t="s">
        <v>3641</v>
      </c>
      <c r="AI549" s="1">
        <v>643676.0</v>
      </c>
      <c r="AJ549" s="1" t="s">
        <v>1365</v>
      </c>
      <c r="AK549" s="1"/>
      <c r="AL549" s="1" t="s">
        <v>128</v>
      </c>
      <c r="AM549" s="1" t="s">
        <v>65</v>
      </c>
      <c r="AN549" s="1" t="s">
        <v>83</v>
      </c>
      <c r="AO549" s="2" t="s">
        <v>3480</v>
      </c>
      <c r="AP549" s="2" t="s">
        <v>3648</v>
      </c>
      <c r="AQ549" s="1" t="s">
        <v>132</v>
      </c>
      <c r="AR549" s="1" t="s">
        <v>1373</v>
      </c>
      <c r="AS549" s="1"/>
      <c r="AT549" s="2" t="s">
        <v>70</v>
      </c>
    </row>
    <row r="550">
      <c r="A550" s="1">
        <v>2043114.0</v>
      </c>
      <c r="B550" s="1" t="s">
        <v>116</v>
      </c>
      <c r="C550" s="1" t="s">
        <v>117</v>
      </c>
      <c r="D550" s="1" t="s">
        <v>46</v>
      </c>
      <c r="E550" s="1" t="s">
        <v>3649</v>
      </c>
      <c r="F550" s="1"/>
      <c r="G550" s="1" t="s">
        <v>119</v>
      </c>
      <c r="H550" s="1" t="s">
        <v>72</v>
      </c>
      <c r="I550" s="1">
        <v>3900.0</v>
      </c>
      <c r="J550" s="1"/>
      <c r="K550" s="1"/>
      <c r="L550" s="1" t="s">
        <v>1365</v>
      </c>
      <c r="M550" s="1" t="s">
        <v>3650</v>
      </c>
      <c r="N550" s="1" t="s">
        <v>109</v>
      </c>
      <c r="O550" s="1" t="s">
        <v>110</v>
      </c>
      <c r="P550" s="2" t="s">
        <v>3631</v>
      </c>
      <c r="Q550" s="1" t="s">
        <v>56</v>
      </c>
      <c r="R550" s="1"/>
      <c r="S550" s="1" t="s">
        <v>475</v>
      </c>
      <c r="T550" s="1">
        <v>3106200.0</v>
      </c>
      <c r="U550" s="1" t="s">
        <v>1441</v>
      </c>
      <c r="V550" s="1" t="s">
        <v>477</v>
      </c>
      <c r="W550" s="1" t="s">
        <v>172</v>
      </c>
      <c r="X550" s="1"/>
      <c r="Y550" s="1" t="str">
        <f>"02015000303202121"</f>
        <v>02015000303202121</v>
      </c>
      <c r="Z550" s="1" t="s">
        <v>112</v>
      </c>
      <c r="AA550" s="1" t="s">
        <v>3640</v>
      </c>
      <c r="AB550" s="1" t="str">
        <f t="shared" si="32"/>
        <v>17677853000165</v>
      </c>
      <c r="AC550" s="1"/>
      <c r="AD550" s="1"/>
      <c r="AE550" s="1"/>
      <c r="AF550" s="1">
        <v>-44.009139</v>
      </c>
      <c r="AG550" s="1">
        <v>-19.893861</v>
      </c>
      <c r="AH550" s="1" t="s">
        <v>3641</v>
      </c>
      <c r="AI550" s="1">
        <v>643676.0</v>
      </c>
      <c r="AJ550" s="1" t="s">
        <v>1365</v>
      </c>
      <c r="AK550" s="1"/>
      <c r="AL550" s="1" t="s">
        <v>128</v>
      </c>
      <c r="AM550" s="1" t="s">
        <v>65</v>
      </c>
      <c r="AN550" s="1" t="s">
        <v>83</v>
      </c>
      <c r="AO550" s="2" t="s">
        <v>3480</v>
      </c>
      <c r="AP550" s="2" t="s">
        <v>3651</v>
      </c>
      <c r="AQ550" s="1" t="s">
        <v>132</v>
      </c>
      <c r="AR550" s="1" t="s">
        <v>1373</v>
      </c>
      <c r="AS550" s="1"/>
      <c r="AT550" s="2" t="s">
        <v>70</v>
      </c>
    </row>
    <row r="551">
      <c r="A551" s="1">
        <v>2043083.0</v>
      </c>
      <c r="B551" s="1" t="s">
        <v>116</v>
      </c>
      <c r="C551" s="1" t="s">
        <v>117</v>
      </c>
      <c r="D551" s="1" t="s">
        <v>46</v>
      </c>
      <c r="E551" s="1" t="s">
        <v>3652</v>
      </c>
      <c r="F551" s="1"/>
      <c r="G551" s="1" t="s">
        <v>119</v>
      </c>
      <c r="H551" s="1" t="s">
        <v>72</v>
      </c>
      <c r="I551" s="1">
        <v>9600.0</v>
      </c>
      <c r="J551" s="1"/>
      <c r="K551" s="1"/>
      <c r="L551" s="1" t="s">
        <v>1365</v>
      </c>
      <c r="M551" s="1" t="s">
        <v>3653</v>
      </c>
      <c r="N551" s="1" t="s">
        <v>109</v>
      </c>
      <c r="O551" s="1" t="s">
        <v>110</v>
      </c>
      <c r="P551" s="2" t="s">
        <v>3654</v>
      </c>
      <c r="Q551" s="1" t="s">
        <v>56</v>
      </c>
      <c r="R551" s="1"/>
      <c r="S551" s="1" t="s">
        <v>475</v>
      </c>
      <c r="T551" s="1">
        <v>3165537.0</v>
      </c>
      <c r="U551" s="1" t="s">
        <v>3655</v>
      </c>
      <c r="V551" s="1" t="s">
        <v>477</v>
      </c>
      <c r="W551" s="1" t="s">
        <v>172</v>
      </c>
      <c r="X551" s="1"/>
      <c r="Y551" s="1" t="str">
        <f>"02015000281202108"</f>
        <v>02015000281202108</v>
      </c>
      <c r="Z551" s="1" t="s">
        <v>112</v>
      </c>
      <c r="AA551" s="1" t="s">
        <v>3656</v>
      </c>
      <c r="AB551" s="1" t="str">
        <f>"21515048000102"</f>
        <v>21515048000102</v>
      </c>
      <c r="AC551" s="1"/>
      <c r="AD551" s="1"/>
      <c r="AE551" s="1"/>
      <c r="AF551" s="1">
        <v>-44.129778</v>
      </c>
      <c r="AG551" s="1">
        <v>-20.034056</v>
      </c>
      <c r="AH551" s="1" t="s">
        <v>3657</v>
      </c>
      <c r="AI551" s="1">
        <v>643660.0</v>
      </c>
      <c r="AJ551" s="1" t="s">
        <v>1365</v>
      </c>
      <c r="AK551" s="1"/>
      <c r="AL551" s="1" t="s">
        <v>128</v>
      </c>
      <c r="AM551" s="1" t="s">
        <v>65</v>
      </c>
      <c r="AN551" s="1" t="s">
        <v>83</v>
      </c>
      <c r="AO551" s="2" t="s">
        <v>3480</v>
      </c>
      <c r="AP551" s="2" t="s">
        <v>3658</v>
      </c>
      <c r="AQ551" s="1" t="s">
        <v>132</v>
      </c>
      <c r="AR551" s="1" t="s">
        <v>1373</v>
      </c>
      <c r="AS551" s="1"/>
      <c r="AT551" s="2" t="s">
        <v>70</v>
      </c>
    </row>
    <row r="552">
      <c r="A552" s="1">
        <v>2043084.0</v>
      </c>
      <c r="B552" s="1" t="s">
        <v>116</v>
      </c>
      <c r="C552" s="1" t="s">
        <v>117</v>
      </c>
      <c r="D552" s="1" t="s">
        <v>46</v>
      </c>
      <c r="E552" s="1" t="s">
        <v>3659</v>
      </c>
      <c r="F552" s="1"/>
      <c r="G552" s="1" t="s">
        <v>119</v>
      </c>
      <c r="H552" s="1" t="s">
        <v>72</v>
      </c>
      <c r="I552" s="1">
        <v>8400.0</v>
      </c>
      <c r="J552" s="1"/>
      <c r="K552" s="1"/>
      <c r="L552" s="1" t="s">
        <v>1365</v>
      </c>
      <c r="M552" s="1" t="s">
        <v>3660</v>
      </c>
      <c r="N552" s="1" t="s">
        <v>109</v>
      </c>
      <c r="O552" s="1" t="s">
        <v>110</v>
      </c>
      <c r="P552" s="2" t="s">
        <v>3654</v>
      </c>
      <c r="Q552" s="1" t="s">
        <v>56</v>
      </c>
      <c r="R552" s="1"/>
      <c r="S552" s="1" t="s">
        <v>475</v>
      </c>
      <c r="T552" s="1">
        <v>3109006.0</v>
      </c>
      <c r="U552" s="1" t="s">
        <v>3661</v>
      </c>
      <c r="V552" s="1" t="s">
        <v>477</v>
      </c>
      <c r="W552" s="1" t="s">
        <v>172</v>
      </c>
      <c r="X552" s="1"/>
      <c r="Y552" s="1" t="str">
        <f>"02015000283202199"</f>
        <v>02015000283202199</v>
      </c>
      <c r="Z552" s="1" t="s">
        <v>112</v>
      </c>
      <c r="AA552" s="1" t="s">
        <v>3662</v>
      </c>
      <c r="AB552" s="1" t="str">
        <f>"04306546000126"</f>
        <v>04306546000126</v>
      </c>
      <c r="AC552" s="1"/>
      <c r="AD552" s="1"/>
      <c r="AE552" s="1"/>
      <c r="AF552" s="1">
        <v>-44.164444</v>
      </c>
      <c r="AG552" s="1">
        <v>-20.140667</v>
      </c>
      <c r="AH552" s="1" t="s">
        <v>3663</v>
      </c>
      <c r="AI552" s="1">
        <v>643670.0</v>
      </c>
      <c r="AJ552" s="1" t="s">
        <v>1365</v>
      </c>
      <c r="AK552" s="1"/>
      <c r="AL552" s="1" t="s">
        <v>128</v>
      </c>
      <c r="AM552" s="1" t="s">
        <v>65</v>
      </c>
      <c r="AN552" s="1" t="s">
        <v>83</v>
      </c>
      <c r="AO552" s="2" t="s">
        <v>3480</v>
      </c>
      <c r="AP552" s="2" t="s">
        <v>3664</v>
      </c>
      <c r="AQ552" s="1" t="s">
        <v>132</v>
      </c>
      <c r="AR552" s="1" t="s">
        <v>1373</v>
      </c>
      <c r="AS552" s="1"/>
      <c r="AT552" s="2" t="s">
        <v>70</v>
      </c>
    </row>
    <row r="553">
      <c r="A553" s="1">
        <v>2043086.0</v>
      </c>
      <c r="B553" s="1" t="s">
        <v>116</v>
      </c>
      <c r="C553" s="1" t="s">
        <v>117</v>
      </c>
      <c r="D553" s="1" t="s">
        <v>46</v>
      </c>
      <c r="E553" s="1" t="s">
        <v>3665</v>
      </c>
      <c r="F553" s="1"/>
      <c r="G553" s="1" t="s">
        <v>119</v>
      </c>
      <c r="H553" s="1" t="s">
        <v>72</v>
      </c>
      <c r="I553" s="1">
        <v>9600.0</v>
      </c>
      <c r="J553" s="1"/>
      <c r="K553" s="1"/>
      <c r="L553" s="1" t="s">
        <v>1365</v>
      </c>
      <c r="M553" s="1" t="s">
        <v>3666</v>
      </c>
      <c r="N553" s="1" t="s">
        <v>109</v>
      </c>
      <c r="O553" s="1" t="s">
        <v>110</v>
      </c>
      <c r="P553" s="2" t="s">
        <v>3654</v>
      </c>
      <c r="Q553" s="1" t="s">
        <v>56</v>
      </c>
      <c r="R553" s="1"/>
      <c r="S553" s="1" t="s">
        <v>475</v>
      </c>
      <c r="T553" s="1">
        <v>3129806.0</v>
      </c>
      <c r="U553" s="1" t="s">
        <v>3613</v>
      </c>
      <c r="V553" s="1" t="s">
        <v>477</v>
      </c>
      <c r="W553" s="1" t="s">
        <v>172</v>
      </c>
      <c r="X553" s="1"/>
      <c r="Y553" s="1" t="str">
        <f>"02015000284202133"</f>
        <v>02015000284202133</v>
      </c>
      <c r="Z553" s="1" t="s">
        <v>112</v>
      </c>
      <c r="AA553" s="1" t="s">
        <v>3632</v>
      </c>
      <c r="AB553" s="1" t="str">
        <f t="shared" ref="AB553:AB554" si="33">"08730265000157"</f>
        <v>08730265000157</v>
      </c>
      <c r="AC553" s="1"/>
      <c r="AD553" s="1"/>
      <c r="AE553" s="1"/>
      <c r="AF553" s="1">
        <v>-44.053278</v>
      </c>
      <c r="AG553" s="1">
        <v>-19.997306</v>
      </c>
      <c r="AH553" s="1" t="s">
        <v>3633</v>
      </c>
      <c r="AI553" s="1"/>
      <c r="AJ553" s="1" t="s">
        <v>1365</v>
      </c>
      <c r="AK553" s="1"/>
      <c r="AL553" s="1" t="s">
        <v>128</v>
      </c>
      <c r="AM553" s="1" t="s">
        <v>65</v>
      </c>
      <c r="AN553" s="1" t="s">
        <v>83</v>
      </c>
      <c r="AO553" s="2" t="s">
        <v>3480</v>
      </c>
      <c r="AP553" s="2" t="s">
        <v>3667</v>
      </c>
      <c r="AQ553" s="1" t="s">
        <v>132</v>
      </c>
      <c r="AR553" s="1" t="s">
        <v>1373</v>
      </c>
      <c r="AS553" s="1"/>
      <c r="AT553" s="2" t="s">
        <v>70</v>
      </c>
    </row>
    <row r="554">
      <c r="A554" s="1">
        <v>2043087.0</v>
      </c>
      <c r="B554" s="1" t="s">
        <v>116</v>
      </c>
      <c r="C554" s="1" t="s">
        <v>117</v>
      </c>
      <c r="D554" s="1" t="s">
        <v>46</v>
      </c>
      <c r="E554" s="1" t="s">
        <v>3668</v>
      </c>
      <c r="F554" s="1"/>
      <c r="G554" s="1" t="s">
        <v>119</v>
      </c>
      <c r="H554" s="1" t="s">
        <v>72</v>
      </c>
      <c r="I554" s="1">
        <v>9000.0</v>
      </c>
      <c r="J554" s="1"/>
      <c r="K554" s="1"/>
      <c r="L554" s="1" t="s">
        <v>1365</v>
      </c>
      <c r="M554" s="1" t="s">
        <v>3669</v>
      </c>
      <c r="N554" s="1" t="s">
        <v>109</v>
      </c>
      <c r="O554" s="1" t="s">
        <v>110</v>
      </c>
      <c r="P554" s="2" t="s">
        <v>3654</v>
      </c>
      <c r="Q554" s="1" t="s">
        <v>56</v>
      </c>
      <c r="R554" s="1"/>
      <c r="S554" s="1" t="s">
        <v>475</v>
      </c>
      <c r="T554" s="1">
        <v>3129806.0</v>
      </c>
      <c r="U554" s="1" t="s">
        <v>3613</v>
      </c>
      <c r="V554" s="1" t="s">
        <v>477</v>
      </c>
      <c r="W554" s="1" t="s">
        <v>172</v>
      </c>
      <c r="X554" s="1"/>
      <c r="Y554" s="1" t="str">
        <f>"02015000286202122"</f>
        <v>02015000286202122</v>
      </c>
      <c r="Z554" s="1" t="s">
        <v>112</v>
      </c>
      <c r="AA554" s="1" t="s">
        <v>3632</v>
      </c>
      <c r="AB554" s="1" t="str">
        <f t="shared" si="33"/>
        <v>08730265000157</v>
      </c>
      <c r="AC554" s="1"/>
      <c r="AD554" s="1"/>
      <c r="AE554" s="1"/>
      <c r="AF554" s="1">
        <v>-44.053278</v>
      </c>
      <c r="AG554" s="1">
        <v>-19.997306</v>
      </c>
      <c r="AH554" s="1" t="s">
        <v>3633</v>
      </c>
      <c r="AI554" s="1"/>
      <c r="AJ554" s="1" t="s">
        <v>1365</v>
      </c>
      <c r="AK554" s="1"/>
      <c r="AL554" s="1" t="s">
        <v>128</v>
      </c>
      <c r="AM554" s="1" t="s">
        <v>65</v>
      </c>
      <c r="AN554" s="1" t="s">
        <v>83</v>
      </c>
      <c r="AO554" s="2" t="s">
        <v>3480</v>
      </c>
      <c r="AP554" s="2" t="s">
        <v>3670</v>
      </c>
      <c r="AQ554" s="1" t="s">
        <v>132</v>
      </c>
      <c r="AR554" s="1" t="s">
        <v>1373</v>
      </c>
      <c r="AS554" s="1"/>
      <c r="AT554" s="2" t="s">
        <v>70</v>
      </c>
    </row>
    <row r="555">
      <c r="A555" s="1"/>
      <c r="B555" s="1" t="s">
        <v>46</v>
      </c>
      <c r="C555" s="1" t="s">
        <v>47</v>
      </c>
      <c r="D555" s="1"/>
      <c r="E555" s="1" t="s">
        <v>3671</v>
      </c>
      <c r="F555" s="1"/>
      <c r="G555" s="1" t="s">
        <v>49</v>
      </c>
      <c r="H555" s="1" t="s">
        <v>72</v>
      </c>
      <c r="I555" s="1">
        <v>14505.3</v>
      </c>
      <c r="J555" s="1"/>
      <c r="K555" s="1"/>
      <c r="L555" s="1"/>
      <c r="M555" s="1" t="s">
        <v>3672</v>
      </c>
      <c r="N555" s="1" t="s">
        <v>94</v>
      </c>
      <c r="O555" s="1" t="s">
        <v>95</v>
      </c>
      <c r="P555" s="2" t="s">
        <v>3673</v>
      </c>
      <c r="Q555" s="1" t="s">
        <v>56</v>
      </c>
      <c r="R555" s="1"/>
      <c r="S555" s="1" t="s">
        <v>220</v>
      </c>
      <c r="T555" s="1">
        <v>3548500.0</v>
      </c>
      <c r="U555" s="1" t="s">
        <v>360</v>
      </c>
      <c r="V555" s="1" t="s">
        <v>139</v>
      </c>
      <c r="W555" s="1" t="s">
        <v>78</v>
      </c>
      <c r="X555" s="1"/>
      <c r="Y555" s="1"/>
      <c r="Z555" s="1" t="s">
        <v>101</v>
      </c>
      <c r="AA555" s="1" t="s">
        <v>3674</v>
      </c>
      <c r="AB555" s="1" t="str">
        <f>"20334805000189"</f>
        <v>20334805000189</v>
      </c>
      <c r="AC555" s="1"/>
      <c r="AD555" s="1" t="s">
        <v>81</v>
      </c>
      <c r="AE555" s="1"/>
      <c r="AF555" s="1">
        <v>-46.305028</v>
      </c>
      <c r="AG555" s="1">
        <v>-23.980306</v>
      </c>
      <c r="AH555" s="1" t="s">
        <v>3675</v>
      </c>
      <c r="AI555" s="1"/>
      <c r="AJ555" s="1" t="s">
        <v>142</v>
      </c>
      <c r="AK555" s="1"/>
      <c r="AL555" s="1"/>
      <c r="AM555" s="1" t="s">
        <v>65</v>
      </c>
      <c r="AN555" s="1" t="s">
        <v>274</v>
      </c>
      <c r="AO555" s="1"/>
      <c r="AP555" s="2" t="s">
        <v>3676</v>
      </c>
      <c r="AQ555" s="1"/>
      <c r="AR555" s="1" t="s">
        <v>115</v>
      </c>
      <c r="AS555" s="1" t="s">
        <v>3677</v>
      </c>
      <c r="AT555" s="2" t="s">
        <v>70</v>
      </c>
    </row>
    <row r="556">
      <c r="A556" s="1">
        <v>2043081.0</v>
      </c>
      <c r="B556" s="1" t="s">
        <v>116</v>
      </c>
      <c r="C556" s="1" t="s">
        <v>117</v>
      </c>
      <c r="D556" s="1" t="s">
        <v>46</v>
      </c>
      <c r="E556" s="1" t="s">
        <v>3678</v>
      </c>
      <c r="F556" s="1"/>
      <c r="G556" s="1" t="s">
        <v>119</v>
      </c>
      <c r="H556" s="1" t="s">
        <v>72</v>
      </c>
      <c r="I556" s="1">
        <v>10200.0</v>
      </c>
      <c r="J556" s="1"/>
      <c r="K556" s="1"/>
      <c r="L556" s="1" t="s">
        <v>1365</v>
      </c>
      <c r="M556" s="1" t="s">
        <v>3679</v>
      </c>
      <c r="N556" s="1" t="s">
        <v>109</v>
      </c>
      <c r="O556" s="1" t="s">
        <v>110</v>
      </c>
      <c r="P556" s="2" t="s">
        <v>3680</v>
      </c>
      <c r="Q556" s="1" t="s">
        <v>56</v>
      </c>
      <c r="R556" s="1"/>
      <c r="S556" s="1" t="s">
        <v>475</v>
      </c>
      <c r="T556" s="1">
        <v>3165537.0</v>
      </c>
      <c r="U556" s="1" t="s">
        <v>3655</v>
      </c>
      <c r="V556" s="1" t="s">
        <v>477</v>
      </c>
      <c r="W556" s="1" t="s">
        <v>172</v>
      </c>
      <c r="X556" s="1"/>
      <c r="Y556" s="1" t="str">
        <f>"02015000280202155"</f>
        <v>02015000280202155</v>
      </c>
      <c r="Z556" s="1" t="s">
        <v>112</v>
      </c>
      <c r="AA556" s="1" t="s">
        <v>3656</v>
      </c>
      <c r="AB556" s="1" t="str">
        <f>"21515048000102"</f>
        <v>21515048000102</v>
      </c>
      <c r="AC556" s="1"/>
      <c r="AD556" s="1"/>
      <c r="AE556" s="1"/>
      <c r="AF556" s="1">
        <v>-44.129778</v>
      </c>
      <c r="AG556" s="1">
        <v>-20.034056</v>
      </c>
      <c r="AH556" s="1" t="s">
        <v>3657</v>
      </c>
      <c r="AI556" s="1">
        <v>643660.0</v>
      </c>
      <c r="AJ556" s="1" t="s">
        <v>1365</v>
      </c>
      <c r="AK556" s="1"/>
      <c r="AL556" s="1" t="s">
        <v>128</v>
      </c>
      <c r="AM556" s="1" t="s">
        <v>65</v>
      </c>
      <c r="AN556" s="1" t="s">
        <v>83</v>
      </c>
      <c r="AO556" s="2" t="s">
        <v>3480</v>
      </c>
      <c r="AP556" s="2" t="s">
        <v>3681</v>
      </c>
      <c r="AQ556" s="1" t="s">
        <v>132</v>
      </c>
      <c r="AR556" s="1" t="s">
        <v>1373</v>
      </c>
      <c r="AS556" s="1"/>
      <c r="AT556" s="2" t="s">
        <v>70</v>
      </c>
    </row>
    <row r="557">
      <c r="A557" s="1"/>
      <c r="B557" s="1" t="s">
        <v>46</v>
      </c>
      <c r="C557" s="1" t="s">
        <v>47</v>
      </c>
      <c r="D557" s="1"/>
      <c r="E557" s="1" t="s">
        <v>3682</v>
      </c>
      <c r="F557" s="1"/>
      <c r="G557" s="1" t="s">
        <v>49</v>
      </c>
      <c r="H557" s="1" t="s">
        <v>50</v>
      </c>
      <c r="I557" s="1">
        <v>110500.0</v>
      </c>
      <c r="J557" s="1"/>
      <c r="K557" s="1" t="s">
        <v>51</v>
      </c>
      <c r="L557" s="1"/>
      <c r="M557" s="1" t="s">
        <v>3683</v>
      </c>
      <c r="N557" s="1" t="s">
        <v>301</v>
      </c>
      <c r="O557" s="1" t="s">
        <v>302</v>
      </c>
      <c r="P557" s="2" t="s">
        <v>3684</v>
      </c>
      <c r="Q557" s="1" t="s">
        <v>137</v>
      </c>
      <c r="R557" s="1"/>
      <c r="S557" s="1" t="s">
        <v>1349</v>
      </c>
      <c r="T557" s="1">
        <v>1504455.0</v>
      </c>
      <c r="U557" s="1" t="s">
        <v>3685</v>
      </c>
      <c r="V557" s="1" t="s">
        <v>917</v>
      </c>
      <c r="W557" s="1" t="s">
        <v>100</v>
      </c>
      <c r="X557" s="1"/>
      <c r="Y557" s="1"/>
      <c r="Z557" s="1" t="s">
        <v>306</v>
      </c>
      <c r="AA557" s="1" t="s">
        <v>3686</v>
      </c>
      <c r="AB557" s="1" t="str">
        <f>"32796814000170"</f>
        <v>32796814000170</v>
      </c>
      <c r="AC557" s="1"/>
      <c r="AD557" s="1" t="s">
        <v>81</v>
      </c>
      <c r="AE557" s="1"/>
      <c r="AF557" s="1">
        <v>-53.140556</v>
      </c>
      <c r="AG557" s="1">
        <v>-3.516667</v>
      </c>
      <c r="AH557" s="1" t="s">
        <v>3687</v>
      </c>
      <c r="AI557" s="1"/>
      <c r="AJ557" s="1" t="s">
        <v>104</v>
      </c>
      <c r="AK557" s="1"/>
      <c r="AL557" s="1"/>
      <c r="AM557" s="1" t="s">
        <v>65</v>
      </c>
      <c r="AN557" s="1" t="s">
        <v>3688</v>
      </c>
      <c r="AO557" s="1"/>
      <c r="AP557" s="2" t="s">
        <v>3689</v>
      </c>
      <c r="AQ557" s="1"/>
      <c r="AR557" s="1" t="s">
        <v>873</v>
      </c>
      <c r="AS557" s="1"/>
      <c r="AT557" s="2" t="s">
        <v>70</v>
      </c>
    </row>
    <row r="558">
      <c r="A558" s="1">
        <v>2043396.0</v>
      </c>
      <c r="B558" s="1" t="s">
        <v>116</v>
      </c>
      <c r="C558" s="1" t="s">
        <v>117</v>
      </c>
      <c r="D558" s="1" t="s">
        <v>46</v>
      </c>
      <c r="E558" s="1" t="s">
        <v>3690</v>
      </c>
      <c r="F558" s="1"/>
      <c r="G558" s="1" t="s">
        <v>119</v>
      </c>
      <c r="H558" s="1" t="s">
        <v>72</v>
      </c>
      <c r="I558" s="1">
        <v>11000.0</v>
      </c>
      <c r="J558" s="1"/>
      <c r="K558" s="1"/>
      <c r="L558" s="1" t="s">
        <v>64</v>
      </c>
      <c r="M558" s="1" t="s">
        <v>3691</v>
      </c>
      <c r="N558" s="1" t="s">
        <v>109</v>
      </c>
      <c r="O558" s="1" t="s">
        <v>110</v>
      </c>
      <c r="P558" s="2" t="s">
        <v>3692</v>
      </c>
      <c r="Q558" s="1" t="s">
        <v>56</v>
      </c>
      <c r="R558" s="1"/>
      <c r="S558" s="1" t="s">
        <v>57</v>
      </c>
      <c r="T558" s="1">
        <v>3201902.0</v>
      </c>
      <c r="U558" s="1" t="s">
        <v>2557</v>
      </c>
      <c r="V558" s="1" t="s">
        <v>59</v>
      </c>
      <c r="W558" s="1" t="s">
        <v>78</v>
      </c>
      <c r="X558" s="1"/>
      <c r="Y558" s="1" t="str">
        <f>"02009000327202160"</f>
        <v>02009000327202160</v>
      </c>
      <c r="Z558" s="1" t="s">
        <v>112</v>
      </c>
      <c r="AA558" s="1" t="s">
        <v>3693</v>
      </c>
      <c r="AB558" s="1" t="str">
        <f>"***959337**"</f>
        <v>***959337**</v>
      </c>
      <c r="AC558" s="1"/>
      <c r="AD558" s="1"/>
      <c r="AE558" s="1"/>
      <c r="AF558" s="1">
        <v>-40.925194</v>
      </c>
      <c r="AG558" s="1">
        <v>-20.294083</v>
      </c>
      <c r="AH558" s="1" t="s">
        <v>3694</v>
      </c>
      <c r="AI558" s="1"/>
      <c r="AJ558" s="1" t="s">
        <v>64</v>
      </c>
      <c r="AK558" s="1"/>
      <c r="AL558" s="1" t="s">
        <v>128</v>
      </c>
      <c r="AM558" s="1" t="s">
        <v>65</v>
      </c>
      <c r="AN558" s="1" t="s">
        <v>83</v>
      </c>
      <c r="AO558" s="2" t="s">
        <v>2275</v>
      </c>
      <c r="AP558" s="2" t="s">
        <v>3695</v>
      </c>
      <c r="AQ558" s="1" t="s">
        <v>132</v>
      </c>
      <c r="AR558" s="1" t="s">
        <v>1545</v>
      </c>
      <c r="AS558" s="1"/>
      <c r="AT558" s="2" t="s">
        <v>70</v>
      </c>
    </row>
    <row r="559">
      <c r="A559" s="1"/>
      <c r="B559" s="1" t="s">
        <v>46</v>
      </c>
      <c r="C559" s="1" t="s">
        <v>47</v>
      </c>
      <c r="D559" s="1"/>
      <c r="E559" s="1" t="s">
        <v>3696</v>
      </c>
      <c r="F559" s="1"/>
      <c r="G559" s="1" t="s">
        <v>49</v>
      </c>
      <c r="H559" s="1" t="s">
        <v>72</v>
      </c>
      <c r="I559" s="1">
        <v>15803.7</v>
      </c>
      <c r="J559" s="1"/>
      <c r="K559" s="1"/>
      <c r="L559" s="1"/>
      <c r="M559" s="1" t="s">
        <v>3697</v>
      </c>
      <c r="N559" s="1" t="s">
        <v>109</v>
      </c>
      <c r="O559" s="1" t="s">
        <v>110</v>
      </c>
      <c r="P559" s="2" t="s">
        <v>3698</v>
      </c>
      <c r="Q559" s="1" t="s">
        <v>56</v>
      </c>
      <c r="R559" s="1"/>
      <c r="S559" s="1" t="s">
        <v>220</v>
      </c>
      <c r="T559" s="1">
        <v>3548500.0</v>
      </c>
      <c r="U559" s="1" t="s">
        <v>360</v>
      </c>
      <c r="V559" s="1" t="s">
        <v>139</v>
      </c>
      <c r="W559" s="1" t="s">
        <v>78</v>
      </c>
      <c r="X559" s="1"/>
      <c r="Y559" s="1"/>
      <c r="Z559" s="1" t="s">
        <v>112</v>
      </c>
      <c r="AA559" s="1" t="s">
        <v>3674</v>
      </c>
      <c r="AB559" s="1" t="str">
        <f t="shared" ref="AB559:AB561" si="34">"20334805000189"</f>
        <v>20334805000189</v>
      </c>
      <c r="AC559" s="1"/>
      <c r="AD559" s="1" t="s">
        <v>81</v>
      </c>
      <c r="AE559" s="1"/>
      <c r="AF559" s="1">
        <v>-46.305028</v>
      </c>
      <c r="AG559" s="1">
        <v>-23.980306</v>
      </c>
      <c r="AH559" s="1" t="s">
        <v>3675</v>
      </c>
      <c r="AI559" s="1"/>
      <c r="AJ559" s="1" t="s">
        <v>142</v>
      </c>
      <c r="AK559" s="1"/>
      <c r="AL559" s="1"/>
      <c r="AM559" s="1" t="s">
        <v>65</v>
      </c>
      <c r="AN559" s="1" t="s">
        <v>274</v>
      </c>
      <c r="AO559" s="1"/>
      <c r="AP559" s="2" t="s">
        <v>3699</v>
      </c>
      <c r="AQ559" s="1"/>
      <c r="AR559" s="1" t="s">
        <v>115</v>
      </c>
      <c r="AS559" s="1" t="s">
        <v>3700</v>
      </c>
      <c r="AT559" s="2" t="s">
        <v>70</v>
      </c>
    </row>
    <row r="560">
      <c r="A560" s="1"/>
      <c r="B560" s="1" t="s">
        <v>46</v>
      </c>
      <c r="C560" s="1" t="s">
        <v>47</v>
      </c>
      <c r="D560" s="1"/>
      <c r="E560" s="1" t="s">
        <v>3701</v>
      </c>
      <c r="F560" s="1"/>
      <c r="G560" s="1" t="s">
        <v>49</v>
      </c>
      <c r="H560" s="1" t="s">
        <v>72</v>
      </c>
      <c r="I560" s="1">
        <v>15746.1</v>
      </c>
      <c r="J560" s="1"/>
      <c r="K560" s="1"/>
      <c r="L560" s="1"/>
      <c r="M560" s="1" t="s">
        <v>3702</v>
      </c>
      <c r="N560" s="1" t="s">
        <v>94</v>
      </c>
      <c r="O560" s="1" t="s">
        <v>95</v>
      </c>
      <c r="P560" s="2" t="s">
        <v>3703</v>
      </c>
      <c r="Q560" s="1" t="s">
        <v>56</v>
      </c>
      <c r="R560" s="1"/>
      <c r="S560" s="1" t="s">
        <v>220</v>
      </c>
      <c r="T560" s="1">
        <v>3548500.0</v>
      </c>
      <c r="U560" s="1" t="s">
        <v>360</v>
      </c>
      <c r="V560" s="1" t="s">
        <v>139</v>
      </c>
      <c r="W560" s="1" t="s">
        <v>78</v>
      </c>
      <c r="X560" s="1"/>
      <c r="Y560" s="1"/>
      <c r="Z560" s="1" t="s">
        <v>101</v>
      </c>
      <c r="AA560" s="1" t="s">
        <v>3674</v>
      </c>
      <c r="AB560" s="1" t="str">
        <f t="shared" si="34"/>
        <v>20334805000189</v>
      </c>
      <c r="AC560" s="1"/>
      <c r="AD560" s="1" t="s">
        <v>81</v>
      </c>
      <c r="AE560" s="1"/>
      <c r="AF560" s="1">
        <v>-46.305028</v>
      </c>
      <c r="AG560" s="1">
        <v>-23.980306</v>
      </c>
      <c r="AH560" s="1" t="s">
        <v>3675</v>
      </c>
      <c r="AI560" s="1"/>
      <c r="AJ560" s="1" t="s">
        <v>142</v>
      </c>
      <c r="AK560" s="1"/>
      <c r="AL560" s="1"/>
      <c r="AM560" s="1" t="s">
        <v>65</v>
      </c>
      <c r="AN560" s="1" t="s">
        <v>274</v>
      </c>
      <c r="AO560" s="1"/>
      <c r="AP560" s="2" t="s">
        <v>3704</v>
      </c>
      <c r="AQ560" s="1"/>
      <c r="AR560" s="1" t="s">
        <v>115</v>
      </c>
      <c r="AS560" s="1" t="s">
        <v>3700</v>
      </c>
      <c r="AT560" s="2" t="s">
        <v>70</v>
      </c>
    </row>
    <row r="561">
      <c r="A561" s="1"/>
      <c r="B561" s="1" t="s">
        <v>46</v>
      </c>
      <c r="C561" s="1" t="s">
        <v>47</v>
      </c>
      <c r="D561" s="1"/>
      <c r="E561" s="1" t="s">
        <v>3705</v>
      </c>
      <c r="F561" s="1"/>
      <c r="G561" s="1" t="s">
        <v>49</v>
      </c>
      <c r="H561" s="1" t="s">
        <v>72</v>
      </c>
      <c r="I561" s="1">
        <v>15711.0</v>
      </c>
      <c r="J561" s="1"/>
      <c r="K561" s="1"/>
      <c r="L561" s="1"/>
      <c r="M561" s="1" t="s">
        <v>3706</v>
      </c>
      <c r="N561" s="1" t="s">
        <v>94</v>
      </c>
      <c r="O561" s="1" t="s">
        <v>95</v>
      </c>
      <c r="P561" s="2" t="s">
        <v>3707</v>
      </c>
      <c r="Q561" s="1" t="s">
        <v>56</v>
      </c>
      <c r="R561" s="1"/>
      <c r="S561" s="1" t="s">
        <v>220</v>
      </c>
      <c r="T561" s="1">
        <v>3548500.0</v>
      </c>
      <c r="U561" s="1" t="s">
        <v>360</v>
      </c>
      <c r="V561" s="1" t="s">
        <v>139</v>
      </c>
      <c r="W561" s="1" t="s">
        <v>78</v>
      </c>
      <c r="X561" s="1"/>
      <c r="Y561" s="1"/>
      <c r="Z561" s="1" t="s">
        <v>101</v>
      </c>
      <c r="AA561" s="1" t="s">
        <v>3674</v>
      </c>
      <c r="AB561" s="1" t="str">
        <f t="shared" si="34"/>
        <v>20334805000189</v>
      </c>
      <c r="AC561" s="1"/>
      <c r="AD561" s="1" t="s">
        <v>81</v>
      </c>
      <c r="AE561" s="1"/>
      <c r="AF561" s="1">
        <v>-46.305028</v>
      </c>
      <c r="AG561" s="1">
        <v>-23.980306</v>
      </c>
      <c r="AH561" s="1" t="s">
        <v>3675</v>
      </c>
      <c r="AI561" s="1"/>
      <c r="AJ561" s="1" t="s">
        <v>142</v>
      </c>
      <c r="AK561" s="1"/>
      <c r="AL561" s="1"/>
      <c r="AM561" s="1" t="s">
        <v>65</v>
      </c>
      <c r="AN561" s="1" t="s">
        <v>274</v>
      </c>
      <c r="AO561" s="1"/>
      <c r="AP561" s="2" t="s">
        <v>3708</v>
      </c>
      <c r="AQ561" s="1"/>
      <c r="AR561" s="1" t="s">
        <v>115</v>
      </c>
      <c r="AS561" s="1" t="s">
        <v>3700</v>
      </c>
      <c r="AT561" s="2" t="s">
        <v>70</v>
      </c>
    </row>
    <row r="562">
      <c r="A562" s="1">
        <v>2043052.0</v>
      </c>
      <c r="B562" s="1" t="s">
        <v>116</v>
      </c>
      <c r="C562" s="1" t="s">
        <v>117</v>
      </c>
      <c r="D562" s="1" t="s">
        <v>46</v>
      </c>
      <c r="E562" s="1" t="s">
        <v>3709</v>
      </c>
      <c r="F562" s="1"/>
      <c r="G562" s="1" t="s">
        <v>119</v>
      </c>
      <c r="H562" s="1" t="s">
        <v>72</v>
      </c>
      <c r="I562" s="1">
        <v>9900.0</v>
      </c>
      <c r="J562" s="1"/>
      <c r="K562" s="1"/>
      <c r="L562" s="1" t="s">
        <v>1365</v>
      </c>
      <c r="M562" s="1" t="s">
        <v>3710</v>
      </c>
      <c r="N562" s="1" t="s">
        <v>109</v>
      </c>
      <c r="O562" s="1" t="s">
        <v>110</v>
      </c>
      <c r="P562" s="2" t="s">
        <v>3711</v>
      </c>
      <c r="Q562" s="1" t="s">
        <v>56</v>
      </c>
      <c r="R562" s="1"/>
      <c r="S562" s="1" t="s">
        <v>475</v>
      </c>
      <c r="T562" s="1">
        <v>3157807.0</v>
      </c>
      <c r="U562" s="1" t="s">
        <v>1376</v>
      </c>
      <c r="V562" s="1" t="s">
        <v>477</v>
      </c>
      <c r="W562" s="1" t="s">
        <v>172</v>
      </c>
      <c r="X562" s="1"/>
      <c r="Y562" s="1" t="str">
        <f>"02015000269202195"</f>
        <v>02015000269202195</v>
      </c>
      <c r="Z562" s="1" t="s">
        <v>112</v>
      </c>
      <c r="AA562" s="1" t="s">
        <v>3712</v>
      </c>
      <c r="AB562" s="1" t="str">
        <f>"02459963000183"</f>
        <v>02459963000183</v>
      </c>
      <c r="AC562" s="1"/>
      <c r="AD562" s="1"/>
      <c r="AE562" s="1"/>
      <c r="AF562" s="1">
        <v>-43.87825</v>
      </c>
      <c r="AG562" s="1">
        <v>-19.786111</v>
      </c>
      <c r="AH562" s="1" t="s">
        <v>3713</v>
      </c>
      <c r="AI562" s="1">
        <v>643663.0</v>
      </c>
      <c r="AJ562" s="1" t="s">
        <v>1365</v>
      </c>
      <c r="AK562" s="1"/>
      <c r="AL562" s="1" t="s">
        <v>128</v>
      </c>
      <c r="AM562" s="1" t="s">
        <v>65</v>
      </c>
      <c r="AN562" s="1" t="s">
        <v>83</v>
      </c>
      <c r="AO562" s="2" t="s">
        <v>3598</v>
      </c>
      <c r="AP562" s="2" t="s">
        <v>3714</v>
      </c>
      <c r="AQ562" s="1" t="s">
        <v>132</v>
      </c>
      <c r="AR562" s="1" t="s">
        <v>1373</v>
      </c>
      <c r="AS562" s="1"/>
      <c r="AT562" s="2" t="s">
        <v>70</v>
      </c>
    </row>
    <row r="563">
      <c r="A563" s="1">
        <v>2043186.0</v>
      </c>
      <c r="B563" s="1" t="s">
        <v>116</v>
      </c>
      <c r="C563" s="1" t="s">
        <v>117</v>
      </c>
      <c r="D563" s="1" t="s">
        <v>46</v>
      </c>
      <c r="E563" s="1" t="s">
        <v>3715</v>
      </c>
      <c r="F563" s="1"/>
      <c r="G563" s="1" t="s">
        <v>119</v>
      </c>
      <c r="H563" s="1" t="s">
        <v>72</v>
      </c>
      <c r="I563" s="1">
        <v>150.0</v>
      </c>
      <c r="J563" s="1"/>
      <c r="K563" s="1"/>
      <c r="L563" s="1" t="s">
        <v>120</v>
      </c>
      <c r="M563" s="1" t="s">
        <v>3716</v>
      </c>
      <c r="N563" s="1" t="s">
        <v>186</v>
      </c>
      <c r="O563" s="1" t="s">
        <v>95</v>
      </c>
      <c r="P563" s="2" t="s">
        <v>3711</v>
      </c>
      <c r="Q563" s="1" t="s">
        <v>56</v>
      </c>
      <c r="R563" s="1"/>
      <c r="S563" s="1" t="s">
        <v>784</v>
      </c>
      <c r="T563" s="1">
        <v>4207502.0</v>
      </c>
      <c r="U563" s="1" t="s">
        <v>3717</v>
      </c>
      <c r="V563" s="1" t="s">
        <v>222</v>
      </c>
      <c r="W563" s="1" t="s">
        <v>314</v>
      </c>
      <c r="X563" s="1"/>
      <c r="Y563" s="1" t="str">
        <f>"02001002417202165"</f>
        <v>02001002417202165</v>
      </c>
      <c r="Z563" s="1" t="s">
        <v>101</v>
      </c>
      <c r="AA563" s="1" t="s">
        <v>3718</v>
      </c>
      <c r="AB563" s="1" t="str">
        <f>"21404906000141"</f>
        <v>21404906000141</v>
      </c>
      <c r="AC563" s="1"/>
      <c r="AD563" s="1"/>
      <c r="AE563" s="1"/>
      <c r="AF563" s="1">
        <v>-49.177</v>
      </c>
      <c r="AG563" s="1">
        <v>-26.881306</v>
      </c>
      <c r="AH563" s="1" t="s">
        <v>3718</v>
      </c>
      <c r="AI563" s="1"/>
      <c r="AJ563" s="1" t="s">
        <v>120</v>
      </c>
      <c r="AK563" s="1"/>
      <c r="AL563" s="1" t="s">
        <v>128</v>
      </c>
      <c r="AM563" s="1" t="s">
        <v>65</v>
      </c>
      <c r="AN563" s="1" t="s">
        <v>296</v>
      </c>
      <c r="AO563" s="2" t="s">
        <v>2903</v>
      </c>
      <c r="AP563" s="2" t="s">
        <v>3719</v>
      </c>
      <c r="AQ563" s="1" t="s">
        <v>132</v>
      </c>
      <c r="AR563" s="1" t="s">
        <v>952</v>
      </c>
      <c r="AS563" s="1" t="s">
        <v>3720</v>
      </c>
      <c r="AT563" s="2" t="s">
        <v>70</v>
      </c>
    </row>
    <row r="564">
      <c r="A564" s="1"/>
      <c r="B564" s="1" t="s">
        <v>46</v>
      </c>
      <c r="C564" s="1" t="s">
        <v>47</v>
      </c>
      <c r="D564" s="1"/>
      <c r="E564" s="1" t="s">
        <v>3721</v>
      </c>
      <c r="F564" s="1"/>
      <c r="G564" s="1" t="s">
        <v>49</v>
      </c>
      <c r="H564" s="1" t="s">
        <v>50</v>
      </c>
      <c r="I564" s="1">
        <v>52500.0</v>
      </c>
      <c r="J564" s="1"/>
      <c r="K564" s="1" t="s">
        <v>51</v>
      </c>
      <c r="L564" s="1"/>
      <c r="M564" s="1" t="s">
        <v>3722</v>
      </c>
      <c r="N564" s="1" t="s">
        <v>94</v>
      </c>
      <c r="O564" s="1" t="s">
        <v>95</v>
      </c>
      <c r="P564" s="2" t="s">
        <v>3723</v>
      </c>
      <c r="Q564" s="1" t="s">
        <v>56</v>
      </c>
      <c r="R564" s="1"/>
      <c r="S564" s="1" t="s">
        <v>220</v>
      </c>
      <c r="T564" s="1">
        <v>5107925.0</v>
      </c>
      <c r="U564" s="1" t="s">
        <v>3724</v>
      </c>
      <c r="V564" s="1" t="s">
        <v>323</v>
      </c>
      <c r="W564" s="1" t="s">
        <v>100</v>
      </c>
      <c r="X564" s="1"/>
      <c r="Y564" s="1"/>
      <c r="Z564" s="1" t="s">
        <v>101</v>
      </c>
      <c r="AA564" s="1" t="s">
        <v>3725</v>
      </c>
      <c r="AB564" s="1" t="str">
        <f>"34985165000181"</f>
        <v>34985165000181</v>
      </c>
      <c r="AC564" s="1"/>
      <c r="AD564" s="1" t="s">
        <v>81</v>
      </c>
      <c r="AE564" s="1"/>
      <c r="AF564" s="1">
        <v>-55.81125</v>
      </c>
      <c r="AG564" s="1">
        <v>-12.697694</v>
      </c>
      <c r="AH564" s="1" t="s">
        <v>3726</v>
      </c>
      <c r="AI564" s="1"/>
      <c r="AJ564" s="1" t="s">
        <v>327</v>
      </c>
      <c r="AK564" s="1"/>
      <c r="AL564" s="1"/>
      <c r="AM564" s="1" t="s">
        <v>65</v>
      </c>
      <c r="AN564" s="1" t="s">
        <v>83</v>
      </c>
      <c r="AO564" s="1"/>
      <c r="AP564" s="2" t="s">
        <v>3727</v>
      </c>
      <c r="AQ564" s="1"/>
      <c r="AR564" s="1" t="s">
        <v>106</v>
      </c>
      <c r="AS564" s="1"/>
      <c r="AT564" s="2" t="s">
        <v>70</v>
      </c>
    </row>
    <row r="565">
      <c r="A565" s="1"/>
      <c r="B565" s="1" t="s">
        <v>46</v>
      </c>
      <c r="C565" s="1" t="s">
        <v>47</v>
      </c>
      <c r="D565" s="1"/>
      <c r="E565" s="1" t="s">
        <v>3728</v>
      </c>
      <c r="F565" s="1"/>
      <c r="G565" s="1" t="s">
        <v>49</v>
      </c>
      <c r="H565" s="1" t="s">
        <v>50</v>
      </c>
      <c r="I565" s="1">
        <v>13700.0</v>
      </c>
      <c r="J565" s="1"/>
      <c r="K565" s="1" t="s">
        <v>92</v>
      </c>
      <c r="L565" s="1"/>
      <c r="M565" s="1" t="s">
        <v>3729</v>
      </c>
      <c r="N565" s="1" t="s">
        <v>74</v>
      </c>
      <c r="O565" s="1" t="s">
        <v>75</v>
      </c>
      <c r="P565" s="2" t="s">
        <v>3730</v>
      </c>
      <c r="Q565" s="1" t="s">
        <v>56</v>
      </c>
      <c r="R565" s="2" t="s">
        <v>3731</v>
      </c>
      <c r="S565" s="1" t="s">
        <v>220</v>
      </c>
      <c r="T565" s="1">
        <v>2304400.0</v>
      </c>
      <c r="U565" s="1" t="s">
        <v>592</v>
      </c>
      <c r="V565" s="1" t="s">
        <v>439</v>
      </c>
      <c r="W565" s="1" t="s">
        <v>60</v>
      </c>
      <c r="X565" s="1"/>
      <c r="Y565" s="1"/>
      <c r="Z565" s="1" t="s">
        <v>79</v>
      </c>
      <c r="AA565" s="1" t="s">
        <v>3732</v>
      </c>
      <c r="AB565" s="1" t="str">
        <f>"28515293000169"</f>
        <v>28515293000169</v>
      </c>
      <c r="AC565" s="1"/>
      <c r="AD565" s="1" t="s">
        <v>81</v>
      </c>
      <c r="AE565" s="1"/>
      <c r="AF565" s="1">
        <v>-38.521389</v>
      </c>
      <c r="AG565" s="1">
        <v>-3.751944</v>
      </c>
      <c r="AH565" s="1" t="s">
        <v>3733</v>
      </c>
      <c r="AI565" s="1"/>
      <c r="AJ565" s="1" t="s">
        <v>442</v>
      </c>
      <c r="AK565" s="1"/>
      <c r="AL565" s="1"/>
      <c r="AM565" s="1" t="s">
        <v>65</v>
      </c>
      <c r="AN565" s="1" t="s">
        <v>3734</v>
      </c>
      <c r="AO565" s="1"/>
      <c r="AP565" s="2" t="s">
        <v>3735</v>
      </c>
      <c r="AQ565" s="1"/>
      <c r="AR565" s="1" t="s">
        <v>3736</v>
      </c>
      <c r="AS565" s="1"/>
      <c r="AT565" s="2" t="s">
        <v>70</v>
      </c>
    </row>
    <row r="566">
      <c r="A566" s="1">
        <v>2043030.0</v>
      </c>
      <c r="B566" s="1" t="s">
        <v>116</v>
      </c>
      <c r="C566" s="1" t="s">
        <v>117</v>
      </c>
      <c r="D566" s="1" t="s">
        <v>46</v>
      </c>
      <c r="E566" s="1" t="s">
        <v>3737</v>
      </c>
      <c r="F566" s="1"/>
      <c r="G566" s="1" t="s">
        <v>119</v>
      </c>
      <c r="H566" s="1" t="s">
        <v>50</v>
      </c>
      <c r="I566" s="1">
        <v>10500.0</v>
      </c>
      <c r="J566" s="1"/>
      <c r="K566" s="1"/>
      <c r="L566" s="1" t="s">
        <v>1336</v>
      </c>
      <c r="M566" s="1" t="s">
        <v>3738</v>
      </c>
      <c r="N566" s="1" t="s">
        <v>257</v>
      </c>
      <c r="O566" s="1" t="s">
        <v>258</v>
      </c>
      <c r="P566" s="2" t="s">
        <v>3739</v>
      </c>
      <c r="Q566" s="1" t="s">
        <v>137</v>
      </c>
      <c r="R566" s="1"/>
      <c r="S566" s="1" t="s">
        <v>280</v>
      </c>
      <c r="T566" s="1">
        <v>3509502.0</v>
      </c>
      <c r="U566" s="1" t="s">
        <v>1339</v>
      </c>
      <c r="V566" s="1" t="s">
        <v>139</v>
      </c>
      <c r="W566" s="1" t="s">
        <v>78</v>
      </c>
      <c r="X566" s="1"/>
      <c r="Y566" s="1" t="str">
        <f>"02285000033202179"</f>
        <v>02285000033202179</v>
      </c>
      <c r="Z566" s="1" t="s">
        <v>260</v>
      </c>
      <c r="AA566" s="1" t="s">
        <v>3740</v>
      </c>
      <c r="AB566" s="1" t="str">
        <f>"10754971000180"</f>
        <v>10754971000180</v>
      </c>
      <c r="AC566" s="1"/>
      <c r="AD566" s="1"/>
      <c r="AE566" s="1"/>
      <c r="AF566" s="1">
        <v>-47.144444</v>
      </c>
      <c r="AG566" s="1">
        <v>-23.007778</v>
      </c>
      <c r="AH566" s="1" t="s">
        <v>3741</v>
      </c>
      <c r="AI566" s="1"/>
      <c r="AJ566" s="1" t="s">
        <v>1336</v>
      </c>
      <c r="AK566" s="1"/>
      <c r="AL566" s="1" t="s">
        <v>128</v>
      </c>
      <c r="AM566" s="1" t="s">
        <v>65</v>
      </c>
      <c r="AN566" s="1" t="s">
        <v>1342</v>
      </c>
      <c r="AO566" s="2" t="s">
        <v>3598</v>
      </c>
      <c r="AP566" s="2" t="s">
        <v>3742</v>
      </c>
      <c r="AQ566" s="1" t="s">
        <v>132</v>
      </c>
      <c r="AR566" s="1" t="s">
        <v>1242</v>
      </c>
      <c r="AS566" s="1"/>
      <c r="AT566" s="2" t="s">
        <v>70</v>
      </c>
    </row>
    <row r="567">
      <c r="A567" s="1">
        <v>2043048.0</v>
      </c>
      <c r="B567" s="1" t="s">
        <v>116</v>
      </c>
      <c r="C567" s="1" t="s">
        <v>117</v>
      </c>
      <c r="D567" s="1" t="s">
        <v>46</v>
      </c>
      <c r="E567" s="1" t="s">
        <v>3743</v>
      </c>
      <c r="F567" s="1"/>
      <c r="G567" s="1" t="s">
        <v>119</v>
      </c>
      <c r="H567" s="1" t="s">
        <v>72</v>
      </c>
      <c r="I567" s="1">
        <v>4500.0</v>
      </c>
      <c r="J567" s="1"/>
      <c r="K567" s="1"/>
      <c r="L567" s="1" t="s">
        <v>1365</v>
      </c>
      <c r="M567" s="1" t="s">
        <v>3744</v>
      </c>
      <c r="N567" s="1" t="s">
        <v>109</v>
      </c>
      <c r="O567" s="1" t="s">
        <v>110</v>
      </c>
      <c r="P567" s="2" t="s">
        <v>3739</v>
      </c>
      <c r="Q567" s="1" t="s">
        <v>56</v>
      </c>
      <c r="R567" s="1"/>
      <c r="S567" s="1" t="s">
        <v>475</v>
      </c>
      <c r="T567" s="1">
        <v>3157807.0</v>
      </c>
      <c r="U567" s="1" t="s">
        <v>1376</v>
      </c>
      <c r="V567" s="1" t="s">
        <v>477</v>
      </c>
      <c r="W567" s="1" t="s">
        <v>172</v>
      </c>
      <c r="X567" s="1"/>
      <c r="Y567" s="1" t="str">
        <f>"02015000265202115"</f>
        <v>02015000265202115</v>
      </c>
      <c r="Z567" s="1" t="s">
        <v>112</v>
      </c>
      <c r="AA567" s="1" t="s">
        <v>3712</v>
      </c>
      <c r="AB567" s="1" t="str">
        <f t="shared" ref="AB567:AB570" si="35">"02459963000183"</f>
        <v>02459963000183</v>
      </c>
      <c r="AC567" s="1"/>
      <c r="AD567" s="1"/>
      <c r="AE567" s="1"/>
      <c r="AF567" s="1">
        <v>-43.87825</v>
      </c>
      <c r="AG567" s="1">
        <v>-19.786111</v>
      </c>
      <c r="AH567" s="1" t="s">
        <v>3713</v>
      </c>
      <c r="AI567" s="1">
        <v>643663.0</v>
      </c>
      <c r="AJ567" s="1" t="s">
        <v>1365</v>
      </c>
      <c r="AK567" s="1"/>
      <c r="AL567" s="1" t="s">
        <v>128</v>
      </c>
      <c r="AM567" s="1" t="s">
        <v>65</v>
      </c>
      <c r="AN567" s="1" t="s">
        <v>83</v>
      </c>
      <c r="AO567" s="2" t="s">
        <v>3598</v>
      </c>
      <c r="AP567" s="2" t="s">
        <v>3745</v>
      </c>
      <c r="AQ567" s="1" t="s">
        <v>132</v>
      </c>
      <c r="AR567" s="1" t="s">
        <v>1373</v>
      </c>
      <c r="AS567" s="1"/>
      <c r="AT567" s="2" t="s">
        <v>70</v>
      </c>
    </row>
    <row r="568">
      <c r="A568" s="1">
        <v>2043049.0</v>
      </c>
      <c r="B568" s="1" t="s">
        <v>116</v>
      </c>
      <c r="C568" s="1" t="s">
        <v>117</v>
      </c>
      <c r="D568" s="1" t="s">
        <v>46</v>
      </c>
      <c r="E568" s="1" t="s">
        <v>3746</v>
      </c>
      <c r="F568" s="1"/>
      <c r="G568" s="1" t="s">
        <v>119</v>
      </c>
      <c r="H568" s="1" t="s">
        <v>72</v>
      </c>
      <c r="I568" s="1">
        <v>4800.0</v>
      </c>
      <c r="J568" s="1"/>
      <c r="K568" s="1"/>
      <c r="L568" s="1" t="s">
        <v>1365</v>
      </c>
      <c r="M568" s="1" t="s">
        <v>3747</v>
      </c>
      <c r="N568" s="1" t="s">
        <v>109</v>
      </c>
      <c r="O568" s="1" t="s">
        <v>110</v>
      </c>
      <c r="P568" s="2" t="s">
        <v>3739</v>
      </c>
      <c r="Q568" s="1" t="s">
        <v>56</v>
      </c>
      <c r="R568" s="1"/>
      <c r="S568" s="1" t="s">
        <v>475</v>
      </c>
      <c r="T568" s="1">
        <v>3157807.0</v>
      </c>
      <c r="U568" s="1" t="s">
        <v>1376</v>
      </c>
      <c r="V568" s="1" t="s">
        <v>477</v>
      </c>
      <c r="W568" s="1" t="s">
        <v>172</v>
      </c>
      <c r="X568" s="1"/>
      <c r="Y568" s="1" t="str">
        <f>"02015000266202151"</f>
        <v>02015000266202151</v>
      </c>
      <c r="Z568" s="1" t="s">
        <v>112</v>
      </c>
      <c r="AA568" s="1" t="s">
        <v>3712</v>
      </c>
      <c r="AB568" s="1" t="str">
        <f t="shared" si="35"/>
        <v>02459963000183</v>
      </c>
      <c r="AC568" s="1"/>
      <c r="AD568" s="1"/>
      <c r="AE568" s="1"/>
      <c r="AF568" s="1">
        <v>-43.87825</v>
      </c>
      <c r="AG568" s="1">
        <v>-19.786111</v>
      </c>
      <c r="AH568" s="1" t="s">
        <v>3713</v>
      </c>
      <c r="AI568" s="1">
        <v>643663.0</v>
      </c>
      <c r="AJ568" s="1" t="s">
        <v>1365</v>
      </c>
      <c r="AK568" s="1"/>
      <c r="AL568" s="1" t="s">
        <v>128</v>
      </c>
      <c r="AM568" s="1" t="s">
        <v>65</v>
      </c>
      <c r="AN568" s="1" t="s">
        <v>83</v>
      </c>
      <c r="AO568" s="2" t="s">
        <v>3598</v>
      </c>
      <c r="AP568" s="2" t="s">
        <v>3748</v>
      </c>
      <c r="AQ568" s="1" t="s">
        <v>132</v>
      </c>
      <c r="AR568" s="1" t="s">
        <v>1373</v>
      </c>
      <c r="AS568" s="1"/>
      <c r="AT568" s="2" t="s">
        <v>70</v>
      </c>
    </row>
    <row r="569">
      <c r="A569" s="1">
        <v>2043050.0</v>
      </c>
      <c r="B569" s="1" t="s">
        <v>116</v>
      </c>
      <c r="C569" s="1" t="s">
        <v>117</v>
      </c>
      <c r="D569" s="1" t="s">
        <v>46</v>
      </c>
      <c r="E569" s="1" t="s">
        <v>3749</v>
      </c>
      <c r="F569" s="1"/>
      <c r="G569" s="1" t="s">
        <v>119</v>
      </c>
      <c r="H569" s="1" t="s">
        <v>72</v>
      </c>
      <c r="I569" s="1">
        <v>3000.0</v>
      </c>
      <c r="J569" s="1"/>
      <c r="K569" s="1"/>
      <c r="L569" s="1" t="s">
        <v>1365</v>
      </c>
      <c r="M569" s="1" t="s">
        <v>3750</v>
      </c>
      <c r="N569" s="1" t="s">
        <v>109</v>
      </c>
      <c r="O569" s="1" t="s">
        <v>110</v>
      </c>
      <c r="P569" s="2" t="s">
        <v>3739</v>
      </c>
      <c r="Q569" s="1" t="s">
        <v>56</v>
      </c>
      <c r="R569" s="1"/>
      <c r="S569" s="1" t="s">
        <v>475</v>
      </c>
      <c r="T569" s="1">
        <v>3157807.0</v>
      </c>
      <c r="U569" s="1" t="s">
        <v>1376</v>
      </c>
      <c r="V569" s="1" t="s">
        <v>477</v>
      </c>
      <c r="W569" s="1" t="s">
        <v>172</v>
      </c>
      <c r="X569" s="1"/>
      <c r="Y569" s="1" t="str">
        <f>"02015000267202104"</f>
        <v>02015000267202104</v>
      </c>
      <c r="Z569" s="1" t="s">
        <v>112</v>
      </c>
      <c r="AA569" s="1" t="s">
        <v>3712</v>
      </c>
      <c r="AB569" s="1" t="str">
        <f t="shared" si="35"/>
        <v>02459963000183</v>
      </c>
      <c r="AC569" s="1"/>
      <c r="AD569" s="1"/>
      <c r="AE569" s="1"/>
      <c r="AF569" s="1">
        <v>-43.87825</v>
      </c>
      <c r="AG569" s="1">
        <v>-19.786111</v>
      </c>
      <c r="AH569" s="1" t="s">
        <v>3713</v>
      </c>
      <c r="AI569" s="1">
        <v>643663.0</v>
      </c>
      <c r="AJ569" s="1" t="s">
        <v>1365</v>
      </c>
      <c r="AK569" s="1"/>
      <c r="AL569" s="1" t="s">
        <v>128</v>
      </c>
      <c r="AM569" s="1" t="s">
        <v>65</v>
      </c>
      <c r="AN569" s="1" t="s">
        <v>83</v>
      </c>
      <c r="AO569" s="2" t="s">
        <v>3598</v>
      </c>
      <c r="AP569" s="2" t="s">
        <v>3751</v>
      </c>
      <c r="AQ569" s="1" t="s">
        <v>132</v>
      </c>
      <c r="AR569" s="1" t="s">
        <v>1373</v>
      </c>
      <c r="AS569" s="1"/>
      <c r="AT569" s="2" t="s">
        <v>70</v>
      </c>
    </row>
    <row r="570">
      <c r="A570" s="1">
        <v>2043051.0</v>
      </c>
      <c r="B570" s="1" t="s">
        <v>116</v>
      </c>
      <c r="C570" s="1" t="s">
        <v>117</v>
      </c>
      <c r="D570" s="1" t="s">
        <v>46</v>
      </c>
      <c r="E570" s="1" t="s">
        <v>3752</v>
      </c>
      <c r="F570" s="1"/>
      <c r="G570" s="1" t="s">
        <v>119</v>
      </c>
      <c r="H570" s="1" t="s">
        <v>72</v>
      </c>
      <c r="I570" s="1">
        <v>9300.0</v>
      </c>
      <c r="J570" s="1"/>
      <c r="K570" s="1"/>
      <c r="L570" s="1" t="s">
        <v>1365</v>
      </c>
      <c r="M570" s="1" t="s">
        <v>3753</v>
      </c>
      <c r="N570" s="1" t="s">
        <v>109</v>
      </c>
      <c r="O570" s="1" t="s">
        <v>110</v>
      </c>
      <c r="P570" s="2" t="s">
        <v>3739</v>
      </c>
      <c r="Q570" s="1" t="s">
        <v>56</v>
      </c>
      <c r="R570" s="1"/>
      <c r="S570" s="1" t="s">
        <v>475</v>
      </c>
      <c r="T570" s="1">
        <v>3157807.0</v>
      </c>
      <c r="U570" s="1" t="s">
        <v>1376</v>
      </c>
      <c r="V570" s="1" t="s">
        <v>477</v>
      </c>
      <c r="W570" s="1" t="s">
        <v>172</v>
      </c>
      <c r="X570" s="1"/>
      <c r="Y570" s="1" t="str">
        <f>"02015000268202141"</f>
        <v>02015000268202141</v>
      </c>
      <c r="Z570" s="1" t="s">
        <v>112</v>
      </c>
      <c r="AA570" s="1" t="s">
        <v>3712</v>
      </c>
      <c r="AB570" s="1" t="str">
        <f t="shared" si="35"/>
        <v>02459963000183</v>
      </c>
      <c r="AC570" s="1"/>
      <c r="AD570" s="1"/>
      <c r="AE570" s="1"/>
      <c r="AF570" s="1">
        <v>-43.87825</v>
      </c>
      <c r="AG570" s="1">
        <v>-19.786111</v>
      </c>
      <c r="AH570" s="1" t="s">
        <v>3713</v>
      </c>
      <c r="AI570" s="1">
        <v>643663.0</v>
      </c>
      <c r="AJ570" s="1" t="s">
        <v>1365</v>
      </c>
      <c r="AK570" s="1"/>
      <c r="AL570" s="1" t="s">
        <v>128</v>
      </c>
      <c r="AM570" s="1" t="s">
        <v>65</v>
      </c>
      <c r="AN570" s="1" t="s">
        <v>83</v>
      </c>
      <c r="AO570" s="2" t="s">
        <v>3598</v>
      </c>
      <c r="AP570" s="2" t="s">
        <v>3754</v>
      </c>
      <c r="AQ570" s="1" t="s">
        <v>132</v>
      </c>
      <c r="AR570" s="1" t="s">
        <v>1373</v>
      </c>
      <c r="AS570" s="1"/>
      <c r="AT570" s="2" t="s">
        <v>70</v>
      </c>
    </row>
    <row r="571">
      <c r="A571" s="1">
        <v>2043038.0</v>
      </c>
      <c r="B571" s="1" t="s">
        <v>116</v>
      </c>
      <c r="C571" s="1" t="s">
        <v>117</v>
      </c>
      <c r="D571" s="1" t="s">
        <v>46</v>
      </c>
      <c r="E571" s="1" t="s">
        <v>3755</v>
      </c>
      <c r="F571" s="1"/>
      <c r="G571" s="1" t="s">
        <v>119</v>
      </c>
      <c r="H571" s="1" t="s">
        <v>72</v>
      </c>
      <c r="I571" s="1">
        <v>9600.0</v>
      </c>
      <c r="J571" s="1"/>
      <c r="K571" s="1"/>
      <c r="L571" s="1" t="s">
        <v>1365</v>
      </c>
      <c r="M571" s="1" t="s">
        <v>3756</v>
      </c>
      <c r="N571" s="1" t="s">
        <v>109</v>
      </c>
      <c r="O571" s="1" t="s">
        <v>110</v>
      </c>
      <c r="P571" s="2" t="s">
        <v>3757</v>
      </c>
      <c r="Q571" s="1" t="s">
        <v>56</v>
      </c>
      <c r="R571" s="1"/>
      <c r="S571" s="1" t="s">
        <v>220</v>
      </c>
      <c r="T571" s="1">
        <v>3157203.0</v>
      </c>
      <c r="U571" s="1" t="s">
        <v>3758</v>
      </c>
      <c r="V571" s="1" t="s">
        <v>477</v>
      </c>
      <c r="W571" s="1" t="s">
        <v>172</v>
      </c>
      <c r="X571" s="1"/>
      <c r="Y571" s="1" t="str">
        <f>"02015000247202125"</f>
        <v>02015000247202125</v>
      </c>
      <c r="Z571" s="1" t="s">
        <v>112</v>
      </c>
      <c r="AA571" s="1" t="s">
        <v>3759</v>
      </c>
      <c r="AB571" s="1" t="str">
        <f t="shared" ref="AB571:AB573" si="36">"20270047000506"</f>
        <v>20270047000506</v>
      </c>
      <c r="AC571" s="1"/>
      <c r="AD571" s="1"/>
      <c r="AE571" s="1"/>
      <c r="AF571" s="1">
        <v>-43.41775</v>
      </c>
      <c r="AG571" s="1">
        <v>-19.968278</v>
      </c>
      <c r="AH571" s="1" t="s">
        <v>3760</v>
      </c>
      <c r="AI571" s="1"/>
      <c r="AJ571" s="1" t="s">
        <v>1365</v>
      </c>
      <c r="AK571" s="1"/>
      <c r="AL571" s="1" t="s">
        <v>128</v>
      </c>
      <c r="AM571" s="1" t="s">
        <v>65</v>
      </c>
      <c r="AN571" s="1" t="s">
        <v>83</v>
      </c>
      <c r="AO571" s="2" t="s">
        <v>3598</v>
      </c>
      <c r="AP571" s="2" t="s">
        <v>3761</v>
      </c>
      <c r="AQ571" s="1" t="s">
        <v>132</v>
      </c>
      <c r="AR571" s="1" t="s">
        <v>1373</v>
      </c>
      <c r="AS571" s="1"/>
      <c r="AT571" s="2" t="s">
        <v>70</v>
      </c>
    </row>
    <row r="572">
      <c r="A572" s="1">
        <v>2043039.0</v>
      </c>
      <c r="B572" s="1" t="s">
        <v>116</v>
      </c>
      <c r="C572" s="1" t="s">
        <v>117</v>
      </c>
      <c r="D572" s="1" t="s">
        <v>46</v>
      </c>
      <c r="E572" s="1" t="s">
        <v>3762</v>
      </c>
      <c r="F572" s="1"/>
      <c r="G572" s="1" t="s">
        <v>119</v>
      </c>
      <c r="H572" s="1" t="s">
        <v>72</v>
      </c>
      <c r="I572" s="1">
        <v>9601.2</v>
      </c>
      <c r="J572" s="1"/>
      <c r="K572" s="1"/>
      <c r="L572" s="1" t="s">
        <v>1365</v>
      </c>
      <c r="M572" s="1" t="s">
        <v>3763</v>
      </c>
      <c r="N572" s="1" t="s">
        <v>109</v>
      </c>
      <c r="O572" s="1" t="s">
        <v>110</v>
      </c>
      <c r="P572" s="2" t="s">
        <v>3757</v>
      </c>
      <c r="Q572" s="1" t="s">
        <v>56</v>
      </c>
      <c r="R572" s="1"/>
      <c r="S572" s="1" t="s">
        <v>220</v>
      </c>
      <c r="T572" s="1">
        <v>3157203.0</v>
      </c>
      <c r="U572" s="1" t="s">
        <v>3758</v>
      </c>
      <c r="V572" s="1" t="s">
        <v>477</v>
      </c>
      <c r="W572" s="1" t="s">
        <v>172</v>
      </c>
      <c r="X572" s="1"/>
      <c r="Y572" s="1" t="str">
        <f>"02015000248202170"</f>
        <v>02015000248202170</v>
      </c>
      <c r="Z572" s="1" t="s">
        <v>112</v>
      </c>
      <c r="AA572" s="1" t="s">
        <v>3759</v>
      </c>
      <c r="AB572" s="1" t="str">
        <f t="shared" si="36"/>
        <v>20270047000506</v>
      </c>
      <c r="AC572" s="1"/>
      <c r="AD572" s="1"/>
      <c r="AE572" s="1"/>
      <c r="AF572" s="1">
        <v>-43.41775</v>
      </c>
      <c r="AG572" s="1">
        <v>-19.968278</v>
      </c>
      <c r="AH572" s="1" t="s">
        <v>3760</v>
      </c>
      <c r="AI572" s="1"/>
      <c r="AJ572" s="1" t="s">
        <v>1365</v>
      </c>
      <c r="AK572" s="1"/>
      <c r="AL572" s="1" t="s">
        <v>128</v>
      </c>
      <c r="AM572" s="1" t="s">
        <v>65</v>
      </c>
      <c r="AN572" s="1" t="s">
        <v>83</v>
      </c>
      <c r="AO572" s="2" t="s">
        <v>3598</v>
      </c>
      <c r="AP572" s="2" t="s">
        <v>3764</v>
      </c>
      <c r="AQ572" s="1" t="s">
        <v>132</v>
      </c>
      <c r="AR572" s="1" t="s">
        <v>1373</v>
      </c>
      <c r="AS572" s="1"/>
      <c r="AT572" s="2" t="s">
        <v>70</v>
      </c>
    </row>
    <row r="573">
      <c r="A573" s="1">
        <v>2043040.0</v>
      </c>
      <c r="B573" s="1" t="s">
        <v>116</v>
      </c>
      <c r="C573" s="1" t="s">
        <v>117</v>
      </c>
      <c r="D573" s="1" t="s">
        <v>46</v>
      </c>
      <c r="E573" s="1" t="s">
        <v>3765</v>
      </c>
      <c r="F573" s="1"/>
      <c r="G573" s="1" t="s">
        <v>119</v>
      </c>
      <c r="H573" s="1" t="s">
        <v>72</v>
      </c>
      <c r="I573" s="1">
        <v>9600.0</v>
      </c>
      <c r="J573" s="1"/>
      <c r="K573" s="1"/>
      <c r="L573" s="1" t="s">
        <v>1365</v>
      </c>
      <c r="M573" s="1" t="s">
        <v>3766</v>
      </c>
      <c r="N573" s="1" t="s">
        <v>109</v>
      </c>
      <c r="O573" s="1" t="s">
        <v>110</v>
      </c>
      <c r="P573" s="2" t="s">
        <v>3757</v>
      </c>
      <c r="Q573" s="1" t="s">
        <v>56</v>
      </c>
      <c r="R573" s="1"/>
      <c r="S573" s="1" t="s">
        <v>220</v>
      </c>
      <c r="T573" s="1">
        <v>3157203.0</v>
      </c>
      <c r="U573" s="1" t="s">
        <v>3758</v>
      </c>
      <c r="V573" s="1" t="s">
        <v>477</v>
      </c>
      <c r="W573" s="1" t="s">
        <v>172</v>
      </c>
      <c r="X573" s="1"/>
      <c r="Y573" s="1" t="str">
        <f>"02015000249202114"</f>
        <v>02015000249202114</v>
      </c>
      <c r="Z573" s="1" t="s">
        <v>112</v>
      </c>
      <c r="AA573" s="1" t="s">
        <v>3759</v>
      </c>
      <c r="AB573" s="1" t="str">
        <f t="shared" si="36"/>
        <v>20270047000506</v>
      </c>
      <c r="AC573" s="1"/>
      <c r="AD573" s="1"/>
      <c r="AE573" s="1"/>
      <c r="AF573" s="1">
        <v>-43.41775</v>
      </c>
      <c r="AG573" s="1">
        <v>-19.968278</v>
      </c>
      <c r="AH573" s="1" t="s">
        <v>3760</v>
      </c>
      <c r="AI573" s="1"/>
      <c r="AJ573" s="1" t="s">
        <v>1365</v>
      </c>
      <c r="AK573" s="1"/>
      <c r="AL573" s="1" t="s">
        <v>128</v>
      </c>
      <c r="AM573" s="1" t="s">
        <v>65</v>
      </c>
      <c r="AN573" s="1" t="s">
        <v>83</v>
      </c>
      <c r="AO573" s="2" t="s">
        <v>3598</v>
      </c>
      <c r="AP573" s="2" t="s">
        <v>3767</v>
      </c>
      <c r="AQ573" s="1" t="s">
        <v>132</v>
      </c>
      <c r="AR573" s="1" t="s">
        <v>1373</v>
      </c>
      <c r="AS573" s="1"/>
      <c r="AT573" s="2" t="s">
        <v>70</v>
      </c>
    </row>
    <row r="574">
      <c r="A574" s="1">
        <v>2043047.0</v>
      </c>
      <c r="B574" s="1" t="s">
        <v>116</v>
      </c>
      <c r="C574" s="1" t="s">
        <v>117</v>
      </c>
      <c r="D574" s="1" t="s">
        <v>46</v>
      </c>
      <c r="E574" s="1" t="s">
        <v>3768</v>
      </c>
      <c r="F574" s="1"/>
      <c r="G574" s="1" t="s">
        <v>119</v>
      </c>
      <c r="H574" s="1" t="s">
        <v>72</v>
      </c>
      <c r="I574" s="1">
        <v>4500.0</v>
      </c>
      <c r="J574" s="1"/>
      <c r="K574" s="1"/>
      <c r="L574" s="1" t="s">
        <v>1365</v>
      </c>
      <c r="M574" s="1" t="s">
        <v>3769</v>
      </c>
      <c r="N574" s="1" t="s">
        <v>109</v>
      </c>
      <c r="O574" s="1" t="s">
        <v>110</v>
      </c>
      <c r="P574" s="2" t="s">
        <v>3757</v>
      </c>
      <c r="Q574" s="1" t="s">
        <v>56</v>
      </c>
      <c r="R574" s="1"/>
      <c r="S574" s="1" t="s">
        <v>475</v>
      </c>
      <c r="T574" s="1">
        <v>3155702.0</v>
      </c>
      <c r="U574" s="1" t="s">
        <v>3770</v>
      </c>
      <c r="V574" s="1" t="s">
        <v>477</v>
      </c>
      <c r="W574" s="1" t="s">
        <v>78</v>
      </c>
      <c r="X574" s="1"/>
      <c r="Y574" s="1" t="str">
        <f>"02015000264202162"</f>
        <v>02015000264202162</v>
      </c>
      <c r="Z574" s="1" t="s">
        <v>112</v>
      </c>
      <c r="AA574" s="1" t="s">
        <v>3771</v>
      </c>
      <c r="AB574" s="1" t="str">
        <f>"12723991000110"</f>
        <v>12723991000110</v>
      </c>
      <c r="AC574" s="1"/>
      <c r="AD574" s="1"/>
      <c r="AE574" s="1"/>
      <c r="AF574" s="1">
        <v>-43.186083</v>
      </c>
      <c r="AG574" s="1">
        <v>-19.939611</v>
      </c>
      <c r="AH574" s="1" t="s">
        <v>3772</v>
      </c>
      <c r="AI574" s="1">
        <v>643661.0</v>
      </c>
      <c r="AJ574" s="1" t="s">
        <v>1365</v>
      </c>
      <c r="AK574" s="1"/>
      <c r="AL574" s="1" t="s">
        <v>128</v>
      </c>
      <c r="AM574" s="1" t="s">
        <v>65</v>
      </c>
      <c r="AN574" s="1" t="s">
        <v>83</v>
      </c>
      <c r="AO574" s="2" t="s">
        <v>3598</v>
      </c>
      <c r="AP574" s="2" t="s">
        <v>3773</v>
      </c>
      <c r="AQ574" s="1" t="s">
        <v>132</v>
      </c>
      <c r="AR574" s="1" t="s">
        <v>1373</v>
      </c>
      <c r="AS574" s="1"/>
      <c r="AT574" s="2" t="s">
        <v>70</v>
      </c>
    </row>
    <row r="575">
      <c r="A575" s="1">
        <v>2043201.0</v>
      </c>
      <c r="B575" s="1" t="s">
        <v>116</v>
      </c>
      <c r="C575" s="1" t="s">
        <v>117</v>
      </c>
      <c r="D575" s="1" t="s">
        <v>46</v>
      </c>
      <c r="E575" s="1" t="s">
        <v>3774</v>
      </c>
      <c r="F575" s="1"/>
      <c r="G575" s="1" t="s">
        <v>119</v>
      </c>
      <c r="H575" s="1" t="s">
        <v>50</v>
      </c>
      <c r="I575" s="1">
        <v>3000.0</v>
      </c>
      <c r="J575" s="1"/>
      <c r="K575" s="1"/>
      <c r="L575" s="1" t="s">
        <v>295</v>
      </c>
      <c r="M575" s="1" t="s">
        <v>3775</v>
      </c>
      <c r="N575" s="1" t="s">
        <v>53</v>
      </c>
      <c r="O575" s="1" t="s">
        <v>382</v>
      </c>
      <c r="P575" s="2" t="s">
        <v>3776</v>
      </c>
      <c r="Q575" s="1" t="s">
        <v>56</v>
      </c>
      <c r="R575" s="1"/>
      <c r="S575" s="1" t="s">
        <v>288</v>
      </c>
      <c r="T575" s="1">
        <v>2208403.0</v>
      </c>
      <c r="U575" s="1" t="s">
        <v>2338</v>
      </c>
      <c r="V575" s="1" t="s">
        <v>290</v>
      </c>
      <c r="W575" s="1" t="s">
        <v>172</v>
      </c>
      <c r="X575" s="1"/>
      <c r="Y575" s="1" t="str">
        <f>"02020000218202194"</f>
        <v>02020000218202194</v>
      </c>
      <c r="Z575" s="1" t="s">
        <v>384</v>
      </c>
      <c r="AA575" s="1" t="s">
        <v>3777</v>
      </c>
      <c r="AB575" s="1" t="str">
        <f>"07218068000190"</f>
        <v>07218068000190</v>
      </c>
      <c r="AC575" s="1"/>
      <c r="AD575" s="1"/>
      <c r="AE575" s="1"/>
      <c r="AF575" s="1">
        <v>-42.751389</v>
      </c>
      <c r="AG575" s="1">
        <v>-5.094444</v>
      </c>
      <c r="AH575" s="1" t="s">
        <v>3778</v>
      </c>
      <c r="AI575" s="1"/>
      <c r="AJ575" s="1" t="s">
        <v>295</v>
      </c>
      <c r="AK575" s="1"/>
      <c r="AL575" s="1" t="s">
        <v>128</v>
      </c>
      <c r="AM575" s="1" t="s">
        <v>65</v>
      </c>
      <c r="AN575" s="1" t="s">
        <v>296</v>
      </c>
      <c r="AO575" s="2" t="s">
        <v>2903</v>
      </c>
      <c r="AP575" s="2" t="s">
        <v>3779</v>
      </c>
      <c r="AQ575" s="1" t="s">
        <v>132</v>
      </c>
      <c r="AR575" s="1" t="s">
        <v>531</v>
      </c>
      <c r="AS575" s="1"/>
      <c r="AT575" s="2" t="s">
        <v>70</v>
      </c>
    </row>
    <row r="576">
      <c r="A576" s="1"/>
      <c r="B576" s="1" t="s">
        <v>46</v>
      </c>
      <c r="C576" s="1" t="s">
        <v>47</v>
      </c>
      <c r="D576" s="1"/>
      <c r="E576" s="1" t="s">
        <v>3780</v>
      </c>
      <c r="F576" s="1"/>
      <c r="G576" s="1" t="s">
        <v>49</v>
      </c>
      <c r="H576" s="1" t="s">
        <v>72</v>
      </c>
      <c r="I576" s="1">
        <v>15691.2</v>
      </c>
      <c r="J576" s="1"/>
      <c r="K576" s="1"/>
      <c r="L576" s="1"/>
      <c r="M576" s="1" t="s">
        <v>3781</v>
      </c>
      <c r="N576" s="1" t="s">
        <v>94</v>
      </c>
      <c r="O576" s="1" t="s">
        <v>95</v>
      </c>
      <c r="P576" s="2" t="s">
        <v>3782</v>
      </c>
      <c r="Q576" s="1" t="s">
        <v>56</v>
      </c>
      <c r="R576" s="1"/>
      <c r="S576" s="1" t="s">
        <v>220</v>
      </c>
      <c r="T576" s="1">
        <v>3548500.0</v>
      </c>
      <c r="U576" s="1" t="s">
        <v>360</v>
      </c>
      <c r="V576" s="1" t="s">
        <v>139</v>
      </c>
      <c r="W576" s="1" t="s">
        <v>78</v>
      </c>
      <c r="X576" s="1"/>
      <c r="Y576" s="1"/>
      <c r="Z576" s="1" t="s">
        <v>101</v>
      </c>
      <c r="AA576" s="1" t="s">
        <v>3674</v>
      </c>
      <c r="AB576" s="1" t="str">
        <f t="shared" ref="AB576:AB578" si="37">"20334805000189"</f>
        <v>20334805000189</v>
      </c>
      <c r="AC576" s="1"/>
      <c r="AD576" s="1" t="s">
        <v>81</v>
      </c>
      <c r="AE576" s="1"/>
      <c r="AF576" s="1">
        <v>-46.305028</v>
      </c>
      <c r="AG576" s="1">
        <v>-23.980306</v>
      </c>
      <c r="AH576" s="1" t="s">
        <v>3675</v>
      </c>
      <c r="AI576" s="1"/>
      <c r="AJ576" s="1" t="s">
        <v>142</v>
      </c>
      <c r="AK576" s="1"/>
      <c r="AL576" s="1"/>
      <c r="AM576" s="1" t="s">
        <v>65</v>
      </c>
      <c r="AN576" s="1" t="s">
        <v>274</v>
      </c>
      <c r="AO576" s="1"/>
      <c r="AP576" s="2" t="s">
        <v>3783</v>
      </c>
      <c r="AQ576" s="1"/>
      <c r="AR576" s="1" t="s">
        <v>115</v>
      </c>
      <c r="AS576" s="1" t="s">
        <v>3700</v>
      </c>
      <c r="AT576" s="2" t="s">
        <v>70</v>
      </c>
    </row>
    <row r="577">
      <c r="A577" s="1"/>
      <c r="B577" s="1" t="s">
        <v>46</v>
      </c>
      <c r="C577" s="1" t="s">
        <v>47</v>
      </c>
      <c r="D577" s="1"/>
      <c r="E577" s="1" t="s">
        <v>3784</v>
      </c>
      <c r="F577" s="1"/>
      <c r="G577" s="1" t="s">
        <v>49</v>
      </c>
      <c r="H577" s="1" t="s">
        <v>72</v>
      </c>
      <c r="I577" s="1">
        <v>15704.4</v>
      </c>
      <c r="J577" s="1"/>
      <c r="K577" s="1"/>
      <c r="L577" s="1"/>
      <c r="M577" s="1" t="s">
        <v>3785</v>
      </c>
      <c r="N577" s="1" t="s">
        <v>94</v>
      </c>
      <c r="O577" s="1" t="s">
        <v>95</v>
      </c>
      <c r="P577" s="2" t="s">
        <v>3786</v>
      </c>
      <c r="Q577" s="1" t="s">
        <v>56</v>
      </c>
      <c r="R577" s="1"/>
      <c r="S577" s="1" t="s">
        <v>220</v>
      </c>
      <c r="T577" s="1">
        <v>3548500.0</v>
      </c>
      <c r="U577" s="1" t="s">
        <v>360</v>
      </c>
      <c r="V577" s="1" t="s">
        <v>139</v>
      </c>
      <c r="W577" s="1" t="s">
        <v>78</v>
      </c>
      <c r="X577" s="1"/>
      <c r="Y577" s="1"/>
      <c r="Z577" s="1" t="s">
        <v>101</v>
      </c>
      <c r="AA577" s="1" t="s">
        <v>3674</v>
      </c>
      <c r="AB577" s="1" t="str">
        <f t="shared" si="37"/>
        <v>20334805000189</v>
      </c>
      <c r="AC577" s="1"/>
      <c r="AD577" s="1" t="s">
        <v>81</v>
      </c>
      <c r="AE577" s="1"/>
      <c r="AF577" s="1">
        <v>-46.305028</v>
      </c>
      <c r="AG577" s="1">
        <v>-23.980306</v>
      </c>
      <c r="AH577" s="1" t="s">
        <v>3787</v>
      </c>
      <c r="AI577" s="1"/>
      <c r="AJ577" s="1" t="s">
        <v>142</v>
      </c>
      <c r="AK577" s="1"/>
      <c r="AL577" s="1"/>
      <c r="AM577" s="1" t="s">
        <v>65</v>
      </c>
      <c r="AN577" s="1" t="s">
        <v>274</v>
      </c>
      <c r="AO577" s="1"/>
      <c r="AP577" s="2" t="s">
        <v>3788</v>
      </c>
      <c r="AQ577" s="1"/>
      <c r="AR577" s="1" t="s">
        <v>115</v>
      </c>
      <c r="AS577" s="1" t="s">
        <v>3789</v>
      </c>
      <c r="AT577" s="2" t="s">
        <v>70</v>
      </c>
    </row>
    <row r="578">
      <c r="A578" s="1"/>
      <c r="B578" s="1" t="s">
        <v>46</v>
      </c>
      <c r="C578" s="1" t="s">
        <v>47</v>
      </c>
      <c r="D578" s="1"/>
      <c r="E578" s="1" t="s">
        <v>3790</v>
      </c>
      <c r="F578" s="1"/>
      <c r="G578" s="1" t="s">
        <v>49</v>
      </c>
      <c r="H578" s="1" t="s">
        <v>72</v>
      </c>
      <c r="I578" s="1">
        <v>15863.4</v>
      </c>
      <c r="J578" s="1"/>
      <c r="K578" s="1"/>
      <c r="L578" s="1"/>
      <c r="M578" s="1" t="s">
        <v>3791</v>
      </c>
      <c r="N578" s="1" t="s">
        <v>94</v>
      </c>
      <c r="O578" s="1" t="s">
        <v>95</v>
      </c>
      <c r="P578" s="2" t="s">
        <v>3792</v>
      </c>
      <c r="Q578" s="1" t="s">
        <v>56</v>
      </c>
      <c r="R578" s="1"/>
      <c r="S578" s="1" t="s">
        <v>220</v>
      </c>
      <c r="T578" s="1">
        <v>3548500.0</v>
      </c>
      <c r="U578" s="1" t="s">
        <v>360</v>
      </c>
      <c r="V578" s="1" t="s">
        <v>139</v>
      </c>
      <c r="W578" s="1" t="s">
        <v>78</v>
      </c>
      <c r="X578" s="1"/>
      <c r="Y578" s="1"/>
      <c r="Z578" s="1" t="s">
        <v>101</v>
      </c>
      <c r="AA578" s="1" t="s">
        <v>3674</v>
      </c>
      <c r="AB578" s="1" t="str">
        <f t="shared" si="37"/>
        <v>20334805000189</v>
      </c>
      <c r="AC578" s="1"/>
      <c r="AD578" s="1" t="s">
        <v>81</v>
      </c>
      <c r="AE578" s="1"/>
      <c r="AF578" s="1">
        <v>-46.305028</v>
      </c>
      <c r="AG578" s="1">
        <v>-23.980306</v>
      </c>
      <c r="AH578" s="1" t="s">
        <v>3793</v>
      </c>
      <c r="AI578" s="1"/>
      <c r="AJ578" s="1" t="s">
        <v>142</v>
      </c>
      <c r="AK578" s="1"/>
      <c r="AL578" s="1"/>
      <c r="AM578" s="1" t="s">
        <v>65</v>
      </c>
      <c r="AN578" s="1" t="s">
        <v>274</v>
      </c>
      <c r="AO578" s="1"/>
      <c r="AP578" s="2" t="s">
        <v>3794</v>
      </c>
      <c r="AQ578" s="1"/>
      <c r="AR578" s="1" t="s">
        <v>115</v>
      </c>
      <c r="AS578" s="1" t="s">
        <v>3789</v>
      </c>
      <c r="AT578" s="2" t="s">
        <v>70</v>
      </c>
    </row>
    <row r="579">
      <c r="A579" s="1">
        <v>2043031.0</v>
      </c>
      <c r="B579" s="1" t="s">
        <v>116</v>
      </c>
      <c r="C579" s="1" t="s">
        <v>117</v>
      </c>
      <c r="D579" s="1" t="s">
        <v>46</v>
      </c>
      <c r="E579" s="1" t="s">
        <v>3795</v>
      </c>
      <c r="F579" s="1"/>
      <c r="G579" s="1" t="s">
        <v>119</v>
      </c>
      <c r="H579" s="1" t="s">
        <v>72</v>
      </c>
      <c r="I579" s="1">
        <v>4189.2</v>
      </c>
      <c r="J579" s="1"/>
      <c r="K579" s="1"/>
      <c r="L579" s="1" t="s">
        <v>1365</v>
      </c>
      <c r="M579" s="1" t="s">
        <v>3796</v>
      </c>
      <c r="N579" s="1" t="s">
        <v>109</v>
      </c>
      <c r="O579" s="1" t="s">
        <v>110</v>
      </c>
      <c r="P579" s="2" t="s">
        <v>3797</v>
      </c>
      <c r="Q579" s="1" t="s">
        <v>56</v>
      </c>
      <c r="R579" s="1"/>
      <c r="S579" s="1" t="s">
        <v>475</v>
      </c>
      <c r="T579" s="1">
        <v>3157203.0</v>
      </c>
      <c r="U579" s="1" t="s">
        <v>3758</v>
      </c>
      <c r="V579" s="1" t="s">
        <v>477</v>
      </c>
      <c r="W579" s="1" t="s">
        <v>172</v>
      </c>
      <c r="X579" s="1"/>
      <c r="Y579" s="1" t="str">
        <f>"02015000235202109"</f>
        <v>02015000235202109</v>
      </c>
      <c r="Z579" s="1" t="s">
        <v>112</v>
      </c>
      <c r="AA579" s="1" t="s">
        <v>3759</v>
      </c>
      <c r="AB579" s="1" t="str">
        <f t="shared" ref="AB579:AB581" si="38">"20270047000506"</f>
        <v>20270047000506</v>
      </c>
      <c r="AC579" s="1"/>
      <c r="AD579" s="1"/>
      <c r="AE579" s="1"/>
      <c r="AF579" s="1">
        <v>-43.41775</v>
      </c>
      <c r="AG579" s="1">
        <v>-19.968278</v>
      </c>
      <c r="AH579" s="1" t="s">
        <v>3760</v>
      </c>
      <c r="AI579" s="1">
        <v>643688.0</v>
      </c>
      <c r="AJ579" s="1" t="s">
        <v>1365</v>
      </c>
      <c r="AK579" s="1"/>
      <c r="AL579" s="1" t="s">
        <v>128</v>
      </c>
      <c r="AM579" s="1" t="s">
        <v>65</v>
      </c>
      <c r="AN579" s="1" t="s">
        <v>83</v>
      </c>
      <c r="AO579" s="2" t="s">
        <v>3598</v>
      </c>
      <c r="AP579" s="2" t="s">
        <v>3798</v>
      </c>
      <c r="AQ579" s="1" t="s">
        <v>132</v>
      </c>
      <c r="AR579" s="1" t="s">
        <v>1373</v>
      </c>
      <c r="AS579" s="1"/>
      <c r="AT579" s="2" t="s">
        <v>70</v>
      </c>
    </row>
    <row r="580">
      <c r="A580" s="1">
        <v>2043032.0</v>
      </c>
      <c r="B580" s="1" t="s">
        <v>116</v>
      </c>
      <c r="C580" s="1" t="s">
        <v>117</v>
      </c>
      <c r="D580" s="1" t="s">
        <v>46</v>
      </c>
      <c r="E580" s="1" t="s">
        <v>3799</v>
      </c>
      <c r="F580" s="1"/>
      <c r="G580" s="1" t="s">
        <v>119</v>
      </c>
      <c r="H580" s="1" t="s">
        <v>72</v>
      </c>
      <c r="I580" s="1">
        <v>4811.4</v>
      </c>
      <c r="J580" s="1"/>
      <c r="K580" s="1"/>
      <c r="L580" s="1" t="s">
        <v>1365</v>
      </c>
      <c r="M580" s="1" t="s">
        <v>3800</v>
      </c>
      <c r="N580" s="1" t="s">
        <v>109</v>
      </c>
      <c r="O580" s="1" t="s">
        <v>110</v>
      </c>
      <c r="P580" s="2" t="s">
        <v>3797</v>
      </c>
      <c r="Q580" s="1" t="s">
        <v>56</v>
      </c>
      <c r="R580" s="1"/>
      <c r="S580" s="1" t="s">
        <v>475</v>
      </c>
      <c r="T580" s="1">
        <v>3157203.0</v>
      </c>
      <c r="U580" s="1" t="s">
        <v>3758</v>
      </c>
      <c r="V580" s="1" t="s">
        <v>477</v>
      </c>
      <c r="W580" s="1" t="s">
        <v>172</v>
      </c>
      <c r="X580" s="1"/>
      <c r="Y580" s="1" t="str">
        <f>"02015000238202134"</f>
        <v>02015000238202134</v>
      </c>
      <c r="Z580" s="1" t="s">
        <v>112</v>
      </c>
      <c r="AA580" s="1" t="s">
        <v>3759</v>
      </c>
      <c r="AB580" s="1" t="str">
        <f t="shared" si="38"/>
        <v>20270047000506</v>
      </c>
      <c r="AC580" s="1"/>
      <c r="AD580" s="1"/>
      <c r="AE580" s="1"/>
      <c r="AF580" s="1">
        <v>-43.41775</v>
      </c>
      <c r="AG580" s="1">
        <v>-19.968278</v>
      </c>
      <c r="AH580" s="1" t="s">
        <v>3760</v>
      </c>
      <c r="AI580" s="1"/>
      <c r="AJ580" s="1" t="s">
        <v>1365</v>
      </c>
      <c r="AK580" s="1"/>
      <c r="AL580" s="1" t="s">
        <v>128</v>
      </c>
      <c r="AM580" s="1" t="s">
        <v>65</v>
      </c>
      <c r="AN580" s="1" t="s">
        <v>83</v>
      </c>
      <c r="AO580" s="2" t="s">
        <v>3598</v>
      </c>
      <c r="AP580" s="2" t="s">
        <v>3801</v>
      </c>
      <c r="AQ580" s="1" t="s">
        <v>132</v>
      </c>
      <c r="AR580" s="1" t="s">
        <v>1373</v>
      </c>
      <c r="AS580" s="1"/>
      <c r="AT580" s="2" t="s">
        <v>70</v>
      </c>
    </row>
    <row r="581">
      <c r="A581" s="1">
        <v>2043037.0</v>
      </c>
      <c r="B581" s="1" t="s">
        <v>116</v>
      </c>
      <c r="C581" s="1" t="s">
        <v>117</v>
      </c>
      <c r="D581" s="1" t="s">
        <v>46</v>
      </c>
      <c r="E581" s="1" t="s">
        <v>3802</v>
      </c>
      <c r="F581" s="1"/>
      <c r="G581" s="1" t="s">
        <v>119</v>
      </c>
      <c r="H581" s="1" t="s">
        <v>72</v>
      </c>
      <c r="I581" s="1">
        <v>4200.0</v>
      </c>
      <c r="J581" s="1"/>
      <c r="K581" s="1"/>
      <c r="L581" s="1" t="s">
        <v>1365</v>
      </c>
      <c r="M581" s="1" t="s">
        <v>3803</v>
      </c>
      <c r="N581" s="1" t="s">
        <v>109</v>
      </c>
      <c r="O581" s="1" t="s">
        <v>110</v>
      </c>
      <c r="P581" s="2" t="s">
        <v>3797</v>
      </c>
      <c r="Q581" s="1" t="s">
        <v>56</v>
      </c>
      <c r="R581" s="1"/>
      <c r="S581" s="1" t="s">
        <v>475</v>
      </c>
      <c r="T581" s="1">
        <v>3157203.0</v>
      </c>
      <c r="U581" s="1" t="s">
        <v>3758</v>
      </c>
      <c r="V581" s="1" t="s">
        <v>477</v>
      </c>
      <c r="W581" s="1" t="s">
        <v>172</v>
      </c>
      <c r="X581" s="1"/>
      <c r="Y581" s="1" t="str">
        <f>"02015000246202181"</f>
        <v>02015000246202181</v>
      </c>
      <c r="Z581" s="1" t="s">
        <v>112</v>
      </c>
      <c r="AA581" s="1" t="s">
        <v>3759</v>
      </c>
      <c r="AB581" s="1" t="str">
        <f t="shared" si="38"/>
        <v>20270047000506</v>
      </c>
      <c r="AC581" s="1"/>
      <c r="AD581" s="1"/>
      <c r="AE581" s="1"/>
      <c r="AF581" s="1">
        <v>-43.41775</v>
      </c>
      <c r="AG581" s="1">
        <v>-19.968278</v>
      </c>
      <c r="AH581" s="1" t="s">
        <v>3760</v>
      </c>
      <c r="AI581" s="1"/>
      <c r="AJ581" s="1" t="s">
        <v>1365</v>
      </c>
      <c r="AK581" s="1"/>
      <c r="AL581" s="1" t="s">
        <v>128</v>
      </c>
      <c r="AM581" s="1" t="s">
        <v>65</v>
      </c>
      <c r="AN581" s="1" t="s">
        <v>83</v>
      </c>
      <c r="AO581" s="2" t="s">
        <v>3598</v>
      </c>
      <c r="AP581" s="2" t="s">
        <v>3804</v>
      </c>
      <c r="AQ581" s="1" t="s">
        <v>132</v>
      </c>
      <c r="AR581" s="1" t="s">
        <v>1373</v>
      </c>
      <c r="AS581" s="1"/>
      <c r="AT581" s="2" t="s">
        <v>70</v>
      </c>
    </row>
    <row r="582">
      <c r="A582" s="1">
        <v>2043200.0</v>
      </c>
      <c r="B582" s="1" t="s">
        <v>116</v>
      </c>
      <c r="C582" s="1" t="s">
        <v>117</v>
      </c>
      <c r="D582" s="1" t="s">
        <v>46</v>
      </c>
      <c r="E582" s="1" t="s">
        <v>3805</v>
      </c>
      <c r="F582" s="1"/>
      <c r="G582" s="1" t="s">
        <v>119</v>
      </c>
      <c r="H582" s="1" t="s">
        <v>50</v>
      </c>
      <c r="I582" s="1">
        <v>1500.0</v>
      </c>
      <c r="J582" s="1"/>
      <c r="K582" s="1"/>
      <c r="L582" s="1" t="s">
        <v>295</v>
      </c>
      <c r="M582" s="1" t="s">
        <v>3806</v>
      </c>
      <c r="N582" s="1" t="s">
        <v>53</v>
      </c>
      <c r="O582" s="1" t="s">
        <v>382</v>
      </c>
      <c r="P582" s="2" t="s">
        <v>3797</v>
      </c>
      <c r="Q582" s="1" t="s">
        <v>56</v>
      </c>
      <c r="R582" s="1"/>
      <c r="S582" s="1" t="s">
        <v>288</v>
      </c>
      <c r="T582" s="1">
        <v>2204550.0</v>
      </c>
      <c r="U582" s="1" t="s">
        <v>3807</v>
      </c>
      <c r="V582" s="1" t="s">
        <v>290</v>
      </c>
      <c r="W582" s="1" t="s">
        <v>291</v>
      </c>
      <c r="X582" s="1"/>
      <c r="Y582" s="1" t="str">
        <f>"02020000217202140"</f>
        <v>02020000217202140</v>
      </c>
      <c r="Z582" s="1" t="s">
        <v>384</v>
      </c>
      <c r="AA582" s="1" t="s">
        <v>3808</v>
      </c>
      <c r="AB582" s="1" t="str">
        <f>"12959459000104"</f>
        <v>12959459000104</v>
      </c>
      <c r="AC582" s="1"/>
      <c r="AD582" s="1"/>
      <c r="AE582" s="1"/>
      <c r="AF582" s="1">
        <v>-42.751389</v>
      </c>
      <c r="AG582" s="1">
        <v>-5.094444</v>
      </c>
      <c r="AH582" s="1" t="s">
        <v>3809</v>
      </c>
      <c r="AI582" s="1"/>
      <c r="AJ582" s="1" t="s">
        <v>295</v>
      </c>
      <c r="AK582" s="1"/>
      <c r="AL582" s="1" t="s">
        <v>128</v>
      </c>
      <c r="AM582" s="1" t="s">
        <v>65</v>
      </c>
      <c r="AN582" s="1" t="s">
        <v>296</v>
      </c>
      <c r="AO582" s="2" t="s">
        <v>2903</v>
      </c>
      <c r="AP582" s="2" t="s">
        <v>3810</v>
      </c>
      <c r="AQ582" s="1" t="s">
        <v>132</v>
      </c>
      <c r="AR582" s="1" t="s">
        <v>531</v>
      </c>
      <c r="AS582" s="1"/>
      <c r="AT582" s="2" t="s">
        <v>70</v>
      </c>
    </row>
    <row r="583">
      <c r="A583" s="1">
        <v>2043212.0</v>
      </c>
      <c r="B583" s="1" t="s">
        <v>116</v>
      </c>
      <c r="C583" s="1" t="s">
        <v>117</v>
      </c>
      <c r="D583" s="1" t="s">
        <v>46</v>
      </c>
      <c r="E583" s="1" t="s">
        <v>3811</v>
      </c>
      <c r="F583" s="1"/>
      <c r="G583" s="1" t="s">
        <v>119</v>
      </c>
      <c r="H583" s="1" t="s">
        <v>50</v>
      </c>
      <c r="I583" s="1">
        <v>52500.0</v>
      </c>
      <c r="J583" s="1"/>
      <c r="K583" s="1"/>
      <c r="L583" s="1" t="s">
        <v>295</v>
      </c>
      <c r="M583" s="1" t="s">
        <v>3812</v>
      </c>
      <c r="N583" s="1" t="s">
        <v>109</v>
      </c>
      <c r="O583" s="1" t="s">
        <v>110</v>
      </c>
      <c r="P583" s="2" t="s">
        <v>3797</v>
      </c>
      <c r="Q583" s="1" t="s">
        <v>56</v>
      </c>
      <c r="R583" s="2" t="s">
        <v>3731</v>
      </c>
      <c r="S583" s="1" t="s">
        <v>288</v>
      </c>
      <c r="T583" s="1">
        <v>2211001.0</v>
      </c>
      <c r="U583" s="1" t="s">
        <v>527</v>
      </c>
      <c r="V583" s="1" t="s">
        <v>290</v>
      </c>
      <c r="W583" s="1" t="s">
        <v>291</v>
      </c>
      <c r="X583" s="1"/>
      <c r="Y583" s="1" t="str">
        <f>"02020000225202196"</f>
        <v>02020000225202196</v>
      </c>
      <c r="Z583" s="1" t="s">
        <v>112</v>
      </c>
      <c r="AA583" s="1" t="s">
        <v>3813</v>
      </c>
      <c r="AB583" s="1" t="str">
        <f>"12066361000110"</f>
        <v>12066361000110</v>
      </c>
      <c r="AC583" s="1"/>
      <c r="AD583" s="1"/>
      <c r="AE583" s="1"/>
      <c r="AF583" s="1">
        <v>-42.784444</v>
      </c>
      <c r="AG583" s="1">
        <v>-5.065</v>
      </c>
      <c r="AH583" s="1" t="s">
        <v>3814</v>
      </c>
      <c r="AI583" s="1"/>
      <c r="AJ583" s="1" t="s">
        <v>295</v>
      </c>
      <c r="AK583" s="1"/>
      <c r="AL583" s="1" t="s">
        <v>128</v>
      </c>
      <c r="AM583" s="1" t="s">
        <v>65</v>
      </c>
      <c r="AN583" s="1" t="s">
        <v>296</v>
      </c>
      <c r="AO583" s="2" t="s">
        <v>2903</v>
      </c>
      <c r="AP583" s="2" t="s">
        <v>3815</v>
      </c>
      <c r="AQ583" s="1" t="s">
        <v>132</v>
      </c>
      <c r="AR583" s="1" t="s">
        <v>247</v>
      </c>
      <c r="AS583" s="1"/>
      <c r="AT583" s="2" t="s">
        <v>70</v>
      </c>
    </row>
    <row r="584">
      <c r="A584" s="1">
        <v>2043213.0</v>
      </c>
      <c r="B584" s="1" t="s">
        <v>116</v>
      </c>
      <c r="C584" s="1" t="s">
        <v>117</v>
      </c>
      <c r="D584" s="1" t="s">
        <v>46</v>
      </c>
      <c r="E584" s="1" t="s">
        <v>3816</v>
      </c>
      <c r="F584" s="1"/>
      <c r="G584" s="1" t="s">
        <v>119</v>
      </c>
      <c r="H584" s="1" t="s">
        <v>50</v>
      </c>
      <c r="I584" s="1">
        <v>36500.0</v>
      </c>
      <c r="J584" s="1"/>
      <c r="K584" s="1"/>
      <c r="L584" s="1" t="s">
        <v>295</v>
      </c>
      <c r="M584" s="1" t="s">
        <v>3817</v>
      </c>
      <c r="N584" s="1" t="s">
        <v>109</v>
      </c>
      <c r="O584" s="1" t="s">
        <v>110</v>
      </c>
      <c r="P584" s="2" t="s">
        <v>3797</v>
      </c>
      <c r="Q584" s="1" t="s">
        <v>56</v>
      </c>
      <c r="R584" s="2" t="s">
        <v>3731</v>
      </c>
      <c r="S584" s="1" t="s">
        <v>288</v>
      </c>
      <c r="T584" s="1">
        <v>2208007.0</v>
      </c>
      <c r="U584" s="1" t="s">
        <v>2279</v>
      </c>
      <c r="V584" s="1" t="s">
        <v>290</v>
      </c>
      <c r="W584" s="1" t="s">
        <v>291</v>
      </c>
      <c r="X584" s="1"/>
      <c r="Y584" s="1" t="str">
        <f>"02020000226202131"</f>
        <v>02020000226202131</v>
      </c>
      <c r="Z584" s="1" t="s">
        <v>112</v>
      </c>
      <c r="AA584" s="1" t="s">
        <v>3818</v>
      </c>
      <c r="AB584" s="1" t="str">
        <f>"07700776000163"</f>
        <v>07700776000163</v>
      </c>
      <c r="AC584" s="1"/>
      <c r="AD584" s="1"/>
      <c r="AE584" s="1"/>
      <c r="AF584" s="1">
        <v>-42.784167</v>
      </c>
      <c r="AG584" s="1">
        <v>-5.065</v>
      </c>
      <c r="AH584" s="1" t="s">
        <v>3819</v>
      </c>
      <c r="AI584" s="1"/>
      <c r="AJ584" s="1" t="s">
        <v>295</v>
      </c>
      <c r="AK584" s="1"/>
      <c r="AL584" s="1" t="s">
        <v>128</v>
      </c>
      <c r="AM584" s="1" t="s">
        <v>65</v>
      </c>
      <c r="AN584" s="1" t="s">
        <v>296</v>
      </c>
      <c r="AO584" s="2" t="s">
        <v>2903</v>
      </c>
      <c r="AP584" s="2" t="s">
        <v>3820</v>
      </c>
      <c r="AQ584" s="1" t="s">
        <v>132</v>
      </c>
      <c r="AR584" s="1" t="s">
        <v>247</v>
      </c>
      <c r="AS584" s="1"/>
      <c r="AT584" s="2" t="s">
        <v>70</v>
      </c>
    </row>
    <row r="585">
      <c r="A585" s="1">
        <v>2043214.0</v>
      </c>
      <c r="B585" s="1" t="s">
        <v>116</v>
      </c>
      <c r="C585" s="1" t="s">
        <v>117</v>
      </c>
      <c r="D585" s="1" t="s">
        <v>46</v>
      </c>
      <c r="E585" s="1" t="s">
        <v>3821</v>
      </c>
      <c r="F585" s="1"/>
      <c r="G585" s="1" t="s">
        <v>119</v>
      </c>
      <c r="H585" s="1" t="s">
        <v>50</v>
      </c>
      <c r="I585" s="1">
        <v>4000.0</v>
      </c>
      <c r="J585" s="1"/>
      <c r="K585" s="1"/>
      <c r="L585" s="1" t="s">
        <v>295</v>
      </c>
      <c r="M585" s="1" t="s">
        <v>350</v>
      </c>
      <c r="N585" s="1" t="s">
        <v>186</v>
      </c>
      <c r="O585" s="1" t="s">
        <v>95</v>
      </c>
      <c r="P585" s="2" t="s">
        <v>3797</v>
      </c>
      <c r="Q585" s="1" t="s">
        <v>56</v>
      </c>
      <c r="R585" s="2" t="s">
        <v>3731</v>
      </c>
      <c r="S585" s="1" t="s">
        <v>288</v>
      </c>
      <c r="T585" s="1">
        <v>2203503.0</v>
      </c>
      <c r="U585" s="1" t="s">
        <v>3822</v>
      </c>
      <c r="V585" s="1" t="s">
        <v>290</v>
      </c>
      <c r="W585" s="1" t="s">
        <v>172</v>
      </c>
      <c r="X585" s="1"/>
      <c r="Y585" s="1" t="str">
        <f>"02020000227202185"</f>
        <v>02020000227202185</v>
      </c>
      <c r="Z585" s="1" t="s">
        <v>101</v>
      </c>
      <c r="AA585" s="1" t="s">
        <v>3823</v>
      </c>
      <c r="AB585" s="1" t="str">
        <f>"07460504000133"</f>
        <v>07460504000133</v>
      </c>
      <c r="AC585" s="1"/>
      <c r="AD585" s="1"/>
      <c r="AE585" s="1"/>
      <c r="AF585" s="1">
        <v>-42.783889</v>
      </c>
      <c r="AG585" s="1">
        <v>-5.064722</v>
      </c>
      <c r="AH585" s="1" t="s">
        <v>3824</v>
      </c>
      <c r="AI585" s="1"/>
      <c r="AJ585" s="1" t="s">
        <v>295</v>
      </c>
      <c r="AK585" s="1"/>
      <c r="AL585" s="1" t="s">
        <v>128</v>
      </c>
      <c r="AM585" s="1" t="s">
        <v>65</v>
      </c>
      <c r="AN585" s="1" t="s">
        <v>296</v>
      </c>
      <c r="AO585" s="2" t="s">
        <v>2903</v>
      </c>
      <c r="AP585" s="2" t="s">
        <v>3825</v>
      </c>
      <c r="AQ585" s="1" t="s">
        <v>132</v>
      </c>
      <c r="AR585" s="1" t="s">
        <v>531</v>
      </c>
      <c r="AS585" s="1"/>
      <c r="AT585" s="2" t="s">
        <v>70</v>
      </c>
    </row>
    <row r="586">
      <c r="A586" s="1">
        <v>2043028.0</v>
      </c>
      <c r="B586" s="1" t="s">
        <v>116</v>
      </c>
      <c r="C586" s="1" t="s">
        <v>117</v>
      </c>
      <c r="D586" s="1" t="s">
        <v>46</v>
      </c>
      <c r="E586" s="1" t="s">
        <v>3826</v>
      </c>
      <c r="F586" s="1"/>
      <c r="G586" s="1" t="s">
        <v>119</v>
      </c>
      <c r="H586" s="1" t="s">
        <v>72</v>
      </c>
      <c r="I586" s="1">
        <v>7500.0</v>
      </c>
      <c r="J586" s="1"/>
      <c r="K586" s="1"/>
      <c r="L586" s="1" t="s">
        <v>1365</v>
      </c>
      <c r="M586" s="1" t="s">
        <v>3827</v>
      </c>
      <c r="N586" s="1" t="s">
        <v>109</v>
      </c>
      <c r="O586" s="1" t="s">
        <v>110</v>
      </c>
      <c r="P586" s="2" t="s">
        <v>3828</v>
      </c>
      <c r="Q586" s="1" t="s">
        <v>56</v>
      </c>
      <c r="R586" s="1"/>
      <c r="S586" s="1" t="s">
        <v>475</v>
      </c>
      <c r="T586" s="1">
        <v>3141108.0</v>
      </c>
      <c r="U586" s="1" t="s">
        <v>3829</v>
      </c>
      <c r="V586" s="1" t="s">
        <v>477</v>
      </c>
      <c r="W586" s="1" t="s">
        <v>172</v>
      </c>
      <c r="X586" s="1"/>
      <c r="Y586" s="1" t="str">
        <f>"02015000234202156"</f>
        <v>02015000234202156</v>
      </c>
      <c r="Z586" s="1" t="s">
        <v>112</v>
      </c>
      <c r="AA586" s="1" t="s">
        <v>3830</v>
      </c>
      <c r="AB586" s="1" t="str">
        <f>"11539621000164"</f>
        <v>11539621000164</v>
      </c>
      <c r="AC586" s="1"/>
      <c r="AD586" s="1"/>
      <c r="AE586" s="1"/>
      <c r="AF586" s="1">
        <v>-44.069611</v>
      </c>
      <c r="AG586" s="1">
        <v>-19.569889</v>
      </c>
      <c r="AH586" s="1" t="s">
        <v>3831</v>
      </c>
      <c r="AI586" s="1">
        <v>643665.0</v>
      </c>
      <c r="AJ586" s="1" t="s">
        <v>1365</v>
      </c>
      <c r="AK586" s="1"/>
      <c r="AL586" s="1" t="s">
        <v>128</v>
      </c>
      <c r="AM586" s="1" t="s">
        <v>65</v>
      </c>
      <c r="AN586" s="1" t="s">
        <v>83</v>
      </c>
      <c r="AO586" s="2" t="s">
        <v>3598</v>
      </c>
      <c r="AP586" s="2" t="s">
        <v>3832</v>
      </c>
      <c r="AQ586" s="1" t="s">
        <v>132</v>
      </c>
      <c r="AR586" s="1" t="s">
        <v>1373</v>
      </c>
      <c r="AS586" s="1"/>
      <c r="AT586" s="2" t="s">
        <v>70</v>
      </c>
    </row>
    <row r="587">
      <c r="A587" s="1">
        <v>2043215.0</v>
      </c>
      <c r="B587" s="1" t="s">
        <v>116</v>
      </c>
      <c r="C587" s="1" t="s">
        <v>117</v>
      </c>
      <c r="D587" s="1" t="s">
        <v>46</v>
      </c>
      <c r="E587" s="1" t="s">
        <v>3833</v>
      </c>
      <c r="F587" s="1"/>
      <c r="G587" s="1" t="s">
        <v>119</v>
      </c>
      <c r="H587" s="1" t="s">
        <v>50</v>
      </c>
      <c r="I587" s="1">
        <v>3000.0</v>
      </c>
      <c r="J587" s="1"/>
      <c r="K587" s="1"/>
      <c r="L587" s="1" t="s">
        <v>295</v>
      </c>
      <c r="M587" s="1" t="s">
        <v>3775</v>
      </c>
      <c r="N587" s="1" t="s">
        <v>53</v>
      </c>
      <c r="O587" s="1" t="s">
        <v>382</v>
      </c>
      <c r="P587" s="2" t="s">
        <v>3828</v>
      </c>
      <c r="Q587" s="1" t="s">
        <v>56</v>
      </c>
      <c r="R587" s="1"/>
      <c r="S587" s="1" t="s">
        <v>288</v>
      </c>
      <c r="T587" s="1">
        <v>2211001.0</v>
      </c>
      <c r="U587" s="1" t="s">
        <v>527</v>
      </c>
      <c r="V587" s="1" t="s">
        <v>290</v>
      </c>
      <c r="W587" s="1" t="s">
        <v>172</v>
      </c>
      <c r="X587" s="1"/>
      <c r="Y587" s="1" t="str">
        <f>"02020000228202120"</f>
        <v>02020000228202120</v>
      </c>
      <c r="Z587" s="1" t="s">
        <v>384</v>
      </c>
      <c r="AA587" s="1" t="s">
        <v>293</v>
      </c>
      <c r="AB587" s="1" t="str">
        <f>"63326474000300"</f>
        <v>63326474000300</v>
      </c>
      <c r="AC587" s="1"/>
      <c r="AD587" s="1"/>
      <c r="AE587" s="1"/>
      <c r="AF587" s="1">
        <v>-42.751389</v>
      </c>
      <c r="AG587" s="1">
        <v>-5.094444</v>
      </c>
      <c r="AH587" s="1" t="s">
        <v>3834</v>
      </c>
      <c r="AI587" s="1"/>
      <c r="AJ587" s="1" t="s">
        <v>295</v>
      </c>
      <c r="AK587" s="1"/>
      <c r="AL587" s="1" t="s">
        <v>128</v>
      </c>
      <c r="AM587" s="1" t="s">
        <v>65</v>
      </c>
      <c r="AN587" s="1" t="s">
        <v>296</v>
      </c>
      <c r="AO587" s="2" t="s">
        <v>2903</v>
      </c>
      <c r="AP587" s="2" t="s">
        <v>3835</v>
      </c>
      <c r="AQ587" s="1" t="s">
        <v>132</v>
      </c>
      <c r="AR587" s="1" t="s">
        <v>531</v>
      </c>
      <c r="AS587" s="1"/>
      <c r="AT587" s="2" t="s">
        <v>70</v>
      </c>
    </row>
    <row r="588">
      <c r="A588" s="1">
        <v>2043216.0</v>
      </c>
      <c r="B588" s="1" t="s">
        <v>116</v>
      </c>
      <c r="C588" s="1" t="s">
        <v>117</v>
      </c>
      <c r="D588" s="1" t="s">
        <v>46</v>
      </c>
      <c r="E588" s="1" t="s">
        <v>3836</v>
      </c>
      <c r="F588" s="1"/>
      <c r="G588" s="1" t="s">
        <v>119</v>
      </c>
      <c r="H588" s="1" t="s">
        <v>50</v>
      </c>
      <c r="I588" s="1">
        <v>1000.0</v>
      </c>
      <c r="J588" s="1"/>
      <c r="K588" s="1"/>
      <c r="L588" s="1" t="s">
        <v>295</v>
      </c>
      <c r="M588" s="1" t="s">
        <v>3837</v>
      </c>
      <c r="N588" s="1" t="s">
        <v>285</v>
      </c>
      <c r="O588" s="1" t="s">
        <v>286</v>
      </c>
      <c r="P588" s="2" t="s">
        <v>3828</v>
      </c>
      <c r="Q588" s="1" t="s">
        <v>56</v>
      </c>
      <c r="R588" s="2" t="s">
        <v>3731</v>
      </c>
      <c r="S588" s="1" t="s">
        <v>288</v>
      </c>
      <c r="T588" s="1">
        <v>2206753.0</v>
      </c>
      <c r="U588" s="1" t="s">
        <v>3838</v>
      </c>
      <c r="V588" s="1" t="s">
        <v>290</v>
      </c>
      <c r="W588" s="1" t="s">
        <v>291</v>
      </c>
      <c r="X588" s="1"/>
      <c r="Y588" s="1" t="str">
        <f>"02020000229202174"</f>
        <v>02020000229202174</v>
      </c>
      <c r="Z588" s="1" t="s">
        <v>292</v>
      </c>
      <c r="AA588" s="1" t="s">
        <v>3839</v>
      </c>
      <c r="AB588" s="1" t="str">
        <f>"07199804000100"</f>
        <v>07199804000100</v>
      </c>
      <c r="AC588" s="1"/>
      <c r="AD588" s="1"/>
      <c r="AE588" s="1"/>
      <c r="AF588" s="1">
        <v>-42.784444</v>
      </c>
      <c r="AG588" s="1">
        <v>-5.065</v>
      </c>
      <c r="AH588" s="1" t="s">
        <v>3839</v>
      </c>
      <c r="AI588" s="1"/>
      <c r="AJ588" s="1" t="s">
        <v>295</v>
      </c>
      <c r="AK588" s="1"/>
      <c r="AL588" s="1" t="s">
        <v>128</v>
      </c>
      <c r="AM588" s="1" t="s">
        <v>65</v>
      </c>
      <c r="AN588" s="1" t="s">
        <v>296</v>
      </c>
      <c r="AO588" s="2" t="s">
        <v>2903</v>
      </c>
      <c r="AP588" s="2" t="s">
        <v>3840</v>
      </c>
      <c r="AQ588" s="1" t="s">
        <v>132</v>
      </c>
      <c r="AR588" s="1" t="s">
        <v>531</v>
      </c>
      <c r="AS588" s="1"/>
      <c r="AT588" s="2" t="s">
        <v>70</v>
      </c>
    </row>
    <row r="589">
      <c r="A589" s="1">
        <v>2043311.0</v>
      </c>
      <c r="B589" s="1" t="s">
        <v>116</v>
      </c>
      <c r="C589" s="1" t="s">
        <v>117</v>
      </c>
      <c r="D589" s="1" t="s">
        <v>46</v>
      </c>
      <c r="E589" s="1" t="s">
        <v>3841</v>
      </c>
      <c r="F589" s="1"/>
      <c r="G589" s="1" t="s">
        <v>119</v>
      </c>
      <c r="H589" s="1" t="s">
        <v>50</v>
      </c>
      <c r="I589" s="1">
        <v>1500.0</v>
      </c>
      <c r="J589" s="1"/>
      <c r="K589" s="1"/>
      <c r="L589" s="1" t="s">
        <v>295</v>
      </c>
      <c r="M589" s="1" t="s">
        <v>3775</v>
      </c>
      <c r="N589" s="1" t="s">
        <v>53</v>
      </c>
      <c r="O589" s="1" t="s">
        <v>382</v>
      </c>
      <c r="P589" s="2" t="s">
        <v>3828</v>
      </c>
      <c r="Q589" s="1" t="s">
        <v>56</v>
      </c>
      <c r="R589" s="1"/>
      <c r="S589" s="1" t="s">
        <v>288</v>
      </c>
      <c r="T589" s="1">
        <v>2208007.0</v>
      </c>
      <c r="U589" s="1" t="s">
        <v>2279</v>
      </c>
      <c r="V589" s="1" t="s">
        <v>290</v>
      </c>
      <c r="W589" s="1" t="s">
        <v>291</v>
      </c>
      <c r="X589" s="1"/>
      <c r="Y589" s="1" t="str">
        <f>"02020000250202170"</f>
        <v>02020000250202170</v>
      </c>
      <c r="Z589" s="1" t="s">
        <v>384</v>
      </c>
      <c r="AA589" s="1" t="s">
        <v>3842</v>
      </c>
      <c r="AB589" s="1" t="str">
        <f>"11617867000107"</f>
        <v>11617867000107</v>
      </c>
      <c r="AC589" s="1"/>
      <c r="AD589" s="1"/>
      <c r="AE589" s="1"/>
      <c r="AF589" s="1">
        <v>-42.751389</v>
      </c>
      <c r="AG589" s="1">
        <v>-5.094444</v>
      </c>
      <c r="AH589" s="1" t="s">
        <v>3843</v>
      </c>
      <c r="AI589" s="1"/>
      <c r="AJ589" s="1" t="s">
        <v>295</v>
      </c>
      <c r="AK589" s="1"/>
      <c r="AL589" s="1" t="s">
        <v>128</v>
      </c>
      <c r="AM589" s="1" t="s">
        <v>65</v>
      </c>
      <c r="AN589" s="1" t="s">
        <v>296</v>
      </c>
      <c r="AO589" s="2" t="s">
        <v>2918</v>
      </c>
      <c r="AP589" s="2" t="s">
        <v>3844</v>
      </c>
      <c r="AQ589" s="1" t="s">
        <v>132</v>
      </c>
      <c r="AR589" s="1" t="s">
        <v>531</v>
      </c>
      <c r="AS589" s="1"/>
      <c r="AT589" s="2" t="s">
        <v>70</v>
      </c>
    </row>
    <row r="590">
      <c r="A590" s="1">
        <v>2043398.0</v>
      </c>
      <c r="B590" s="1" t="s">
        <v>116</v>
      </c>
      <c r="C590" s="1" t="s">
        <v>117</v>
      </c>
      <c r="D590" s="1" t="s">
        <v>46</v>
      </c>
      <c r="E590" s="1" t="s">
        <v>3845</v>
      </c>
      <c r="F590" s="1"/>
      <c r="G590" s="1" t="s">
        <v>119</v>
      </c>
      <c r="H590" s="1" t="s">
        <v>50</v>
      </c>
      <c r="I590" s="1">
        <v>25500.0</v>
      </c>
      <c r="J590" s="1"/>
      <c r="K590" s="1"/>
      <c r="L590" s="1" t="s">
        <v>64</v>
      </c>
      <c r="M590" s="1" t="s">
        <v>3846</v>
      </c>
      <c r="N590" s="1" t="s">
        <v>74</v>
      </c>
      <c r="O590" s="1" t="s">
        <v>75</v>
      </c>
      <c r="P590" s="2" t="s">
        <v>3828</v>
      </c>
      <c r="Q590" s="1" t="s">
        <v>56</v>
      </c>
      <c r="R590" s="1"/>
      <c r="S590" s="1" t="s">
        <v>57</v>
      </c>
      <c r="T590" s="1">
        <v>3205309.0</v>
      </c>
      <c r="U590" s="1" t="s">
        <v>2037</v>
      </c>
      <c r="V590" s="1" t="s">
        <v>59</v>
      </c>
      <c r="W590" s="1" t="s">
        <v>60</v>
      </c>
      <c r="X590" s="1"/>
      <c r="Y590" s="1" t="str">
        <f>"02009000328202112"</f>
        <v>02009000328202112</v>
      </c>
      <c r="Z590" s="1" t="s">
        <v>79</v>
      </c>
      <c r="AA590" s="1" t="s">
        <v>3847</v>
      </c>
      <c r="AB590" s="1" t="str">
        <f>"03845717000122"</f>
        <v>03845717000122</v>
      </c>
      <c r="AC590" s="1"/>
      <c r="AD590" s="1"/>
      <c r="AE590" s="1"/>
      <c r="AF590" s="1">
        <v>-40.216389</v>
      </c>
      <c r="AG590" s="1">
        <v>-20.155556</v>
      </c>
      <c r="AH590" s="1" t="s">
        <v>3847</v>
      </c>
      <c r="AI590" s="1"/>
      <c r="AJ590" s="1" t="s">
        <v>64</v>
      </c>
      <c r="AK590" s="1"/>
      <c r="AL590" s="1" t="s">
        <v>128</v>
      </c>
      <c r="AM590" s="1" t="s">
        <v>65</v>
      </c>
      <c r="AN590" s="1" t="s">
        <v>83</v>
      </c>
      <c r="AO590" s="2" t="s">
        <v>2275</v>
      </c>
      <c r="AP590" s="2" t="s">
        <v>3848</v>
      </c>
      <c r="AQ590" s="1" t="s">
        <v>132</v>
      </c>
      <c r="AR590" s="1" t="s">
        <v>1046</v>
      </c>
      <c r="AS590" s="1"/>
      <c r="AT590" s="2" t="s">
        <v>70</v>
      </c>
    </row>
    <row r="591">
      <c r="A591" s="1"/>
      <c r="B591" s="1" t="s">
        <v>46</v>
      </c>
      <c r="C591" s="1" t="s">
        <v>47</v>
      </c>
      <c r="D591" s="1"/>
      <c r="E591" s="1" t="s">
        <v>3849</v>
      </c>
      <c r="F591" s="1"/>
      <c r="G591" s="1" t="s">
        <v>49</v>
      </c>
      <c r="H591" s="1" t="s">
        <v>72</v>
      </c>
      <c r="I591" s="1">
        <v>4000.0</v>
      </c>
      <c r="J591" s="1"/>
      <c r="K591" s="1"/>
      <c r="L591" s="1"/>
      <c r="M591" s="1" t="s">
        <v>3850</v>
      </c>
      <c r="N591" s="1" t="s">
        <v>257</v>
      </c>
      <c r="O591" s="1" t="s">
        <v>258</v>
      </c>
      <c r="P591" s="2" t="s">
        <v>3851</v>
      </c>
      <c r="Q591" s="1" t="s">
        <v>137</v>
      </c>
      <c r="R591" s="1"/>
      <c r="S591" s="1" t="s">
        <v>765</v>
      </c>
      <c r="T591" s="1">
        <v>2602902.0</v>
      </c>
      <c r="U591" s="1" t="s">
        <v>3852</v>
      </c>
      <c r="V591" s="1" t="s">
        <v>507</v>
      </c>
      <c r="W591" s="1" t="s">
        <v>78</v>
      </c>
      <c r="X591" s="1"/>
      <c r="Y591" s="1"/>
      <c r="Z591" s="1" t="s">
        <v>260</v>
      </c>
      <c r="AA591" s="1" t="s">
        <v>3853</v>
      </c>
      <c r="AB591" s="1" t="str">
        <f>"***006344**"</f>
        <v>***006344**</v>
      </c>
      <c r="AC591" s="1"/>
      <c r="AD591" s="1" t="s">
        <v>81</v>
      </c>
      <c r="AE591" s="1"/>
      <c r="AF591" s="1">
        <v>-47.933056</v>
      </c>
      <c r="AG591" s="1">
        <v>-15.83</v>
      </c>
      <c r="AH591" s="1" t="s">
        <v>3854</v>
      </c>
      <c r="AI591" s="1"/>
      <c r="AJ591" s="1" t="s">
        <v>510</v>
      </c>
      <c r="AK591" s="1"/>
      <c r="AL591" s="1"/>
      <c r="AM591" s="1" t="s">
        <v>65</v>
      </c>
      <c r="AN591" s="1" t="s">
        <v>159</v>
      </c>
      <c r="AO591" s="1"/>
      <c r="AP591" s="2" t="s">
        <v>3855</v>
      </c>
      <c r="AQ591" s="1"/>
      <c r="AR591" s="1" t="s">
        <v>3856</v>
      </c>
      <c r="AS591" s="1"/>
      <c r="AT591" s="2" t="s">
        <v>70</v>
      </c>
    </row>
    <row r="592">
      <c r="A592" s="1"/>
      <c r="B592" s="1" t="s">
        <v>46</v>
      </c>
      <c r="C592" s="1" t="s">
        <v>47</v>
      </c>
      <c r="D592" s="1"/>
      <c r="E592" s="1" t="s">
        <v>3857</v>
      </c>
      <c r="F592" s="1"/>
      <c r="G592" s="1" t="s">
        <v>49</v>
      </c>
      <c r="H592" s="1" t="s">
        <v>72</v>
      </c>
      <c r="I592" s="1">
        <v>12334.8</v>
      </c>
      <c r="J592" s="1"/>
      <c r="K592" s="1"/>
      <c r="L592" s="1"/>
      <c r="M592" s="1" t="s">
        <v>3858</v>
      </c>
      <c r="N592" s="1" t="s">
        <v>109</v>
      </c>
      <c r="O592" s="1" t="s">
        <v>110</v>
      </c>
      <c r="P592" s="2" t="s">
        <v>3859</v>
      </c>
      <c r="Q592" s="1" t="s">
        <v>56</v>
      </c>
      <c r="R592" s="1"/>
      <c r="S592" s="1" t="s">
        <v>220</v>
      </c>
      <c r="T592" s="1">
        <v>5107925.0</v>
      </c>
      <c r="U592" s="1" t="s">
        <v>3724</v>
      </c>
      <c r="V592" s="1" t="s">
        <v>323</v>
      </c>
      <c r="W592" s="1" t="s">
        <v>100</v>
      </c>
      <c r="X592" s="1"/>
      <c r="Y592" s="1"/>
      <c r="Z592" s="1" t="s">
        <v>112</v>
      </c>
      <c r="AA592" s="1" t="s">
        <v>3860</v>
      </c>
      <c r="AB592" s="1" t="str">
        <f>"35771083000105"</f>
        <v>35771083000105</v>
      </c>
      <c r="AC592" s="1"/>
      <c r="AD592" s="1" t="s">
        <v>81</v>
      </c>
      <c r="AE592" s="1"/>
      <c r="AF592" s="1">
        <v>-55.811333</v>
      </c>
      <c r="AG592" s="1">
        <v>-12.697611</v>
      </c>
      <c r="AH592" s="1" t="s">
        <v>3861</v>
      </c>
      <c r="AI592" s="1"/>
      <c r="AJ592" s="1" t="s">
        <v>327</v>
      </c>
      <c r="AK592" s="1"/>
      <c r="AL592" s="1"/>
      <c r="AM592" s="1" t="s">
        <v>65</v>
      </c>
      <c r="AN592" s="1" t="s">
        <v>83</v>
      </c>
      <c r="AO592" s="1"/>
      <c r="AP592" s="2" t="s">
        <v>3862</v>
      </c>
      <c r="AQ592" s="1"/>
      <c r="AR592" s="1" t="s">
        <v>115</v>
      </c>
      <c r="AS592" s="1" t="s">
        <v>3863</v>
      </c>
      <c r="AT592" s="2" t="s">
        <v>70</v>
      </c>
    </row>
    <row r="593">
      <c r="A593" s="1">
        <v>2043463.0</v>
      </c>
      <c r="B593" s="1" t="s">
        <v>116</v>
      </c>
      <c r="C593" s="1" t="s">
        <v>117</v>
      </c>
      <c r="D593" s="1" t="s">
        <v>46</v>
      </c>
      <c r="E593" s="1" t="s">
        <v>3864</v>
      </c>
      <c r="F593" s="1"/>
      <c r="G593" s="1" t="s">
        <v>119</v>
      </c>
      <c r="H593" s="1" t="s">
        <v>72</v>
      </c>
      <c r="I593" s="1">
        <v>62257.39</v>
      </c>
      <c r="J593" s="1"/>
      <c r="K593" s="1"/>
      <c r="L593" s="1" t="s">
        <v>120</v>
      </c>
      <c r="M593" s="1" t="s">
        <v>3865</v>
      </c>
      <c r="N593" s="1" t="s">
        <v>109</v>
      </c>
      <c r="O593" s="1" t="s">
        <v>110</v>
      </c>
      <c r="P593" s="2" t="s">
        <v>3866</v>
      </c>
      <c r="Q593" s="1" t="s">
        <v>77</v>
      </c>
      <c r="R593" s="2" t="s">
        <v>3731</v>
      </c>
      <c r="S593" s="1" t="s">
        <v>1349</v>
      </c>
      <c r="T593" s="1">
        <v>1500859.0</v>
      </c>
      <c r="U593" s="1" t="s">
        <v>1723</v>
      </c>
      <c r="V593" s="1" t="s">
        <v>917</v>
      </c>
      <c r="W593" s="1" t="s">
        <v>100</v>
      </c>
      <c r="X593" s="1"/>
      <c r="Y593" s="1" t="str">
        <f>"02001003174202182"</f>
        <v>02001003174202182</v>
      </c>
      <c r="Z593" s="1" t="s">
        <v>112</v>
      </c>
      <c r="AA593" s="1" t="s">
        <v>3361</v>
      </c>
      <c r="AB593" s="1" t="str">
        <f>"***324058**"</f>
        <v>***324058**</v>
      </c>
      <c r="AC593" s="1"/>
      <c r="AD593" s="1"/>
      <c r="AE593" s="1"/>
      <c r="AF593" s="1">
        <v>-51.204167</v>
      </c>
      <c r="AG593" s="1">
        <v>-3.465278</v>
      </c>
      <c r="AH593" s="1" t="s">
        <v>3867</v>
      </c>
      <c r="AI593" s="1"/>
      <c r="AJ593" s="1" t="s">
        <v>120</v>
      </c>
      <c r="AK593" s="1"/>
      <c r="AL593" s="1" t="s">
        <v>128</v>
      </c>
      <c r="AM593" s="1" t="s">
        <v>65</v>
      </c>
      <c r="AN593" s="1" t="s">
        <v>1726</v>
      </c>
      <c r="AO593" s="2" t="s">
        <v>1972</v>
      </c>
      <c r="AP593" s="2" t="s">
        <v>3868</v>
      </c>
      <c r="AQ593" s="1" t="s">
        <v>132</v>
      </c>
      <c r="AR593" s="1" t="s">
        <v>133</v>
      </c>
      <c r="AS593" s="1"/>
      <c r="AT593" s="2" t="s">
        <v>70</v>
      </c>
    </row>
    <row r="594">
      <c r="A594" s="1">
        <v>2042976.0</v>
      </c>
      <c r="B594" s="1" t="s">
        <v>116</v>
      </c>
      <c r="C594" s="1" t="s">
        <v>117</v>
      </c>
      <c r="D594" s="1" t="s">
        <v>46</v>
      </c>
      <c r="E594" s="1" t="s">
        <v>3869</v>
      </c>
      <c r="F594" s="1"/>
      <c r="G594" s="1" t="s">
        <v>119</v>
      </c>
      <c r="H594" s="1" t="s">
        <v>50</v>
      </c>
      <c r="I594" s="1">
        <v>52500.0</v>
      </c>
      <c r="J594" s="1"/>
      <c r="K594" s="1"/>
      <c r="L594" s="1" t="s">
        <v>1227</v>
      </c>
      <c r="M594" s="1" t="s">
        <v>3870</v>
      </c>
      <c r="N594" s="1" t="s">
        <v>53</v>
      </c>
      <c r="O594" s="1" t="s">
        <v>333</v>
      </c>
      <c r="P594" s="2" t="s">
        <v>3871</v>
      </c>
      <c r="Q594" s="1" t="s">
        <v>56</v>
      </c>
      <c r="R594" s="1"/>
      <c r="S594" s="1" t="s">
        <v>123</v>
      </c>
      <c r="T594" s="1">
        <v>1100304.0</v>
      </c>
      <c r="U594" s="1" t="s">
        <v>3872</v>
      </c>
      <c r="V594" s="1" t="s">
        <v>125</v>
      </c>
      <c r="W594" s="1" t="s">
        <v>100</v>
      </c>
      <c r="X594" s="1"/>
      <c r="Y594" s="1" t="str">
        <f>"02049000019202168"</f>
        <v>02049000019202168</v>
      </c>
      <c r="Z594" s="1" t="s">
        <v>223</v>
      </c>
      <c r="AA594" s="1" t="s">
        <v>3873</v>
      </c>
      <c r="AB594" s="1" t="str">
        <f>"04794471000170"</f>
        <v>04794471000170</v>
      </c>
      <c r="AC594" s="1"/>
      <c r="AD594" s="1"/>
      <c r="AE594" s="1"/>
      <c r="AF594" s="1">
        <v>-60.235</v>
      </c>
      <c r="AG594" s="1">
        <v>-12.124444</v>
      </c>
      <c r="AH594" s="1" t="s">
        <v>3874</v>
      </c>
      <c r="AI594" s="1"/>
      <c r="AJ594" s="1" t="s">
        <v>1227</v>
      </c>
      <c r="AK594" s="1"/>
      <c r="AL594" s="1" t="s">
        <v>128</v>
      </c>
      <c r="AM594" s="1" t="s">
        <v>65</v>
      </c>
      <c r="AN594" s="1" t="s">
        <v>274</v>
      </c>
      <c r="AO594" s="2" t="s">
        <v>3875</v>
      </c>
      <c r="AP594" s="2" t="s">
        <v>3876</v>
      </c>
      <c r="AQ594" s="1" t="s">
        <v>132</v>
      </c>
      <c r="AR594" s="1" t="s">
        <v>247</v>
      </c>
      <c r="AS594" s="1"/>
      <c r="AT594" s="2" t="s">
        <v>70</v>
      </c>
    </row>
    <row r="595">
      <c r="A595" s="1"/>
      <c r="B595" s="1" t="s">
        <v>46</v>
      </c>
      <c r="C595" s="1" t="s">
        <v>47</v>
      </c>
      <c r="D595" s="1"/>
      <c r="E595" s="1" t="s">
        <v>3877</v>
      </c>
      <c r="F595" s="1"/>
      <c r="G595" s="1" t="s">
        <v>49</v>
      </c>
      <c r="H595" s="1" t="s">
        <v>72</v>
      </c>
      <c r="I595" s="1">
        <v>6321.6</v>
      </c>
      <c r="J595" s="1"/>
      <c r="K595" s="1"/>
      <c r="L595" s="1"/>
      <c r="M595" s="1" t="s">
        <v>3878</v>
      </c>
      <c r="N595" s="1" t="s">
        <v>109</v>
      </c>
      <c r="O595" s="1" t="s">
        <v>110</v>
      </c>
      <c r="P595" s="2" t="s">
        <v>3879</v>
      </c>
      <c r="Q595" s="1" t="s">
        <v>56</v>
      </c>
      <c r="R595" s="1"/>
      <c r="S595" s="1" t="s">
        <v>1349</v>
      </c>
      <c r="T595" s="1">
        <v>1501402.0</v>
      </c>
      <c r="U595" s="1" t="s">
        <v>3880</v>
      </c>
      <c r="V595" s="1" t="s">
        <v>917</v>
      </c>
      <c r="W595" s="1" t="s">
        <v>100</v>
      </c>
      <c r="X595" s="1"/>
      <c r="Y595" s="1"/>
      <c r="Z595" s="1" t="s">
        <v>112</v>
      </c>
      <c r="AA595" s="1" t="s">
        <v>3881</v>
      </c>
      <c r="AB595" s="1" t="str">
        <f>"05030663000172"</f>
        <v>05030663000172</v>
      </c>
      <c r="AC595" s="1"/>
      <c r="AD595" s="1" t="s">
        <v>62</v>
      </c>
      <c r="AE595" s="1"/>
      <c r="AF595" s="1">
        <v>-48.456111</v>
      </c>
      <c r="AG595" s="1">
        <v>-1.283611</v>
      </c>
      <c r="AH595" s="1" t="s">
        <v>3882</v>
      </c>
      <c r="AI595" s="1"/>
      <c r="AJ595" s="1" t="s">
        <v>1346</v>
      </c>
      <c r="AK595" s="1"/>
      <c r="AL595" s="1"/>
      <c r="AM595" s="1" t="s">
        <v>65</v>
      </c>
      <c r="AN595" s="1"/>
      <c r="AO595" s="1"/>
      <c r="AP595" s="2" t="s">
        <v>3883</v>
      </c>
      <c r="AQ595" s="1"/>
      <c r="AR595" s="1" t="s">
        <v>115</v>
      </c>
      <c r="AS595" s="1"/>
      <c r="AT595" s="2" t="s">
        <v>70</v>
      </c>
    </row>
    <row r="596">
      <c r="A596" s="1">
        <v>2042960.0</v>
      </c>
      <c r="B596" s="1" t="s">
        <v>116</v>
      </c>
      <c r="C596" s="1" t="s">
        <v>117</v>
      </c>
      <c r="D596" s="1" t="s">
        <v>46</v>
      </c>
      <c r="E596" s="1" t="s">
        <v>3884</v>
      </c>
      <c r="F596" s="1"/>
      <c r="G596" s="1" t="s">
        <v>119</v>
      </c>
      <c r="H596" s="1" t="s">
        <v>72</v>
      </c>
      <c r="I596" s="1">
        <v>9000.0</v>
      </c>
      <c r="J596" s="1"/>
      <c r="K596" s="1"/>
      <c r="L596" s="1" t="s">
        <v>405</v>
      </c>
      <c r="M596" s="1" t="s">
        <v>3885</v>
      </c>
      <c r="N596" s="1" t="s">
        <v>285</v>
      </c>
      <c r="O596" s="1" t="s">
        <v>286</v>
      </c>
      <c r="P596" s="2" t="s">
        <v>3886</v>
      </c>
      <c r="Q596" s="1" t="s">
        <v>56</v>
      </c>
      <c r="R596" s="1"/>
      <c r="S596" s="1" t="s">
        <v>400</v>
      </c>
      <c r="T596" s="1">
        <v>4313300.0</v>
      </c>
      <c r="U596" s="1" t="s">
        <v>3887</v>
      </c>
      <c r="V596" s="1" t="s">
        <v>402</v>
      </c>
      <c r="W596" s="1" t="s">
        <v>78</v>
      </c>
      <c r="X596" s="1"/>
      <c r="Y596" s="1" t="str">
        <f>"02023000188202196"</f>
        <v>02023000188202196</v>
      </c>
      <c r="Z596" s="1" t="s">
        <v>292</v>
      </c>
      <c r="AA596" s="1" t="s">
        <v>3888</v>
      </c>
      <c r="AB596" s="1" t="str">
        <f>"83158824008287"</f>
        <v>83158824008287</v>
      </c>
      <c r="AC596" s="1"/>
      <c r="AD596" s="1"/>
      <c r="AE596" s="1"/>
      <c r="AF596" s="1">
        <v>-51.633056</v>
      </c>
      <c r="AG596" s="1">
        <v>-28.74325</v>
      </c>
      <c r="AH596" s="1" t="s">
        <v>3889</v>
      </c>
      <c r="AI596" s="1"/>
      <c r="AJ596" s="1" t="s">
        <v>405</v>
      </c>
      <c r="AK596" s="1"/>
      <c r="AL596" s="1" t="s">
        <v>128</v>
      </c>
      <c r="AM596" s="1" t="s">
        <v>65</v>
      </c>
      <c r="AN596" s="1" t="s">
        <v>1302</v>
      </c>
      <c r="AO596" s="2" t="s">
        <v>3890</v>
      </c>
      <c r="AP596" s="2" t="s">
        <v>3891</v>
      </c>
      <c r="AQ596" s="1" t="s">
        <v>132</v>
      </c>
      <c r="AR596" s="1" t="s">
        <v>952</v>
      </c>
      <c r="AS596" s="1" t="s">
        <v>3892</v>
      </c>
      <c r="AT596" s="2" t="s">
        <v>70</v>
      </c>
    </row>
    <row r="597">
      <c r="A597" s="1">
        <v>2043367.0</v>
      </c>
      <c r="B597" s="1" t="s">
        <v>116</v>
      </c>
      <c r="C597" s="1" t="s">
        <v>117</v>
      </c>
      <c r="D597" s="1" t="s">
        <v>46</v>
      </c>
      <c r="E597" s="1" t="s">
        <v>3893</v>
      </c>
      <c r="F597" s="1"/>
      <c r="G597" s="1" t="s">
        <v>119</v>
      </c>
      <c r="H597" s="1" t="s">
        <v>72</v>
      </c>
      <c r="I597" s="1">
        <v>20009.0</v>
      </c>
      <c r="J597" s="1"/>
      <c r="K597" s="1"/>
      <c r="L597" s="1" t="s">
        <v>175</v>
      </c>
      <c r="M597" s="1" t="s">
        <v>3894</v>
      </c>
      <c r="N597" s="1" t="s">
        <v>109</v>
      </c>
      <c r="O597" s="1" t="s">
        <v>110</v>
      </c>
      <c r="P597" s="2" t="s">
        <v>3886</v>
      </c>
      <c r="Q597" s="1" t="s">
        <v>77</v>
      </c>
      <c r="R597" s="2" t="s">
        <v>3895</v>
      </c>
      <c r="S597" s="1" t="s">
        <v>220</v>
      </c>
      <c r="T597" s="1">
        <v>5211909.0</v>
      </c>
      <c r="U597" s="1" t="s">
        <v>170</v>
      </c>
      <c r="V597" s="1" t="s">
        <v>171</v>
      </c>
      <c r="W597" s="1" t="s">
        <v>172</v>
      </c>
      <c r="X597" s="1"/>
      <c r="Y597" s="1" t="str">
        <f>"02010000234202104"</f>
        <v>02010000234202104</v>
      </c>
      <c r="Z597" s="1" t="s">
        <v>112</v>
      </c>
      <c r="AA597" s="1" t="s">
        <v>2416</v>
      </c>
      <c r="AB597" s="1" t="str">
        <f t="shared" ref="AB597:AB598" si="39">"26721857000194"</f>
        <v>26721857000194</v>
      </c>
      <c r="AC597" s="1"/>
      <c r="AD597" s="1"/>
      <c r="AE597" s="1"/>
      <c r="AF597" s="1">
        <v>-51.69</v>
      </c>
      <c r="AG597" s="1">
        <v>-17.923333</v>
      </c>
      <c r="AH597" s="1" t="s">
        <v>3896</v>
      </c>
      <c r="AI597" s="1"/>
      <c r="AJ597" s="1" t="s">
        <v>175</v>
      </c>
      <c r="AK597" s="1"/>
      <c r="AL597" s="1" t="s">
        <v>128</v>
      </c>
      <c r="AM597" s="1" t="s">
        <v>65</v>
      </c>
      <c r="AN597" s="1" t="s">
        <v>83</v>
      </c>
      <c r="AO597" s="2" t="s">
        <v>2407</v>
      </c>
      <c r="AP597" s="2" t="s">
        <v>3897</v>
      </c>
      <c r="AQ597" s="1" t="s">
        <v>132</v>
      </c>
      <c r="AR597" s="1" t="s">
        <v>133</v>
      </c>
      <c r="AS597" s="1"/>
      <c r="AT597" s="2" t="s">
        <v>70</v>
      </c>
    </row>
    <row r="598">
      <c r="A598" s="1">
        <v>2043368.0</v>
      </c>
      <c r="B598" s="1" t="s">
        <v>116</v>
      </c>
      <c r="C598" s="1" t="s">
        <v>117</v>
      </c>
      <c r="D598" s="1" t="s">
        <v>46</v>
      </c>
      <c r="E598" s="1" t="s">
        <v>3898</v>
      </c>
      <c r="F598" s="1"/>
      <c r="G598" s="1" t="s">
        <v>119</v>
      </c>
      <c r="H598" s="1" t="s">
        <v>72</v>
      </c>
      <c r="I598" s="1">
        <v>20009.0</v>
      </c>
      <c r="J598" s="1"/>
      <c r="K598" s="1"/>
      <c r="L598" s="1" t="s">
        <v>175</v>
      </c>
      <c r="M598" s="1" t="s">
        <v>3899</v>
      </c>
      <c r="N598" s="1" t="s">
        <v>109</v>
      </c>
      <c r="O598" s="1" t="s">
        <v>110</v>
      </c>
      <c r="P598" s="2" t="s">
        <v>3886</v>
      </c>
      <c r="Q598" s="1" t="s">
        <v>137</v>
      </c>
      <c r="R598" s="1"/>
      <c r="S598" s="1" t="s">
        <v>220</v>
      </c>
      <c r="T598" s="1">
        <v>5211909.0</v>
      </c>
      <c r="U598" s="1" t="s">
        <v>170</v>
      </c>
      <c r="V598" s="1" t="s">
        <v>171</v>
      </c>
      <c r="W598" s="1" t="s">
        <v>100</v>
      </c>
      <c r="X598" s="1"/>
      <c r="Y598" s="1" t="str">
        <f>"02010000235202141"</f>
        <v>02010000235202141</v>
      </c>
      <c r="Z598" s="1" t="s">
        <v>112</v>
      </c>
      <c r="AA598" s="1" t="s">
        <v>2416</v>
      </c>
      <c r="AB598" s="1" t="str">
        <f t="shared" si="39"/>
        <v>26721857000194</v>
      </c>
      <c r="AC598" s="1"/>
      <c r="AD598" s="1"/>
      <c r="AE598" s="1"/>
      <c r="AF598" s="1">
        <v>-51.69</v>
      </c>
      <c r="AG598" s="1">
        <v>-17.923333</v>
      </c>
      <c r="AH598" s="1" t="s">
        <v>3900</v>
      </c>
      <c r="AI598" s="1"/>
      <c r="AJ598" s="1" t="s">
        <v>175</v>
      </c>
      <c r="AK598" s="1"/>
      <c r="AL598" s="1" t="s">
        <v>128</v>
      </c>
      <c r="AM598" s="1" t="s">
        <v>65</v>
      </c>
      <c r="AN598" s="1" t="s">
        <v>83</v>
      </c>
      <c r="AO598" s="2" t="s">
        <v>2407</v>
      </c>
      <c r="AP598" s="2" t="s">
        <v>3901</v>
      </c>
      <c r="AQ598" s="1" t="s">
        <v>132</v>
      </c>
      <c r="AR598" s="1" t="s">
        <v>133</v>
      </c>
      <c r="AS598" s="1"/>
      <c r="AT598" s="2" t="s">
        <v>70</v>
      </c>
    </row>
    <row r="599">
      <c r="A599" s="1">
        <v>2042977.0</v>
      </c>
      <c r="B599" s="1" t="s">
        <v>116</v>
      </c>
      <c r="C599" s="1" t="s">
        <v>117</v>
      </c>
      <c r="D599" s="1" t="s">
        <v>46</v>
      </c>
      <c r="E599" s="1" t="s">
        <v>3902</v>
      </c>
      <c r="F599" s="1"/>
      <c r="G599" s="1" t="s">
        <v>119</v>
      </c>
      <c r="H599" s="1" t="s">
        <v>50</v>
      </c>
      <c r="I599" s="1">
        <v>52500.0</v>
      </c>
      <c r="J599" s="1"/>
      <c r="K599" s="1"/>
      <c r="L599" s="1" t="s">
        <v>1227</v>
      </c>
      <c r="M599" s="1" t="s">
        <v>3903</v>
      </c>
      <c r="N599" s="1" t="s">
        <v>53</v>
      </c>
      <c r="O599" s="1" t="s">
        <v>333</v>
      </c>
      <c r="P599" s="2" t="s">
        <v>3904</v>
      </c>
      <c r="Q599" s="1" t="s">
        <v>56</v>
      </c>
      <c r="R599" s="1"/>
      <c r="S599" s="1" t="s">
        <v>148</v>
      </c>
      <c r="T599" s="1">
        <v>1100064.0</v>
      </c>
      <c r="U599" s="1" t="s">
        <v>3477</v>
      </c>
      <c r="V599" s="1" t="s">
        <v>125</v>
      </c>
      <c r="W599" s="1" t="s">
        <v>100</v>
      </c>
      <c r="X599" s="1"/>
      <c r="Y599" s="1" t="str">
        <f>"02049000020202192"</f>
        <v>02049000020202192</v>
      </c>
      <c r="Z599" s="1" t="s">
        <v>223</v>
      </c>
      <c r="AA599" s="1" t="s">
        <v>3478</v>
      </c>
      <c r="AB599" s="1" t="str">
        <f t="shared" ref="AB599:AB600" si="40">"17133577000174"</f>
        <v>17133577000174</v>
      </c>
      <c r="AC599" s="1"/>
      <c r="AD599" s="1"/>
      <c r="AE599" s="1"/>
      <c r="AF599" s="1">
        <v>-60.530556</v>
      </c>
      <c r="AG599" s="1">
        <v>-13.118889</v>
      </c>
      <c r="AH599" s="1" t="s">
        <v>3905</v>
      </c>
      <c r="AI599" s="1"/>
      <c r="AJ599" s="1" t="s">
        <v>1227</v>
      </c>
      <c r="AK599" s="1"/>
      <c r="AL599" s="1" t="s">
        <v>128</v>
      </c>
      <c r="AM599" s="1" t="s">
        <v>65</v>
      </c>
      <c r="AN599" s="1" t="s">
        <v>274</v>
      </c>
      <c r="AO599" s="2" t="s">
        <v>3875</v>
      </c>
      <c r="AP599" s="2" t="s">
        <v>3906</v>
      </c>
      <c r="AQ599" s="1" t="s">
        <v>132</v>
      </c>
      <c r="AR599" s="1" t="s">
        <v>247</v>
      </c>
      <c r="AS599" s="1" t="s">
        <v>2310</v>
      </c>
      <c r="AT599" s="2" t="s">
        <v>70</v>
      </c>
    </row>
    <row r="600">
      <c r="A600" s="1">
        <v>2042978.0</v>
      </c>
      <c r="B600" s="1" t="s">
        <v>116</v>
      </c>
      <c r="C600" s="1" t="s">
        <v>117</v>
      </c>
      <c r="D600" s="1" t="s">
        <v>46</v>
      </c>
      <c r="E600" s="1" t="s">
        <v>3907</v>
      </c>
      <c r="F600" s="1"/>
      <c r="G600" s="1" t="s">
        <v>119</v>
      </c>
      <c r="H600" s="1" t="s">
        <v>50</v>
      </c>
      <c r="I600" s="1">
        <v>52500.0</v>
      </c>
      <c r="J600" s="1"/>
      <c r="K600" s="1"/>
      <c r="L600" s="1" t="s">
        <v>1227</v>
      </c>
      <c r="M600" s="1" t="s">
        <v>3908</v>
      </c>
      <c r="N600" s="1" t="s">
        <v>53</v>
      </c>
      <c r="O600" s="1" t="s">
        <v>333</v>
      </c>
      <c r="P600" s="2" t="s">
        <v>3909</v>
      </c>
      <c r="Q600" s="1" t="s">
        <v>56</v>
      </c>
      <c r="R600" s="1"/>
      <c r="S600" s="1" t="s">
        <v>123</v>
      </c>
      <c r="T600" s="1">
        <v>1100064.0</v>
      </c>
      <c r="U600" s="1" t="s">
        <v>3477</v>
      </c>
      <c r="V600" s="1" t="s">
        <v>125</v>
      </c>
      <c r="W600" s="1" t="s">
        <v>100</v>
      </c>
      <c r="X600" s="1"/>
      <c r="Y600" s="1" t="str">
        <f>"02049000021202137"</f>
        <v>02049000021202137</v>
      </c>
      <c r="Z600" s="1" t="s">
        <v>223</v>
      </c>
      <c r="AA600" s="1" t="s">
        <v>3478</v>
      </c>
      <c r="AB600" s="1" t="str">
        <f t="shared" si="40"/>
        <v>17133577000174</v>
      </c>
      <c r="AC600" s="1"/>
      <c r="AD600" s="1"/>
      <c r="AE600" s="1"/>
      <c r="AF600" s="1">
        <v>-60.530556</v>
      </c>
      <c r="AG600" s="1">
        <v>-13.118889</v>
      </c>
      <c r="AH600" s="1" t="s">
        <v>3479</v>
      </c>
      <c r="AI600" s="1"/>
      <c r="AJ600" s="1" t="s">
        <v>1227</v>
      </c>
      <c r="AK600" s="1"/>
      <c r="AL600" s="1" t="s">
        <v>128</v>
      </c>
      <c r="AM600" s="1" t="s">
        <v>65</v>
      </c>
      <c r="AN600" s="1" t="s">
        <v>274</v>
      </c>
      <c r="AO600" s="2" t="s">
        <v>3875</v>
      </c>
      <c r="AP600" s="2" t="s">
        <v>3910</v>
      </c>
      <c r="AQ600" s="1" t="s">
        <v>132</v>
      </c>
      <c r="AR600" s="1" t="s">
        <v>247</v>
      </c>
      <c r="AS600" s="1" t="s">
        <v>2310</v>
      </c>
      <c r="AT600" s="2" t="s">
        <v>70</v>
      </c>
    </row>
    <row r="601">
      <c r="A601" s="1">
        <v>2043203.0</v>
      </c>
      <c r="B601" s="1" t="s">
        <v>116</v>
      </c>
      <c r="C601" s="1" t="s">
        <v>117</v>
      </c>
      <c r="D601" s="1" t="s">
        <v>46</v>
      </c>
      <c r="E601" s="1" t="s">
        <v>3911</v>
      </c>
      <c r="F601" s="1"/>
      <c r="G601" s="1" t="s">
        <v>119</v>
      </c>
      <c r="H601" s="1" t="s">
        <v>50</v>
      </c>
      <c r="I601" s="1">
        <v>1000.0</v>
      </c>
      <c r="J601" s="1"/>
      <c r="K601" s="1"/>
      <c r="L601" s="1" t="s">
        <v>295</v>
      </c>
      <c r="M601" s="1" t="s">
        <v>525</v>
      </c>
      <c r="N601" s="1" t="s">
        <v>186</v>
      </c>
      <c r="O601" s="1" t="s">
        <v>95</v>
      </c>
      <c r="P601" s="2" t="s">
        <v>3909</v>
      </c>
      <c r="Q601" s="1" t="s">
        <v>56</v>
      </c>
      <c r="R601" s="2" t="s">
        <v>3895</v>
      </c>
      <c r="S601" s="1" t="s">
        <v>288</v>
      </c>
      <c r="T601" s="1">
        <v>2211001.0</v>
      </c>
      <c r="U601" s="1" t="s">
        <v>527</v>
      </c>
      <c r="V601" s="1" t="s">
        <v>290</v>
      </c>
      <c r="W601" s="1" t="s">
        <v>172</v>
      </c>
      <c r="X601" s="1"/>
      <c r="Y601" s="1" t="str">
        <f>"02020000219202139"</f>
        <v>02020000219202139</v>
      </c>
      <c r="Z601" s="1" t="s">
        <v>101</v>
      </c>
      <c r="AA601" s="1" t="s">
        <v>3912</v>
      </c>
      <c r="AB601" s="1" t="str">
        <f>"03123107000115"</f>
        <v>03123107000115</v>
      </c>
      <c r="AC601" s="1"/>
      <c r="AD601" s="1"/>
      <c r="AE601" s="1"/>
      <c r="AF601" s="1">
        <v>-42.783889</v>
      </c>
      <c r="AG601" s="1">
        <v>-5.065</v>
      </c>
      <c r="AH601" s="1" t="s">
        <v>1162</v>
      </c>
      <c r="AI601" s="1"/>
      <c r="AJ601" s="1" t="s">
        <v>295</v>
      </c>
      <c r="AK601" s="1"/>
      <c r="AL601" s="1" t="s">
        <v>128</v>
      </c>
      <c r="AM601" s="1" t="s">
        <v>65</v>
      </c>
      <c r="AN601" s="1" t="s">
        <v>296</v>
      </c>
      <c r="AO601" s="2" t="s">
        <v>2903</v>
      </c>
      <c r="AP601" s="2" t="s">
        <v>3913</v>
      </c>
      <c r="AQ601" s="1" t="s">
        <v>132</v>
      </c>
      <c r="AR601" s="1" t="s">
        <v>531</v>
      </c>
      <c r="AS601" s="1"/>
      <c r="AT601" s="2" t="s">
        <v>70</v>
      </c>
    </row>
    <row r="602">
      <c r="A602" s="1">
        <v>2043211.0</v>
      </c>
      <c r="B602" s="1" t="s">
        <v>116</v>
      </c>
      <c r="C602" s="1" t="s">
        <v>117</v>
      </c>
      <c r="D602" s="1" t="s">
        <v>46</v>
      </c>
      <c r="E602" s="1" t="s">
        <v>3914</v>
      </c>
      <c r="F602" s="1"/>
      <c r="G602" s="1" t="s">
        <v>119</v>
      </c>
      <c r="H602" s="1" t="s">
        <v>50</v>
      </c>
      <c r="I602" s="1">
        <v>3000.0</v>
      </c>
      <c r="J602" s="1"/>
      <c r="K602" s="1"/>
      <c r="L602" s="1" t="s">
        <v>295</v>
      </c>
      <c r="M602" s="1" t="s">
        <v>3915</v>
      </c>
      <c r="N602" s="1" t="s">
        <v>53</v>
      </c>
      <c r="O602" s="1" t="s">
        <v>382</v>
      </c>
      <c r="P602" s="2" t="s">
        <v>3909</v>
      </c>
      <c r="Q602" s="1" t="s">
        <v>56</v>
      </c>
      <c r="R602" s="1"/>
      <c r="S602" s="1" t="s">
        <v>288</v>
      </c>
      <c r="T602" s="1">
        <v>2211001.0</v>
      </c>
      <c r="U602" s="1" t="s">
        <v>527</v>
      </c>
      <c r="V602" s="1" t="s">
        <v>290</v>
      </c>
      <c r="W602" s="1" t="s">
        <v>172</v>
      </c>
      <c r="X602" s="1"/>
      <c r="Y602" s="1" t="str">
        <f>"02020000224202141"</f>
        <v>02020000224202141</v>
      </c>
      <c r="Z602" s="1" t="s">
        <v>384</v>
      </c>
      <c r="AA602" s="1" t="s">
        <v>3916</v>
      </c>
      <c r="AB602" s="1" t="str">
        <f>"10331676000111"</f>
        <v>10331676000111</v>
      </c>
      <c r="AC602" s="1"/>
      <c r="AD602" s="1"/>
      <c r="AE602" s="1"/>
      <c r="AF602" s="1">
        <v>-42.751389</v>
      </c>
      <c r="AG602" s="1">
        <v>-5.094444</v>
      </c>
      <c r="AH602" s="1" t="s">
        <v>3917</v>
      </c>
      <c r="AI602" s="1"/>
      <c r="AJ602" s="1" t="s">
        <v>295</v>
      </c>
      <c r="AK602" s="1"/>
      <c r="AL602" s="1" t="s">
        <v>128</v>
      </c>
      <c r="AM602" s="1" t="s">
        <v>65</v>
      </c>
      <c r="AN602" s="1" t="s">
        <v>296</v>
      </c>
      <c r="AO602" s="2" t="s">
        <v>2903</v>
      </c>
      <c r="AP602" s="2" t="s">
        <v>3918</v>
      </c>
      <c r="AQ602" s="1" t="s">
        <v>132</v>
      </c>
      <c r="AR602" s="1" t="s">
        <v>531</v>
      </c>
      <c r="AS602" s="1"/>
      <c r="AT602" s="2" t="s">
        <v>70</v>
      </c>
    </row>
    <row r="603">
      <c r="A603" s="1">
        <v>2043310.0</v>
      </c>
      <c r="B603" s="1" t="s">
        <v>116</v>
      </c>
      <c r="C603" s="1" t="s">
        <v>117</v>
      </c>
      <c r="D603" s="1" t="s">
        <v>46</v>
      </c>
      <c r="E603" s="1" t="s">
        <v>3919</v>
      </c>
      <c r="F603" s="1"/>
      <c r="G603" s="1" t="s">
        <v>119</v>
      </c>
      <c r="H603" s="1" t="s">
        <v>50</v>
      </c>
      <c r="I603" s="1">
        <v>1500.0</v>
      </c>
      <c r="J603" s="1"/>
      <c r="K603" s="1"/>
      <c r="L603" s="1" t="s">
        <v>295</v>
      </c>
      <c r="M603" s="1" t="s">
        <v>3915</v>
      </c>
      <c r="N603" s="1" t="s">
        <v>53</v>
      </c>
      <c r="O603" s="1" t="s">
        <v>382</v>
      </c>
      <c r="P603" s="2" t="s">
        <v>3920</v>
      </c>
      <c r="Q603" s="1" t="s">
        <v>56</v>
      </c>
      <c r="R603" s="1"/>
      <c r="S603" s="1" t="s">
        <v>288</v>
      </c>
      <c r="T603" s="1">
        <v>2201002.0</v>
      </c>
      <c r="U603" s="1" t="s">
        <v>3921</v>
      </c>
      <c r="V603" s="1" t="s">
        <v>290</v>
      </c>
      <c r="W603" s="1" t="s">
        <v>291</v>
      </c>
      <c r="X603" s="1"/>
      <c r="Y603" s="1" t="str">
        <f>"02020000249202145"</f>
        <v>02020000249202145</v>
      </c>
      <c r="Z603" s="1" t="s">
        <v>384</v>
      </c>
      <c r="AA603" s="1" t="s">
        <v>3922</v>
      </c>
      <c r="AB603" s="1" t="str">
        <f>"05525233000202"</f>
        <v>05525233000202</v>
      </c>
      <c r="AC603" s="1"/>
      <c r="AD603" s="1"/>
      <c r="AE603" s="1"/>
      <c r="AF603" s="1">
        <v>-42.751389</v>
      </c>
      <c r="AG603" s="1">
        <v>-5.094444</v>
      </c>
      <c r="AH603" s="1" t="s">
        <v>3923</v>
      </c>
      <c r="AI603" s="1"/>
      <c r="AJ603" s="1" t="s">
        <v>295</v>
      </c>
      <c r="AK603" s="1"/>
      <c r="AL603" s="1" t="s">
        <v>128</v>
      </c>
      <c r="AM603" s="1" t="s">
        <v>65</v>
      </c>
      <c r="AN603" s="1" t="s">
        <v>296</v>
      </c>
      <c r="AO603" s="2" t="s">
        <v>2918</v>
      </c>
      <c r="AP603" s="2" t="s">
        <v>3924</v>
      </c>
      <c r="AQ603" s="1" t="s">
        <v>132</v>
      </c>
      <c r="AR603" s="1" t="s">
        <v>531</v>
      </c>
      <c r="AS603" s="1"/>
      <c r="AT603" s="2" t="s">
        <v>70</v>
      </c>
    </row>
    <row r="604">
      <c r="A604" s="1">
        <v>2043020.0</v>
      </c>
      <c r="B604" s="1" t="s">
        <v>116</v>
      </c>
      <c r="C604" s="1" t="s">
        <v>117</v>
      </c>
      <c r="D604" s="1" t="s">
        <v>46</v>
      </c>
      <c r="E604" s="1" t="s">
        <v>3925</v>
      </c>
      <c r="F604" s="1"/>
      <c r="G604" s="1" t="s">
        <v>119</v>
      </c>
      <c r="H604" s="1" t="s">
        <v>72</v>
      </c>
      <c r="I604" s="1">
        <v>2100.0</v>
      </c>
      <c r="J604" s="1"/>
      <c r="K604" s="1"/>
      <c r="L604" s="1" t="s">
        <v>485</v>
      </c>
      <c r="M604" s="1" t="s">
        <v>3926</v>
      </c>
      <c r="N604" s="1" t="s">
        <v>109</v>
      </c>
      <c r="O604" s="1" t="s">
        <v>110</v>
      </c>
      <c r="P604" s="2" t="s">
        <v>3927</v>
      </c>
      <c r="Q604" s="1" t="s">
        <v>56</v>
      </c>
      <c r="R604" s="2" t="s">
        <v>3895</v>
      </c>
      <c r="S604" s="1" t="s">
        <v>488</v>
      </c>
      <c r="T604" s="1">
        <v>1721000.0</v>
      </c>
      <c r="U604" s="1" t="s">
        <v>886</v>
      </c>
      <c r="V604" s="1" t="s">
        <v>490</v>
      </c>
      <c r="W604" s="1" t="s">
        <v>172</v>
      </c>
      <c r="X604" s="1"/>
      <c r="Y604" s="1" t="str">
        <f>"02029000090202189"</f>
        <v>02029000090202189</v>
      </c>
      <c r="Z604" s="1" t="s">
        <v>112</v>
      </c>
      <c r="AA604" s="1" t="s">
        <v>3928</v>
      </c>
      <c r="AB604" s="1" t="str">
        <f>"***264938**"</f>
        <v>***264938**</v>
      </c>
      <c r="AC604" s="1"/>
      <c r="AD604" s="1"/>
      <c r="AE604" s="1"/>
      <c r="AF604" s="1">
        <v>-48.332778</v>
      </c>
      <c r="AG604" s="1">
        <v>-10.208611</v>
      </c>
      <c r="AH604" s="1" t="s">
        <v>3929</v>
      </c>
      <c r="AI604" s="1"/>
      <c r="AJ604" s="1" t="s">
        <v>485</v>
      </c>
      <c r="AK604" s="1"/>
      <c r="AL604" s="1" t="s">
        <v>128</v>
      </c>
      <c r="AM604" s="1" t="s">
        <v>65</v>
      </c>
      <c r="AN604" s="1" t="s">
        <v>83</v>
      </c>
      <c r="AO604" s="2" t="s">
        <v>3930</v>
      </c>
      <c r="AP604" s="2" t="s">
        <v>3931</v>
      </c>
      <c r="AQ604" s="1" t="s">
        <v>132</v>
      </c>
      <c r="AR604" s="1" t="s">
        <v>133</v>
      </c>
      <c r="AS604" s="1" t="s">
        <v>3932</v>
      </c>
      <c r="AT604" s="2" t="s">
        <v>70</v>
      </c>
    </row>
    <row r="605">
      <c r="A605" s="1">
        <v>2043298.0</v>
      </c>
      <c r="B605" s="1" t="s">
        <v>116</v>
      </c>
      <c r="C605" s="1" t="s">
        <v>117</v>
      </c>
      <c r="D605" s="1" t="s">
        <v>46</v>
      </c>
      <c r="E605" s="1" t="s">
        <v>3933</v>
      </c>
      <c r="F605" s="1"/>
      <c r="G605" s="1" t="s">
        <v>119</v>
      </c>
      <c r="H605" s="1" t="s">
        <v>72</v>
      </c>
      <c r="I605" s="1">
        <v>790800.0</v>
      </c>
      <c r="J605" s="1"/>
      <c r="K605" s="1"/>
      <c r="L605" s="1" t="s">
        <v>1473</v>
      </c>
      <c r="M605" s="1" t="s">
        <v>3934</v>
      </c>
      <c r="N605" s="1" t="s">
        <v>109</v>
      </c>
      <c r="O605" s="1" t="s">
        <v>110</v>
      </c>
      <c r="P605" s="2" t="s">
        <v>3935</v>
      </c>
      <c r="Q605" s="1" t="s">
        <v>56</v>
      </c>
      <c r="R605" s="2" t="s">
        <v>2908</v>
      </c>
      <c r="S605" s="1" t="s">
        <v>241</v>
      </c>
      <c r="T605" s="1">
        <v>5003207.0</v>
      </c>
      <c r="U605" s="1" t="s">
        <v>2929</v>
      </c>
      <c r="V605" s="1" t="s">
        <v>1470</v>
      </c>
      <c r="W605" s="1" t="s">
        <v>1658</v>
      </c>
      <c r="X605" s="1"/>
      <c r="Y605" s="1"/>
      <c r="Z605" s="1" t="s">
        <v>112</v>
      </c>
      <c r="AA605" s="1" t="s">
        <v>3936</v>
      </c>
      <c r="AB605" s="1" t="str">
        <f>"***697997**"</f>
        <v>***697997**</v>
      </c>
      <c r="AC605" s="1"/>
      <c r="AD605" s="1"/>
      <c r="AE605" s="1"/>
      <c r="AF605" s="1">
        <v>-57.516667</v>
      </c>
      <c r="AG605" s="1">
        <v>-19.3</v>
      </c>
      <c r="AH605" s="1" t="s">
        <v>3937</v>
      </c>
      <c r="AI605" s="1"/>
      <c r="AJ605" s="1" t="s">
        <v>1473</v>
      </c>
      <c r="AK605" s="1"/>
      <c r="AL605" s="1" t="s">
        <v>128</v>
      </c>
      <c r="AM605" s="1" t="s">
        <v>65</v>
      </c>
      <c r="AN605" s="1"/>
      <c r="AO605" s="2" t="s">
        <v>2918</v>
      </c>
      <c r="AP605" s="2" t="s">
        <v>3938</v>
      </c>
      <c r="AQ605" s="1" t="s">
        <v>132</v>
      </c>
      <c r="AR605" s="1" t="s">
        <v>3557</v>
      </c>
      <c r="AS605" s="1"/>
      <c r="AT605" s="2" t="s">
        <v>70</v>
      </c>
    </row>
    <row r="606">
      <c r="A606" s="1">
        <v>2043293.0</v>
      </c>
      <c r="B606" s="1" t="s">
        <v>116</v>
      </c>
      <c r="C606" s="1" t="s">
        <v>117</v>
      </c>
      <c r="D606" s="1" t="s">
        <v>46</v>
      </c>
      <c r="E606" s="1" t="s">
        <v>3939</v>
      </c>
      <c r="F606" s="1"/>
      <c r="G606" s="1" t="s">
        <v>119</v>
      </c>
      <c r="H606" s="1" t="s">
        <v>72</v>
      </c>
      <c r="I606" s="1">
        <v>1493450.0</v>
      </c>
      <c r="J606" s="1"/>
      <c r="K606" s="1"/>
      <c r="L606" s="1" t="s">
        <v>1473</v>
      </c>
      <c r="M606" s="1" t="s">
        <v>3940</v>
      </c>
      <c r="N606" s="1" t="s">
        <v>109</v>
      </c>
      <c r="O606" s="1" t="s">
        <v>110</v>
      </c>
      <c r="P606" s="2" t="s">
        <v>3941</v>
      </c>
      <c r="Q606" s="1" t="s">
        <v>56</v>
      </c>
      <c r="R606" s="2" t="s">
        <v>3144</v>
      </c>
      <c r="S606" s="1" t="s">
        <v>241</v>
      </c>
      <c r="T606" s="1">
        <v>5003207.0</v>
      </c>
      <c r="U606" s="1" t="s">
        <v>2929</v>
      </c>
      <c r="V606" s="1" t="s">
        <v>1470</v>
      </c>
      <c r="W606" s="1" t="s">
        <v>1658</v>
      </c>
      <c r="X606" s="1"/>
      <c r="Y606" s="1"/>
      <c r="Z606" s="1" t="s">
        <v>112</v>
      </c>
      <c r="AA606" s="1" t="s">
        <v>3942</v>
      </c>
      <c r="AB606" s="1" t="str">
        <f>"***614591**"</f>
        <v>***614591**</v>
      </c>
      <c r="AC606" s="1"/>
      <c r="AD606" s="1"/>
      <c r="AE606" s="1"/>
      <c r="AF606" s="1">
        <v>-57.660556</v>
      </c>
      <c r="AG606" s="1">
        <v>-18.999722</v>
      </c>
      <c r="AH606" s="1" t="s">
        <v>3943</v>
      </c>
      <c r="AI606" s="1"/>
      <c r="AJ606" s="1" t="s">
        <v>1473</v>
      </c>
      <c r="AK606" s="1"/>
      <c r="AL606" s="1" t="s">
        <v>128</v>
      </c>
      <c r="AM606" s="1" t="s">
        <v>65</v>
      </c>
      <c r="AN606" s="1"/>
      <c r="AO606" s="2" t="s">
        <v>2918</v>
      </c>
      <c r="AP606" s="2" t="s">
        <v>3944</v>
      </c>
      <c r="AQ606" s="1" t="s">
        <v>132</v>
      </c>
      <c r="AR606" s="1" t="s">
        <v>3557</v>
      </c>
      <c r="AS606" s="1"/>
      <c r="AT606" s="2" t="s">
        <v>70</v>
      </c>
    </row>
    <row r="607">
      <c r="A607" s="1">
        <v>2043295.0</v>
      </c>
      <c r="B607" s="1" t="s">
        <v>116</v>
      </c>
      <c r="C607" s="1" t="s">
        <v>117</v>
      </c>
      <c r="D607" s="1" t="s">
        <v>46</v>
      </c>
      <c r="E607" s="1" t="s">
        <v>3945</v>
      </c>
      <c r="F607" s="1"/>
      <c r="G607" s="1" t="s">
        <v>119</v>
      </c>
      <c r="H607" s="1" t="s">
        <v>72</v>
      </c>
      <c r="I607" s="1">
        <v>857900.0</v>
      </c>
      <c r="J607" s="1"/>
      <c r="K607" s="1"/>
      <c r="L607" s="1" t="s">
        <v>1473</v>
      </c>
      <c r="M607" s="1" t="s">
        <v>3946</v>
      </c>
      <c r="N607" s="1" t="s">
        <v>109</v>
      </c>
      <c r="O607" s="1" t="s">
        <v>110</v>
      </c>
      <c r="P607" s="2" t="s">
        <v>3941</v>
      </c>
      <c r="Q607" s="1" t="s">
        <v>56</v>
      </c>
      <c r="R607" s="2" t="s">
        <v>3144</v>
      </c>
      <c r="S607" s="1" t="s">
        <v>608</v>
      </c>
      <c r="T607" s="1">
        <v>5001102.0</v>
      </c>
      <c r="U607" s="1" t="s">
        <v>3947</v>
      </c>
      <c r="V607" s="1" t="s">
        <v>1470</v>
      </c>
      <c r="W607" s="1" t="s">
        <v>1658</v>
      </c>
      <c r="X607" s="1"/>
      <c r="Y607" s="1"/>
      <c r="Z607" s="1" t="s">
        <v>112</v>
      </c>
      <c r="AA607" s="1" t="s">
        <v>3948</v>
      </c>
      <c r="AB607" s="1" t="str">
        <f>"***322338**"</f>
        <v>***322338**</v>
      </c>
      <c r="AC607" s="1"/>
      <c r="AD607" s="1"/>
      <c r="AE607" s="1"/>
      <c r="AF607" s="1">
        <v>-55.96</v>
      </c>
      <c r="AG607" s="1">
        <v>-20.055</v>
      </c>
      <c r="AH607" s="1" t="s">
        <v>3949</v>
      </c>
      <c r="AI607" s="1"/>
      <c r="AJ607" s="1" t="s">
        <v>1473</v>
      </c>
      <c r="AK607" s="1"/>
      <c r="AL607" s="1" t="s">
        <v>128</v>
      </c>
      <c r="AM607" s="1" t="s">
        <v>65</v>
      </c>
      <c r="AN607" s="1"/>
      <c r="AO607" s="2" t="s">
        <v>2918</v>
      </c>
      <c r="AP607" s="2" t="s">
        <v>3950</v>
      </c>
      <c r="AQ607" s="1" t="s">
        <v>132</v>
      </c>
      <c r="AR607" s="1" t="s">
        <v>3557</v>
      </c>
      <c r="AS607" s="1"/>
      <c r="AT607" s="2" t="s">
        <v>70</v>
      </c>
    </row>
    <row r="608">
      <c r="A608" s="1">
        <v>2043156.0</v>
      </c>
      <c r="B608" s="1" t="s">
        <v>116</v>
      </c>
      <c r="C608" s="1" t="s">
        <v>117</v>
      </c>
      <c r="D608" s="1" t="s">
        <v>46</v>
      </c>
      <c r="E608" s="1" t="s">
        <v>3951</v>
      </c>
      <c r="F608" s="1"/>
      <c r="G608" s="1" t="s">
        <v>119</v>
      </c>
      <c r="H608" s="1" t="s">
        <v>72</v>
      </c>
      <c r="I608" s="1">
        <v>5000.0</v>
      </c>
      <c r="J608" s="1"/>
      <c r="K608" s="1"/>
      <c r="L608" s="1" t="s">
        <v>417</v>
      </c>
      <c r="M608" s="1" t="s">
        <v>3952</v>
      </c>
      <c r="N608" s="1" t="s">
        <v>257</v>
      </c>
      <c r="O608" s="1" t="s">
        <v>258</v>
      </c>
      <c r="P608" s="2" t="s">
        <v>3953</v>
      </c>
      <c r="Q608" s="1" t="s">
        <v>56</v>
      </c>
      <c r="R608" s="1"/>
      <c r="S608" s="1" t="s">
        <v>412</v>
      </c>
      <c r="T608" s="1">
        <v>2704302.0</v>
      </c>
      <c r="U608" s="1" t="s">
        <v>3954</v>
      </c>
      <c r="V608" s="1" t="s">
        <v>414</v>
      </c>
      <c r="W608" s="1" t="s">
        <v>78</v>
      </c>
      <c r="X608" s="1"/>
      <c r="Y608" s="1" t="str">
        <f>"02003000134202169"</f>
        <v>02003000134202169</v>
      </c>
      <c r="Z608" s="1" t="s">
        <v>260</v>
      </c>
      <c r="AA608" s="1" t="s">
        <v>3955</v>
      </c>
      <c r="AB608" s="1" t="str">
        <f>"***289744**"</f>
        <v>***289744**</v>
      </c>
      <c r="AC608" s="1"/>
      <c r="AD608" s="1"/>
      <c r="AE608" s="1"/>
      <c r="AF608" s="1">
        <v>-35.776667</v>
      </c>
      <c r="AG608" s="1">
        <v>-9.692778</v>
      </c>
      <c r="AH608" s="1" t="s">
        <v>3956</v>
      </c>
      <c r="AI608" s="1"/>
      <c r="AJ608" s="1" t="s">
        <v>417</v>
      </c>
      <c r="AK608" s="1"/>
      <c r="AL608" s="1" t="s">
        <v>128</v>
      </c>
      <c r="AM608" s="1" t="s">
        <v>65</v>
      </c>
      <c r="AN608" s="1" t="s">
        <v>274</v>
      </c>
      <c r="AO608" s="2" t="s">
        <v>2903</v>
      </c>
      <c r="AP608" s="2" t="s">
        <v>3957</v>
      </c>
      <c r="AQ608" s="1" t="s">
        <v>132</v>
      </c>
      <c r="AR608" s="1" t="s">
        <v>2426</v>
      </c>
      <c r="AS608" s="1"/>
      <c r="AT608" s="2" t="s">
        <v>70</v>
      </c>
    </row>
    <row r="609">
      <c r="A609" s="1">
        <v>2042980.0</v>
      </c>
      <c r="B609" s="1" t="s">
        <v>116</v>
      </c>
      <c r="C609" s="1" t="s">
        <v>117</v>
      </c>
      <c r="D609" s="1" t="s">
        <v>46</v>
      </c>
      <c r="E609" s="1" t="s">
        <v>3958</v>
      </c>
      <c r="F609" s="1"/>
      <c r="G609" s="1" t="s">
        <v>119</v>
      </c>
      <c r="H609" s="1" t="s">
        <v>50</v>
      </c>
      <c r="I609" s="1">
        <v>52500.0</v>
      </c>
      <c r="J609" s="1"/>
      <c r="K609" s="1"/>
      <c r="L609" s="1" t="s">
        <v>1227</v>
      </c>
      <c r="M609" s="1" t="s">
        <v>3959</v>
      </c>
      <c r="N609" s="1" t="s">
        <v>53</v>
      </c>
      <c r="O609" s="1" t="s">
        <v>333</v>
      </c>
      <c r="P609" s="2" t="s">
        <v>3960</v>
      </c>
      <c r="Q609" s="1" t="s">
        <v>56</v>
      </c>
      <c r="R609" s="1"/>
      <c r="S609" s="1" t="s">
        <v>148</v>
      </c>
      <c r="T609" s="1">
        <v>1100064.0</v>
      </c>
      <c r="U609" s="1" t="s">
        <v>3477</v>
      </c>
      <c r="V609" s="1" t="s">
        <v>125</v>
      </c>
      <c r="W609" s="1" t="s">
        <v>100</v>
      </c>
      <c r="X609" s="1"/>
      <c r="Y609" s="1" t="str">
        <f>"02049000023202126"</f>
        <v>02049000023202126</v>
      </c>
      <c r="Z609" s="1" t="s">
        <v>223</v>
      </c>
      <c r="AA609" s="1" t="s">
        <v>3478</v>
      </c>
      <c r="AB609" s="1" t="str">
        <f>"17133577000174"</f>
        <v>17133577000174</v>
      </c>
      <c r="AC609" s="1"/>
      <c r="AD609" s="1"/>
      <c r="AE609" s="1"/>
      <c r="AF609" s="1">
        <v>-60.530556</v>
      </c>
      <c r="AG609" s="1">
        <v>-13.118889</v>
      </c>
      <c r="AH609" s="1" t="s">
        <v>3479</v>
      </c>
      <c r="AI609" s="1"/>
      <c r="AJ609" s="1" t="s">
        <v>1227</v>
      </c>
      <c r="AK609" s="1"/>
      <c r="AL609" s="1" t="s">
        <v>128</v>
      </c>
      <c r="AM609" s="1" t="s">
        <v>65</v>
      </c>
      <c r="AN609" s="1" t="s">
        <v>274</v>
      </c>
      <c r="AO609" s="2" t="s">
        <v>3875</v>
      </c>
      <c r="AP609" s="2" t="s">
        <v>3961</v>
      </c>
      <c r="AQ609" s="1" t="s">
        <v>132</v>
      </c>
      <c r="AR609" s="1" t="s">
        <v>247</v>
      </c>
      <c r="AS609" s="1" t="s">
        <v>3962</v>
      </c>
      <c r="AT609" s="2" t="s">
        <v>70</v>
      </c>
    </row>
    <row r="610">
      <c r="A610" s="1">
        <v>2042932.0</v>
      </c>
      <c r="B610" s="1" t="s">
        <v>116</v>
      </c>
      <c r="C610" s="1" t="s">
        <v>117</v>
      </c>
      <c r="D610" s="1" t="s">
        <v>46</v>
      </c>
      <c r="E610" s="1" t="s">
        <v>3963</v>
      </c>
      <c r="F610" s="1"/>
      <c r="G610" s="1" t="s">
        <v>119</v>
      </c>
      <c r="H610" s="1" t="s">
        <v>50</v>
      </c>
      <c r="I610" s="1">
        <v>1000.0</v>
      </c>
      <c r="J610" s="1"/>
      <c r="K610" s="1"/>
      <c r="L610" s="1" t="s">
        <v>295</v>
      </c>
      <c r="M610" s="1" t="s">
        <v>3964</v>
      </c>
      <c r="N610" s="1" t="s">
        <v>186</v>
      </c>
      <c r="O610" s="1" t="s">
        <v>95</v>
      </c>
      <c r="P610" s="2" t="s">
        <v>3965</v>
      </c>
      <c r="Q610" s="1" t="s">
        <v>56</v>
      </c>
      <c r="R610" s="2" t="s">
        <v>3966</v>
      </c>
      <c r="S610" s="1" t="s">
        <v>288</v>
      </c>
      <c r="T610" s="1">
        <v>2211001.0</v>
      </c>
      <c r="U610" s="1" t="s">
        <v>527</v>
      </c>
      <c r="V610" s="1" t="s">
        <v>290</v>
      </c>
      <c r="W610" s="1" t="s">
        <v>172</v>
      </c>
      <c r="X610" s="1"/>
      <c r="Y610" s="1" t="str">
        <f>"02020000150202143"</f>
        <v>02020000150202143</v>
      </c>
      <c r="Z610" s="1" t="s">
        <v>101</v>
      </c>
      <c r="AA610" s="1" t="s">
        <v>3967</v>
      </c>
      <c r="AB610" s="1" t="str">
        <f>"03604432000604"</f>
        <v>03604432000604</v>
      </c>
      <c r="AC610" s="1"/>
      <c r="AD610" s="1"/>
      <c r="AE610" s="1"/>
      <c r="AF610" s="1">
        <v>-42.783611</v>
      </c>
      <c r="AG610" s="1">
        <v>-5.064722</v>
      </c>
      <c r="AH610" s="1" t="s">
        <v>1550</v>
      </c>
      <c r="AI610" s="1"/>
      <c r="AJ610" s="1" t="s">
        <v>295</v>
      </c>
      <c r="AK610" s="1"/>
      <c r="AL610" s="1" t="s">
        <v>128</v>
      </c>
      <c r="AM610" s="1" t="s">
        <v>65</v>
      </c>
      <c r="AN610" s="1" t="s">
        <v>296</v>
      </c>
      <c r="AO610" s="2" t="s">
        <v>3968</v>
      </c>
      <c r="AP610" s="2" t="s">
        <v>3969</v>
      </c>
      <c r="AQ610" s="1" t="s">
        <v>132</v>
      </c>
      <c r="AR610" s="1" t="s">
        <v>531</v>
      </c>
      <c r="AS610" s="1"/>
      <c r="AT610" s="2" t="s">
        <v>70</v>
      </c>
    </row>
    <row r="611">
      <c r="A611" s="1">
        <v>2043106.0</v>
      </c>
      <c r="B611" s="1" t="s">
        <v>116</v>
      </c>
      <c r="C611" s="1" t="s">
        <v>117</v>
      </c>
      <c r="D611" s="1" t="s">
        <v>46</v>
      </c>
      <c r="E611" s="1" t="s">
        <v>3970</v>
      </c>
      <c r="F611" s="1"/>
      <c r="G611" s="1" t="s">
        <v>119</v>
      </c>
      <c r="H611" s="1" t="s">
        <v>50</v>
      </c>
      <c r="I611" s="1">
        <v>1510.0</v>
      </c>
      <c r="J611" s="1"/>
      <c r="K611" s="1"/>
      <c r="L611" s="1" t="s">
        <v>175</v>
      </c>
      <c r="M611" s="1" t="s">
        <v>3971</v>
      </c>
      <c r="N611" s="1" t="s">
        <v>53</v>
      </c>
      <c r="O611" s="1" t="s">
        <v>382</v>
      </c>
      <c r="P611" s="2" t="s">
        <v>3965</v>
      </c>
      <c r="Q611" s="1" t="s">
        <v>56</v>
      </c>
      <c r="R611" s="1"/>
      <c r="S611" s="1" t="s">
        <v>169</v>
      </c>
      <c r="T611" s="1">
        <v>5211909.0</v>
      </c>
      <c r="U611" s="1" t="s">
        <v>170</v>
      </c>
      <c r="V611" s="1" t="s">
        <v>171</v>
      </c>
      <c r="W611" s="1" t="s">
        <v>172</v>
      </c>
      <c r="X611" s="1"/>
      <c r="Y611" s="1" t="str">
        <f>"02010000147202149"</f>
        <v>02010000147202149</v>
      </c>
      <c r="Z611" s="1" t="s">
        <v>384</v>
      </c>
      <c r="AA611" s="1" t="s">
        <v>3972</v>
      </c>
      <c r="AB611" s="1" t="str">
        <f>"16726190000169"</f>
        <v>16726190000169</v>
      </c>
      <c r="AC611" s="1"/>
      <c r="AD611" s="1"/>
      <c r="AE611" s="1"/>
      <c r="AF611" s="1">
        <v>-49.246667</v>
      </c>
      <c r="AG611" s="1">
        <v>-16.674167</v>
      </c>
      <c r="AH611" s="1" t="s">
        <v>3973</v>
      </c>
      <c r="AI611" s="1"/>
      <c r="AJ611" s="1" t="s">
        <v>175</v>
      </c>
      <c r="AK611" s="1"/>
      <c r="AL611" s="1" t="s">
        <v>128</v>
      </c>
      <c r="AM611" s="1" t="s">
        <v>65</v>
      </c>
      <c r="AN611" s="1" t="s">
        <v>83</v>
      </c>
      <c r="AO611" s="2" t="s">
        <v>3480</v>
      </c>
      <c r="AP611" s="2" t="s">
        <v>3974</v>
      </c>
      <c r="AQ611" s="1" t="s">
        <v>132</v>
      </c>
      <c r="AR611" s="1" t="s">
        <v>3975</v>
      </c>
      <c r="AS611" s="1"/>
      <c r="AT611" s="2" t="s">
        <v>70</v>
      </c>
    </row>
    <row r="612">
      <c r="A612" s="1"/>
      <c r="B612" s="1" t="s">
        <v>46</v>
      </c>
      <c r="C612" s="1" t="s">
        <v>47</v>
      </c>
      <c r="D612" s="1"/>
      <c r="E612" s="1" t="s">
        <v>3976</v>
      </c>
      <c r="F612" s="1"/>
      <c r="G612" s="1" t="s">
        <v>49</v>
      </c>
      <c r="H612" s="1" t="s">
        <v>50</v>
      </c>
      <c r="I612" s="1">
        <v>2600.0</v>
      </c>
      <c r="J612" s="1"/>
      <c r="K612" s="1" t="s">
        <v>51</v>
      </c>
      <c r="L612" s="1"/>
      <c r="M612" s="1" t="s">
        <v>3977</v>
      </c>
      <c r="N612" s="1" t="s">
        <v>381</v>
      </c>
      <c r="O612" s="1" t="s">
        <v>382</v>
      </c>
      <c r="P612" s="2" t="s">
        <v>3978</v>
      </c>
      <c r="Q612" s="1" t="s">
        <v>56</v>
      </c>
      <c r="R612" s="1"/>
      <c r="S612" s="1" t="s">
        <v>359</v>
      </c>
      <c r="T612" s="1">
        <v>3526605.0</v>
      </c>
      <c r="U612" s="1" t="s">
        <v>3979</v>
      </c>
      <c r="V612" s="1" t="s">
        <v>139</v>
      </c>
      <c r="W612" s="1" t="s">
        <v>78</v>
      </c>
      <c r="X612" s="1"/>
      <c r="Y612" s="1"/>
      <c r="Z612" s="1" t="s">
        <v>384</v>
      </c>
      <c r="AA612" s="1" t="s">
        <v>3980</v>
      </c>
      <c r="AB612" s="1" t="str">
        <f t="shared" ref="AB612:AB614" si="41">"05623211000102"</f>
        <v>05623211000102</v>
      </c>
      <c r="AC612" s="1"/>
      <c r="AD612" s="1" t="s">
        <v>62</v>
      </c>
      <c r="AE612" s="1"/>
      <c r="AF612" s="1">
        <v>-49.355556</v>
      </c>
      <c r="AG612" s="1">
        <v>-20.791944</v>
      </c>
      <c r="AH612" s="1" t="s">
        <v>3981</v>
      </c>
      <c r="AI612" s="1"/>
      <c r="AJ612" s="1" t="s">
        <v>371</v>
      </c>
      <c r="AK612" s="1"/>
      <c r="AL612" s="1"/>
      <c r="AM612" s="1" t="s">
        <v>65</v>
      </c>
      <c r="AN612" s="1"/>
      <c r="AO612" s="1"/>
      <c r="AP612" s="2" t="s">
        <v>3982</v>
      </c>
      <c r="AQ612" s="1"/>
      <c r="AR612" s="1" t="s">
        <v>3983</v>
      </c>
      <c r="AS612" s="1"/>
      <c r="AT612" s="2" t="s">
        <v>70</v>
      </c>
    </row>
    <row r="613">
      <c r="A613" s="1"/>
      <c r="B613" s="1" t="s">
        <v>46</v>
      </c>
      <c r="C613" s="1" t="s">
        <v>47</v>
      </c>
      <c r="D613" s="1"/>
      <c r="E613" s="1" t="s">
        <v>3984</v>
      </c>
      <c r="F613" s="1"/>
      <c r="G613" s="1" t="s">
        <v>49</v>
      </c>
      <c r="H613" s="1" t="s">
        <v>50</v>
      </c>
      <c r="I613" s="1">
        <v>2100.0</v>
      </c>
      <c r="J613" s="1"/>
      <c r="K613" s="1" t="s">
        <v>51</v>
      </c>
      <c r="L613" s="1"/>
      <c r="M613" s="1" t="s">
        <v>3985</v>
      </c>
      <c r="N613" s="1" t="s">
        <v>381</v>
      </c>
      <c r="O613" s="1" t="s">
        <v>382</v>
      </c>
      <c r="P613" s="2" t="s">
        <v>3986</v>
      </c>
      <c r="Q613" s="1" t="s">
        <v>56</v>
      </c>
      <c r="R613" s="1"/>
      <c r="S613" s="1" t="s">
        <v>280</v>
      </c>
      <c r="T613" s="1">
        <v>3526605.0</v>
      </c>
      <c r="U613" s="1" t="s">
        <v>3979</v>
      </c>
      <c r="V613" s="1" t="s">
        <v>139</v>
      </c>
      <c r="W613" s="1" t="s">
        <v>78</v>
      </c>
      <c r="X613" s="1"/>
      <c r="Y613" s="1"/>
      <c r="Z613" s="1" t="s">
        <v>384</v>
      </c>
      <c r="AA613" s="1" t="s">
        <v>3980</v>
      </c>
      <c r="AB613" s="1" t="str">
        <f t="shared" si="41"/>
        <v>05623211000102</v>
      </c>
      <c r="AC613" s="1"/>
      <c r="AD613" s="1" t="s">
        <v>62</v>
      </c>
      <c r="AE613" s="1"/>
      <c r="AF613" s="1">
        <v>-49.355556</v>
      </c>
      <c r="AG613" s="1">
        <v>-20.791944</v>
      </c>
      <c r="AH613" s="1" t="s">
        <v>3987</v>
      </c>
      <c r="AI613" s="1"/>
      <c r="AJ613" s="1" t="s">
        <v>371</v>
      </c>
      <c r="AK613" s="1"/>
      <c r="AL613" s="1"/>
      <c r="AM613" s="1" t="s">
        <v>65</v>
      </c>
      <c r="AN613" s="1"/>
      <c r="AO613" s="1"/>
      <c r="AP613" s="2" t="s">
        <v>3988</v>
      </c>
      <c r="AQ613" s="1"/>
      <c r="AR613" s="1" t="s">
        <v>3989</v>
      </c>
      <c r="AS613" s="1"/>
      <c r="AT613" s="2" t="s">
        <v>70</v>
      </c>
    </row>
    <row r="614">
      <c r="A614" s="1"/>
      <c r="B614" s="1" t="s">
        <v>46</v>
      </c>
      <c r="C614" s="1" t="s">
        <v>571</v>
      </c>
      <c r="D614" s="1" t="s">
        <v>116</v>
      </c>
      <c r="E614" s="1" t="s">
        <v>3990</v>
      </c>
      <c r="F614" s="1"/>
      <c r="G614" s="1" t="s">
        <v>49</v>
      </c>
      <c r="H614" s="1" t="s">
        <v>50</v>
      </c>
      <c r="I614" s="1">
        <v>2600.0</v>
      </c>
      <c r="J614" s="1"/>
      <c r="K614" s="1" t="s">
        <v>51</v>
      </c>
      <c r="L614" s="1"/>
      <c r="M614" s="1" t="s">
        <v>3991</v>
      </c>
      <c r="N614" s="1" t="s">
        <v>381</v>
      </c>
      <c r="O614" s="1" t="s">
        <v>382</v>
      </c>
      <c r="P614" s="2" t="s">
        <v>3992</v>
      </c>
      <c r="Q614" s="1" t="s">
        <v>56</v>
      </c>
      <c r="R614" s="1"/>
      <c r="S614" s="1" t="s">
        <v>359</v>
      </c>
      <c r="T614" s="1">
        <v>3526605.0</v>
      </c>
      <c r="U614" s="1" t="s">
        <v>3979</v>
      </c>
      <c r="V614" s="1" t="s">
        <v>139</v>
      </c>
      <c r="W614" s="1" t="s">
        <v>78</v>
      </c>
      <c r="X614" s="1"/>
      <c r="Y614" s="1"/>
      <c r="Z614" s="1" t="s">
        <v>384</v>
      </c>
      <c r="AA614" s="1" t="s">
        <v>3993</v>
      </c>
      <c r="AB614" s="1" t="str">
        <f t="shared" si="41"/>
        <v>05623211000102</v>
      </c>
      <c r="AC614" s="1"/>
      <c r="AD614" s="1" t="s">
        <v>62</v>
      </c>
      <c r="AE614" s="1"/>
      <c r="AF614" s="1">
        <v>-49.355556</v>
      </c>
      <c r="AG614" s="1">
        <v>-20.791944</v>
      </c>
      <c r="AH614" s="1" t="s">
        <v>3994</v>
      </c>
      <c r="AI614" s="1"/>
      <c r="AJ614" s="1" t="s">
        <v>371</v>
      </c>
      <c r="AK614" s="1"/>
      <c r="AL614" s="1"/>
      <c r="AM614" s="1" t="s">
        <v>65</v>
      </c>
      <c r="AN614" s="1"/>
      <c r="AO614" s="1"/>
      <c r="AP614" s="2" t="s">
        <v>3995</v>
      </c>
      <c r="AQ614" s="1"/>
      <c r="AR614" s="1" t="s">
        <v>3983</v>
      </c>
      <c r="AS614" s="1"/>
      <c r="AT614" s="2" t="s">
        <v>70</v>
      </c>
    </row>
    <row r="615">
      <c r="A615" s="1">
        <v>2042933.0</v>
      </c>
      <c r="B615" s="1" t="s">
        <v>116</v>
      </c>
      <c r="C615" s="1" t="s">
        <v>117</v>
      </c>
      <c r="D615" s="1" t="s">
        <v>46</v>
      </c>
      <c r="E615" s="1" t="s">
        <v>3996</v>
      </c>
      <c r="F615" s="1"/>
      <c r="G615" s="1" t="s">
        <v>119</v>
      </c>
      <c r="H615" s="1" t="s">
        <v>50</v>
      </c>
      <c r="I615" s="1">
        <v>8500.0</v>
      </c>
      <c r="J615" s="1"/>
      <c r="K615" s="1"/>
      <c r="L615" s="1" t="s">
        <v>295</v>
      </c>
      <c r="M615" s="1" t="s">
        <v>3997</v>
      </c>
      <c r="N615" s="1" t="s">
        <v>109</v>
      </c>
      <c r="O615" s="1" t="s">
        <v>110</v>
      </c>
      <c r="P615" s="2" t="s">
        <v>3998</v>
      </c>
      <c r="Q615" s="1" t="s">
        <v>56</v>
      </c>
      <c r="R615" s="2" t="s">
        <v>3966</v>
      </c>
      <c r="S615" s="1" t="s">
        <v>288</v>
      </c>
      <c r="T615" s="1">
        <v>2203909.0</v>
      </c>
      <c r="U615" s="1" t="s">
        <v>3999</v>
      </c>
      <c r="V615" s="1" t="s">
        <v>290</v>
      </c>
      <c r="W615" s="1" t="s">
        <v>291</v>
      </c>
      <c r="X615" s="1"/>
      <c r="Y615" s="1" t="str">
        <f>"02020000151202198"</f>
        <v>02020000151202198</v>
      </c>
      <c r="Z615" s="1" t="s">
        <v>112</v>
      </c>
      <c r="AA615" s="1" t="s">
        <v>4000</v>
      </c>
      <c r="AB615" s="1" t="str">
        <f>"10977148000134"</f>
        <v>10977148000134</v>
      </c>
      <c r="AC615" s="1"/>
      <c r="AD615" s="1"/>
      <c r="AE615" s="1"/>
      <c r="AF615" s="1">
        <v>-42.783889</v>
      </c>
      <c r="AG615" s="1">
        <v>-5.065</v>
      </c>
      <c r="AH615" s="1" t="s">
        <v>4001</v>
      </c>
      <c r="AI615" s="1"/>
      <c r="AJ615" s="1" t="s">
        <v>295</v>
      </c>
      <c r="AK615" s="1"/>
      <c r="AL615" s="1" t="s">
        <v>128</v>
      </c>
      <c r="AM615" s="1" t="s">
        <v>65</v>
      </c>
      <c r="AN615" s="1" t="s">
        <v>296</v>
      </c>
      <c r="AO615" s="2" t="s">
        <v>3968</v>
      </c>
      <c r="AP615" s="2" t="s">
        <v>4002</v>
      </c>
      <c r="AQ615" s="1" t="s">
        <v>132</v>
      </c>
      <c r="AR615" s="1" t="s">
        <v>247</v>
      </c>
      <c r="AS615" s="1"/>
      <c r="AT615" s="2" t="s">
        <v>70</v>
      </c>
    </row>
    <row r="616">
      <c r="A616" s="1">
        <v>2043125.0</v>
      </c>
      <c r="B616" s="1" t="s">
        <v>116</v>
      </c>
      <c r="C616" s="1" t="s">
        <v>117</v>
      </c>
      <c r="D616" s="1" t="s">
        <v>46</v>
      </c>
      <c r="E616" s="1" t="s">
        <v>4003</v>
      </c>
      <c r="F616" s="1"/>
      <c r="G616" s="1" t="s">
        <v>119</v>
      </c>
      <c r="H616" s="1" t="s">
        <v>50</v>
      </c>
      <c r="I616" s="1">
        <v>4100.0</v>
      </c>
      <c r="J616" s="1"/>
      <c r="K616" s="1"/>
      <c r="L616" s="1" t="s">
        <v>175</v>
      </c>
      <c r="M616" s="1" t="s">
        <v>4004</v>
      </c>
      <c r="N616" s="1" t="s">
        <v>53</v>
      </c>
      <c r="O616" s="1" t="s">
        <v>382</v>
      </c>
      <c r="P616" s="2" t="s">
        <v>3998</v>
      </c>
      <c r="Q616" s="1" t="s">
        <v>56</v>
      </c>
      <c r="R616" s="1"/>
      <c r="S616" s="1" t="s">
        <v>169</v>
      </c>
      <c r="T616" s="1">
        <v>5222054.0</v>
      </c>
      <c r="U616" s="1" t="s">
        <v>4005</v>
      </c>
      <c r="V616" s="1" t="s">
        <v>171</v>
      </c>
      <c r="W616" s="1" t="s">
        <v>172</v>
      </c>
      <c r="X616" s="1"/>
      <c r="Y616" s="1" t="str">
        <f>"02010000150202162"</f>
        <v>02010000150202162</v>
      </c>
      <c r="Z616" s="1" t="s">
        <v>384</v>
      </c>
      <c r="AA616" s="1" t="s">
        <v>4006</v>
      </c>
      <c r="AB616" s="1" t="str">
        <f>"08566833000126"</f>
        <v>08566833000126</v>
      </c>
      <c r="AC616" s="1"/>
      <c r="AD616" s="1"/>
      <c r="AE616" s="1"/>
      <c r="AF616" s="1">
        <v>-49.246667</v>
      </c>
      <c r="AG616" s="1">
        <v>-16.674167</v>
      </c>
      <c r="AH616" s="1" t="s">
        <v>4007</v>
      </c>
      <c r="AI616" s="1"/>
      <c r="AJ616" s="1" t="s">
        <v>175</v>
      </c>
      <c r="AK616" s="1"/>
      <c r="AL616" s="1" t="s">
        <v>128</v>
      </c>
      <c r="AM616" s="1" t="s">
        <v>65</v>
      </c>
      <c r="AN616" s="1" t="s">
        <v>274</v>
      </c>
      <c r="AO616" s="2" t="s">
        <v>3480</v>
      </c>
      <c r="AP616" s="2" t="s">
        <v>4008</v>
      </c>
      <c r="AQ616" s="1" t="s">
        <v>132</v>
      </c>
      <c r="AR616" s="1" t="s">
        <v>3975</v>
      </c>
      <c r="AS616" s="1"/>
      <c r="AT616" s="2" t="s">
        <v>70</v>
      </c>
    </row>
    <row r="617">
      <c r="A617" s="1"/>
      <c r="B617" s="1" t="s">
        <v>46</v>
      </c>
      <c r="C617" s="1" t="s">
        <v>571</v>
      </c>
      <c r="D617" s="1" t="s">
        <v>116</v>
      </c>
      <c r="E617" s="1" t="s">
        <v>4009</v>
      </c>
      <c r="F617" s="1"/>
      <c r="G617" s="1" t="s">
        <v>49</v>
      </c>
      <c r="H617" s="1" t="s">
        <v>50</v>
      </c>
      <c r="I617" s="1">
        <v>2100.0</v>
      </c>
      <c r="J617" s="1"/>
      <c r="K617" s="1" t="s">
        <v>51</v>
      </c>
      <c r="L617" s="1"/>
      <c r="M617" s="1" t="s">
        <v>4010</v>
      </c>
      <c r="N617" s="1" t="s">
        <v>381</v>
      </c>
      <c r="O617" s="1" t="s">
        <v>382</v>
      </c>
      <c r="P617" s="2" t="s">
        <v>4011</v>
      </c>
      <c r="Q617" s="1" t="s">
        <v>56</v>
      </c>
      <c r="R617" s="1"/>
      <c r="S617" s="1" t="s">
        <v>280</v>
      </c>
      <c r="T617" s="1">
        <v>3526605.0</v>
      </c>
      <c r="U617" s="1" t="s">
        <v>3979</v>
      </c>
      <c r="V617" s="1" t="s">
        <v>139</v>
      </c>
      <c r="W617" s="1" t="s">
        <v>78</v>
      </c>
      <c r="X617" s="1"/>
      <c r="Y617" s="1"/>
      <c r="Z617" s="1" t="s">
        <v>384</v>
      </c>
      <c r="AA617" s="1" t="s">
        <v>3993</v>
      </c>
      <c r="AB617" s="1" t="str">
        <f>"05623211000102"</f>
        <v>05623211000102</v>
      </c>
      <c r="AC617" s="1"/>
      <c r="AD617" s="1" t="s">
        <v>62</v>
      </c>
      <c r="AE617" s="1"/>
      <c r="AF617" s="1">
        <v>-49.355556</v>
      </c>
      <c r="AG617" s="1">
        <v>-20.791944</v>
      </c>
      <c r="AH617" s="1" t="s">
        <v>3994</v>
      </c>
      <c r="AI617" s="1"/>
      <c r="AJ617" s="1" t="s">
        <v>371</v>
      </c>
      <c r="AK617" s="1"/>
      <c r="AL617" s="1"/>
      <c r="AM617" s="1" t="s">
        <v>65</v>
      </c>
      <c r="AN617" s="1"/>
      <c r="AO617" s="1"/>
      <c r="AP617" s="2" t="s">
        <v>4012</v>
      </c>
      <c r="AQ617" s="1"/>
      <c r="AR617" s="1" t="s">
        <v>3989</v>
      </c>
      <c r="AS617" s="1"/>
      <c r="AT617" s="2" t="s">
        <v>70</v>
      </c>
    </row>
    <row r="618">
      <c r="A618" s="1">
        <v>2042979.0</v>
      </c>
      <c r="B618" s="1" t="s">
        <v>116</v>
      </c>
      <c r="C618" s="1" t="s">
        <v>117</v>
      </c>
      <c r="D618" s="1" t="s">
        <v>46</v>
      </c>
      <c r="E618" s="1" t="s">
        <v>4013</v>
      </c>
      <c r="F618" s="1"/>
      <c r="G618" s="1" t="s">
        <v>119</v>
      </c>
      <c r="H618" s="1" t="s">
        <v>50</v>
      </c>
      <c r="I618" s="1">
        <v>161500.0</v>
      </c>
      <c r="J618" s="1"/>
      <c r="K618" s="1"/>
      <c r="L618" s="1" t="s">
        <v>1227</v>
      </c>
      <c r="M618" s="1" t="s">
        <v>4014</v>
      </c>
      <c r="N618" s="1" t="s">
        <v>53</v>
      </c>
      <c r="O618" s="1" t="s">
        <v>1171</v>
      </c>
      <c r="P618" s="2" t="s">
        <v>4015</v>
      </c>
      <c r="Q618" s="1" t="s">
        <v>56</v>
      </c>
      <c r="R618" s="1"/>
      <c r="S618" s="1" t="s">
        <v>123</v>
      </c>
      <c r="T618" s="1">
        <v>1100304.0</v>
      </c>
      <c r="U618" s="1" t="s">
        <v>3872</v>
      </c>
      <c r="V618" s="1" t="s">
        <v>125</v>
      </c>
      <c r="W618" s="1" t="s">
        <v>100</v>
      </c>
      <c r="X618" s="1"/>
      <c r="Y618" s="1" t="str">
        <f>"02049000022202181"</f>
        <v>02049000022202181</v>
      </c>
      <c r="Z618" s="1" t="s">
        <v>223</v>
      </c>
      <c r="AA618" s="1" t="s">
        <v>4016</v>
      </c>
      <c r="AB618" s="1" t="str">
        <f>"17799168000101"</f>
        <v>17799168000101</v>
      </c>
      <c r="AC618" s="1"/>
      <c r="AD618" s="1"/>
      <c r="AE618" s="1"/>
      <c r="AF618" s="1">
        <v>-60.129722</v>
      </c>
      <c r="AG618" s="1">
        <v>-12.743056</v>
      </c>
      <c r="AH618" s="1" t="s">
        <v>4017</v>
      </c>
      <c r="AI618" s="1"/>
      <c r="AJ618" s="1" t="s">
        <v>1227</v>
      </c>
      <c r="AK618" s="1"/>
      <c r="AL618" s="1" t="s">
        <v>128</v>
      </c>
      <c r="AM618" s="1" t="s">
        <v>65</v>
      </c>
      <c r="AN618" s="1" t="s">
        <v>274</v>
      </c>
      <c r="AO618" s="2" t="s">
        <v>3875</v>
      </c>
      <c r="AP618" s="2" t="s">
        <v>4018</v>
      </c>
      <c r="AQ618" s="1" t="s">
        <v>132</v>
      </c>
      <c r="AR618" s="1" t="s">
        <v>247</v>
      </c>
      <c r="AS618" s="1" t="s">
        <v>2310</v>
      </c>
      <c r="AT618" s="2" t="s">
        <v>70</v>
      </c>
    </row>
    <row r="619">
      <c r="A619" s="1"/>
      <c r="B619" s="1" t="s">
        <v>46</v>
      </c>
      <c r="C619" s="1" t="s">
        <v>47</v>
      </c>
      <c r="D619" s="1"/>
      <c r="E619" s="1" t="s">
        <v>4019</v>
      </c>
      <c r="F619" s="1"/>
      <c r="G619" s="1" t="s">
        <v>49</v>
      </c>
      <c r="H619" s="1" t="s">
        <v>72</v>
      </c>
      <c r="I619" s="1">
        <v>10000.0</v>
      </c>
      <c r="J619" s="1"/>
      <c r="K619" s="1"/>
      <c r="L619" s="1"/>
      <c r="M619" s="1" t="s">
        <v>4020</v>
      </c>
      <c r="N619" s="1" t="s">
        <v>257</v>
      </c>
      <c r="O619" s="1" t="s">
        <v>258</v>
      </c>
      <c r="P619" s="2" t="s">
        <v>4021</v>
      </c>
      <c r="Q619" s="1" t="s">
        <v>77</v>
      </c>
      <c r="R619" s="1"/>
      <c r="S619" s="1" t="s">
        <v>220</v>
      </c>
      <c r="T619" s="1">
        <v>2304400.0</v>
      </c>
      <c r="U619" s="1" t="s">
        <v>592</v>
      </c>
      <c r="V619" s="1" t="s">
        <v>439</v>
      </c>
      <c r="W619" s="1" t="s">
        <v>291</v>
      </c>
      <c r="X619" s="1"/>
      <c r="Y619" s="1"/>
      <c r="Z619" s="1" t="s">
        <v>260</v>
      </c>
      <c r="AA619" s="1" t="s">
        <v>4022</v>
      </c>
      <c r="AB619" s="1" t="str">
        <f>"***581103**"</f>
        <v>***581103**</v>
      </c>
      <c r="AC619" s="1"/>
      <c r="AD619" s="1" t="s">
        <v>81</v>
      </c>
      <c r="AE619" s="1"/>
      <c r="AF619" s="1">
        <v>-38.464167</v>
      </c>
      <c r="AG619" s="1">
        <v>-3.733722</v>
      </c>
      <c r="AH619" s="1" t="s">
        <v>4023</v>
      </c>
      <c r="AI619" s="1"/>
      <c r="AJ619" s="1" t="s">
        <v>442</v>
      </c>
      <c r="AK619" s="1"/>
      <c r="AL619" s="1"/>
      <c r="AM619" s="1" t="s">
        <v>65</v>
      </c>
      <c r="AN619" s="1" t="s">
        <v>3504</v>
      </c>
      <c r="AO619" s="1"/>
      <c r="AP619" s="2" t="s">
        <v>4024</v>
      </c>
      <c r="AQ619" s="1"/>
      <c r="AR619" s="1" t="s">
        <v>4025</v>
      </c>
      <c r="AS619" s="1"/>
      <c r="AT619" s="2" t="s">
        <v>70</v>
      </c>
    </row>
    <row r="620">
      <c r="A620" s="1"/>
      <c r="B620" s="1" t="s">
        <v>46</v>
      </c>
      <c r="C620" s="1" t="s">
        <v>47</v>
      </c>
      <c r="D620" s="1"/>
      <c r="E620" s="1" t="s">
        <v>4026</v>
      </c>
      <c r="F620" s="1"/>
      <c r="G620" s="1" t="s">
        <v>49</v>
      </c>
      <c r="H620" s="1" t="s">
        <v>72</v>
      </c>
      <c r="I620" s="1">
        <v>13500.0</v>
      </c>
      <c r="J620" s="1"/>
      <c r="K620" s="1"/>
      <c r="L620" s="1"/>
      <c r="M620" s="1" t="s">
        <v>4027</v>
      </c>
      <c r="N620" s="1" t="s">
        <v>257</v>
      </c>
      <c r="O620" s="1" t="s">
        <v>258</v>
      </c>
      <c r="P620" s="2" t="s">
        <v>4028</v>
      </c>
      <c r="Q620" s="1" t="s">
        <v>56</v>
      </c>
      <c r="R620" s="2" t="s">
        <v>3966</v>
      </c>
      <c r="S620" s="1" t="s">
        <v>2859</v>
      </c>
      <c r="T620" s="1">
        <v>2405702.0</v>
      </c>
      <c r="U620" s="1" t="s">
        <v>4029</v>
      </c>
      <c r="V620" s="1" t="s">
        <v>1084</v>
      </c>
      <c r="W620" s="1" t="s">
        <v>291</v>
      </c>
      <c r="X620" s="1"/>
      <c r="Y620" s="1"/>
      <c r="Z620" s="1" t="s">
        <v>260</v>
      </c>
      <c r="AA620" s="1" t="s">
        <v>4030</v>
      </c>
      <c r="AB620" s="1" t="str">
        <f>"***071444**"</f>
        <v>***071444**</v>
      </c>
      <c r="AC620" s="1"/>
      <c r="AD620" s="1" t="s">
        <v>62</v>
      </c>
      <c r="AE620" s="1"/>
      <c r="AF620" s="1">
        <v>-36.778056</v>
      </c>
      <c r="AG620" s="1">
        <v>-6.591667</v>
      </c>
      <c r="AH620" s="1" t="s">
        <v>4031</v>
      </c>
      <c r="AI620" s="1"/>
      <c r="AJ620" s="1" t="s">
        <v>2856</v>
      </c>
      <c r="AK620" s="1"/>
      <c r="AL620" s="1"/>
      <c r="AM620" s="1" t="s">
        <v>65</v>
      </c>
      <c r="AN620" s="1" t="s">
        <v>159</v>
      </c>
      <c r="AO620" s="1"/>
      <c r="AP620" s="2" t="s">
        <v>4032</v>
      </c>
      <c r="AQ620" s="1"/>
      <c r="AR620" s="1" t="s">
        <v>4033</v>
      </c>
      <c r="AS620" s="1"/>
      <c r="AT620" s="2" t="s">
        <v>70</v>
      </c>
    </row>
    <row r="621">
      <c r="A621" s="1">
        <v>2043161.0</v>
      </c>
      <c r="B621" s="1" t="s">
        <v>116</v>
      </c>
      <c r="C621" s="1" t="s">
        <v>117</v>
      </c>
      <c r="D621" s="1" t="s">
        <v>46</v>
      </c>
      <c r="E621" s="1" t="s">
        <v>4034</v>
      </c>
      <c r="F621" s="1"/>
      <c r="G621" s="1" t="s">
        <v>119</v>
      </c>
      <c r="H621" s="1" t="s">
        <v>72</v>
      </c>
      <c r="I621" s="1">
        <v>2500.0</v>
      </c>
      <c r="J621" s="1"/>
      <c r="K621" s="1"/>
      <c r="L621" s="1" t="s">
        <v>417</v>
      </c>
      <c r="M621" s="1" t="s">
        <v>4035</v>
      </c>
      <c r="N621" s="1" t="s">
        <v>257</v>
      </c>
      <c r="O621" s="1" t="s">
        <v>258</v>
      </c>
      <c r="P621" s="2" t="s">
        <v>4036</v>
      </c>
      <c r="Q621" s="1" t="s">
        <v>77</v>
      </c>
      <c r="R621" s="2" t="s">
        <v>4037</v>
      </c>
      <c r="S621" s="1" t="s">
        <v>412</v>
      </c>
      <c r="T621" s="1">
        <v>2707701.0</v>
      </c>
      <c r="U621" s="1" t="s">
        <v>4038</v>
      </c>
      <c r="V621" s="1" t="s">
        <v>414</v>
      </c>
      <c r="W621" s="1" t="s">
        <v>78</v>
      </c>
      <c r="X621" s="1"/>
      <c r="Y621" s="1"/>
      <c r="Z621" s="1" t="s">
        <v>260</v>
      </c>
      <c r="AA621" s="1" t="s">
        <v>4039</v>
      </c>
      <c r="AB621" s="1" t="str">
        <f>"***614644**"</f>
        <v>***614644**</v>
      </c>
      <c r="AC621" s="1"/>
      <c r="AD621" s="1"/>
      <c r="AE621" s="1"/>
      <c r="AF621" s="1">
        <v>-35.849167</v>
      </c>
      <c r="AG621" s="1">
        <v>-9.483056</v>
      </c>
      <c r="AH621" s="1" t="s">
        <v>4040</v>
      </c>
      <c r="AI621" s="1"/>
      <c r="AJ621" s="1" t="s">
        <v>417</v>
      </c>
      <c r="AK621" s="1"/>
      <c r="AL621" s="1" t="s">
        <v>128</v>
      </c>
      <c r="AM621" s="1" t="s">
        <v>65</v>
      </c>
      <c r="AN621" s="1" t="s">
        <v>274</v>
      </c>
      <c r="AO621" s="2" t="s">
        <v>2903</v>
      </c>
      <c r="AP621" s="2" t="s">
        <v>4041</v>
      </c>
      <c r="AQ621" s="1" t="s">
        <v>132</v>
      </c>
      <c r="AR621" s="1" t="s">
        <v>4042</v>
      </c>
      <c r="AS621" s="1"/>
      <c r="AT621" s="2" t="s">
        <v>70</v>
      </c>
    </row>
    <row r="622">
      <c r="A622" s="1">
        <v>2042923.0</v>
      </c>
      <c r="B622" s="1" t="s">
        <v>116</v>
      </c>
      <c r="C622" s="1" t="s">
        <v>117</v>
      </c>
      <c r="D622" s="1" t="s">
        <v>46</v>
      </c>
      <c r="E622" s="1" t="s">
        <v>4043</v>
      </c>
      <c r="F622" s="1"/>
      <c r="G622" s="1" t="s">
        <v>119</v>
      </c>
      <c r="H622" s="1" t="s">
        <v>72</v>
      </c>
      <c r="I622" s="1">
        <v>8100.0</v>
      </c>
      <c r="J622" s="1"/>
      <c r="K622" s="1"/>
      <c r="L622" s="1" t="s">
        <v>327</v>
      </c>
      <c r="M622" s="1" t="s">
        <v>4044</v>
      </c>
      <c r="N622" s="1" t="s">
        <v>109</v>
      </c>
      <c r="O622" s="1" t="s">
        <v>110</v>
      </c>
      <c r="P622" s="2" t="s">
        <v>4045</v>
      </c>
      <c r="Q622" s="1" t="s">
        <v>77</v>
      </c>
      <c r="R622" s="2" t="s">
        <v>4037</v>
      </c>
      <c r="S622" s="1" t="s">
        <v>1639</v>
      </c>
      <c r="T622" s="1">
        <v>5107909.0</v>
      </c>
      <c r="U622" s="1" t="s">
        <v>4046</v>
      </c>
      <c r="V622" s="1" t="s">
        <v>323</v>
      </c>
      <c r="W622" s="1" t="s">
        <v>100</v>
      </c>
      <c r="X622" s="1"/>
      <c r="Y622" s="1" t="str">
        <f>"02013000166202145"</f>
        <v>02013000166202145</v>
      </c>
      <c r="Z622" s="1" t="s">
        <v>112</v>
      </c>
      <c r="AA622" s="1" t="s">
        <v>4047</v>
      </c>
      <c r="AB622" s="1" t="str">
        <f>"21556091000116"</f>
        <v>21556091000116</v>
      </c>
      <c r="AC622" s="1"/>
      <c r="AD622" s="1"/>
      <c r="AE622" s="1"/>
      <c r="AF622" s="1">
        <v>-55.493333</v>
      </c>
      <c r="AG622" s="1">
        <v>-11.861389</v>
      </c>
      <c r="AH622" s="1" t="s">
        <v>4048</v>
      </c>
      <c r="AI622" s="1"/>
      <c r="AJ622" s="1" t="s">
        <v>327</v>
      </c>
      <c r="AK622" s="1"/>
      <c r="AL622" s="1" t="s">
        <v>128</v>
      </c>
      <c r="AM622" s="1" t="s">
        <v>65</v>
      </c>
      <c r="AN622" s="1" t="s">
        <v>274</v>
      </c>
      <c r="AO622" s="2" t="s">
        <v>3968</v>
      </c>
      <c r="AP622" s="2" t="s">
        <v>4049</v>
      </c>
      <c r="AQ622" s="1" t="s">
        <v>132</v>
      </c>
      <c r="AR622" s="1" t="s">
        <v>133</v>
      </c>
      <c r="AS622" s="1"/>
      <c r="AT622" s="2" t="s">
        <v>70</v>
      </c>
    </row>
    <row r="623">
      <c r="A623" s="1">
        <v>2043449.0</v>
      </c>
      <c r="B623" s="1" t="s">
        <v>116</v>
      </c>
      <c r="C623" s="1" t="s">
        <v>117</v>
      </c>
      <c r="D623" s="1" t="s">
        <v>46</v>
      </c>
      <c r="E623" s="1" t="s">
        <v>4050</v>
      </c>
      <c r="F623" s="1"/>
      <c r="G623" s="1" t="s">
        <v>119</v>
      </c>
      <c r="H623" s="1" t="s">
        <v>72</v>
      </c>
      <c r="I623" s="1">
        <v>1200.0</v>
      </c>
      <c r="J623" s="1"/>
      <c r="K623" s="1"/>
      <c r="L623" s="1" t="s">
        <v>120</v>
      </c>
      <c r="M623" s="1" t="s">
        <v>4051</v>
      </c>
      <c r="N623" s="1" t="s">
        <v>257</v>
      </c>
      <c r="O623" s="1" t="s">
        <v>258</v>
      </c>
      <c r="P623" s="2" t="s">
        <v>4045</v>
      </c>
      <c r="Q623" s="1" t="s">
        <v>77</v>
      </c>
      <c r="R623" s="2" t="s">
        <v>4037</v>
      </c>
      <c r="S623" s="1" t="s">
        <v>169</v>
      </c>
      <c r="T623" s="1">
        <v>5300108.0</v>
      </c>
      <c r="U623" s="1" t="s">
        <v>304</v>
      </c>
      <c r="V623" s="1" t="s">
        <v>305</v>
      </c>
      <c r="W623" s="1" t="s">
        <v>172</v>
      </c>
      <c r="X623" s="1"/>
      <c r="Y623" s="1" t="str">
        <f>"02001003111202126"</f>
        <v>02001003111202126</v>
      </c>
      <c r="Z623" s="1" t="s">
        <v>260</v>
      </c>
      <c r="AA623" s="1" t="s">
        <v>4052</v>
      </c>
      <c r="AB623" s="1" t="str">
        <f>"12595479000135"</f>
        <v>12595479000135</v>
      </c>
      <c r="AC623" s="1"/>
      <c r="AD623" s="1"/>
      <c r="AE623" s="1"/>
      <c r="AF623" s="1">
        <v>-47.771111</v>
      </c>
      <c r="AG623" s="1">
        <v>-15.906389</v>
      </c>
      <c r="AH623" s="1" t="s">
        <v>4053</v>
      </c>
      <c r="AI623" s="1"/>
      <c r="AJ623" s="1" t="s">
        <v>120</v>
      </c>
      <c r="AK623" s="1"/>
      <c r="AL623" s="1" t="s">
        <v>128</v>
      </c>
      <c r="AM623" s="1" t="s">
        <v>65</v>
      </c>
      <c r="AN623" s="1" t="s">
        <v>66</v>
      </c>
      <c r="AO623" s="2" t="s">
        <v>1972</v>
      </c>
      <c r="AP623" s="2" t="s">
        <v>4054</v>
      </c>
      <c r="AQ623" s="1" t="s">
        <v>132</v>
      </c>
      <c r="AR623" s="1" t="s">
        <v>4055</v>
      </c>
      <c r="AS623" s="1"/>
      <c r="AT623" s="2" t="s">
        <v>70</v>
      </c>
    </row>
    <row r="624">
      <c r="A624" s="1">
        <v>2042895.0</v>
      </c>
      <c r="B624" s="1" t="s">
        <v>116</v>
      </c>
      <c r="C624" s="1" t="s">
        <v>117</v>
      </c>
      <c r="D624" s="1" t="s">
        <v>46</v>
      </c>
      <c r="E624" s="1" t="s">
        <v>4056</v>
      </c>
      <c r="F624" s="1"/>
      <c r="G624" s="1" t="s">
        <v>119</v>
      </c>
      <c r="H624" s="1" t="s">
        <v>72</v>
      </c>
      <c r="I624" s="1">
        <v>12500.0</v>
      </c>
      <c r="J624" s="1"/>
      <c r="K624" s="1"/>
      <c r="L624" s="1" t="s">
        <v>120</v>
      </c>
      <c r="M624" s="1" t="s">
        <v>4057</v>
      </c>
      <c r="N624" s="1" t="s">
        <v>257</v>
      </c>
      <c r="O624" s="1" t="s">
        <v>258</v>
      </c>
      <c r="P624" s="2" t="s">
        <v>4058</v>
      </c>
      <c r="Q624" s="1" t="s">
        <v>56</v>
      </c>
      <c r="R624" s="1"/>
      <c r="S624" s="1" t="s">
        <v>169</v>
      </c>
      <c r="T624" s="1">
        <v>5300108.0</v>
      </c>
      <c r="U624" s="1" t="s">
        <v>304</v>
      </c>
      <c r="V624" s="1" t="s">
        <v>305</v>
      </c>
      <c r="W624" s="1" t="s">
        <v>172</v>
      </c>
      <c r="X624" s="1"/>
      <c r="Y624" s="1" t="str">
        <f>"02001001614202167"</f>
        <v>02001001614202167</v>
      </c>
      <c r="Z624" s="1" t="s">
        <v>260</v>
      </c>
      <c r="AA624" s="1" t="s">
        <v>4059</v>
      </c>
      <c r="AB624" s="1" t="str">
        <f>"***445651**"</f>
        <v>***445651**</v>
      </c>
      <c r="AC624" s="1"/>
      <c r="AD624" s="1"/>
      <c r="AE624" s="1"/>
      <c r="AF624" s="1">
        <v>-47.86</v>
      </c>
      <c r="AG624" s="1">
        <v>-15.765556</v>
      </c>
      <c r="AH624" s="1" t="s">
        <v>4060</v>
      </c>
      <c r="AI624" s="1"/>
      <c r="AJ624" s="1" t="s">
        <v>120</v>
      </c>
      <c r="AK624" s="1"/>
      <c r="AL624" s="1" t="s">
        <v>128</v>
      </c>
      <c r="AM624" s="1" t="s">
        <v>65</v>
      </c>
      <c r="AN624" s="1" t="s">
        <v>83</v>
      </c>
      <c r="AO624" s="2" t="s">
        <v>3968</v>
      </c>
      <c r="AP624" s="2" t="s">
        <v>4061</v>
      </c>
      <c r="AQ624" s="1" t="s">
        <v>132</v>
      </c>
      <c r="AR624" s="1" t="s">
        <v>4062</v>
      </c>
      <c r="AS624" s="1"/>
      <c r="AT624" s="2" t="s">
        <v>70</v>
      </c>
    </row>
    <row r="625">
      <c r="A625" s="1"/>
      <c r="B625" s="1" t="s">
        <v>46</v>
      </c>
      <c r="C625" s="1" t="s">
        <v>47</v>
      </c>
      <c r="D625" s="1"/>
      <c r="E625" s="1" t="s">
        <v>4063</v>
      </c>
      <c r="F625" s="1"/>
      <c r="G625" s="1" t="s">
        <v>49</v>
      </c>
      <c r="H625" s="1" t="s">
        <v>72</v>
      </c>
      <c r="I625" s="1">
        <v>500.0</v>
      </c>
      <c r="J625" s="1"/>
      <c r="K625" s="1"/>
      <c r="L625" s="1"/>
      <c r="M625" s="1" t="s">
        <v>4064</v>
      </c>
      <c r="N625" s="1" t="s">
        <v>257</v>
      </c>
      <c r="O625" s="1" t="s">
        <v>258</v>
      </c>
      <c r="P625" s="2" t="s">
        <v>4065</v>
      </c>
      <c r="Q625" s="1" t="s">
        <v>77</v>
      </c>
      <c r="R625" s="1"/>
      <c r="S625" s="1" t="s">
        <v>169</v>
      </c>
      <c r="T625" s="1">
        <v>5300108.0</v>
      </c>
      <c r="U625" s="1" t="s">
        <v>304</v>
      </c>
      <c r="V625" s="1" t="s">
        <v>305</v>
      </c>
      <c r="W625" s="1" t="s">
        <v>172</v>
      </c>
      <c r="X625" s="1"/>
      <c r="Y625" s="1"/>
      <c r="Z625" s="1" t="s">
        <v>260</v>
      </c>
      <c r="AA625" s="1" t="s">
        <v>4066</v>
      </c>
      <c r="AB625" s="1" t="str">
        <f>"***504173**"</f>
        <v>***504173**</v>
      </c>
      <c r="AC625" s="1"/>
      <c r="AD625" s="1" t="s">
        <v>62</v>
      </c>
      <c r="AE625" s="1"/>
      <c r="AF625" s="1">
        <v>-47.778889</v>
      </c>
      <c r="AG625" s="1">
        <v>-15.951667</v>
      </c>
      <c r="AH625" s="1" t="s">
        <v>4067</v>
      </c>
      <c r="AI625" s="1"/>
      <c r="AJ625" s="1" t="s">
        <v>1763</v>
      </c>
      <c r="AK625" s="1"/>
      <c r="AL625" s="1"/>
      <c r="AM625" s="1" t="s">
        <v>65</v>
      </c>
      <c r="AN625" s="1"/>
      <c r="AO625" s="1"/>
      <c r="AP625" s="2" t="s">
        <v>4068</v>
      </c>
      <c r="AQ625" s="1"/>
      <c r="AR625" s="1" t="s">
        <v>817</v>
      </c>
      <c r="AS625" s="1"/>
      <c r="AT625" s="2" t="s">
        <v>70</v>
      </c>
    </row>
    <row r="626">
      <c r="A626" s="1">
        <v>2042896.0</v>
      </c>
      <c r="B626" s="1" t="s">
        <v>116</v>
      </c>
      <c r="C626" s="1" t="s">
        <v>117</v>
      </c>
      <c r="D626" s="1" t="s">
        <v>46</v>
      </c>
      <c r="E626" s="1" t="s">
        <v>4069</v>
      </c>
      <c r="F626" s="1"/>
      <c r="G626" s="1" t="s">
        <v>119</v>
      </c>
      <c r="H626" s="1" t="s">
        <v>72</v>
      </c>
      <c r="I626" s="1">
        <v>10000.0</v>
      </c>
      <c r="J626" s="1"/>
      <c r="K626" s="1"/>
      <c r="L626" s="1" t="s">
        <v>120</v>
      </c>
      <c r="M626" s="1" t="s">
        <v>4070</v>
      </c>
      <c r="N626" s="1" t="s">
        <v>257</v>
      </c>
      <c r="O626" s="1" t="s">
        <v>258</v>
      </c>
      <c r="P626" s="2" t="s">
        <v>4071</v>
      </c>
      <c r="Q626" s="1" t="s">
        <v>56</v>
      </c>
      <c r="R626" s="1"/>
      <c r="S626" s="1" t="s">
        <v>169</v>
      </c>
      <c r="T626" s="1">
        <v>5300108.0</v>
      </c>
      <c r="U626" s="1" t="s">
        <v>304</v>
      </c>
      <c r="V626" s="1" t="s">
        <v>305</v>
      </c>
      <c r="W626" s="1" t="s">
        <v>172</v>
      </c>
      <c r="X626" s="1"/>
      <c r="Y626" s="1" t="str">
        <f>"02001001615202110"</f>
        <v>02001001615202110</v>
      </c>
      <c r="Z626" s="1" t="s">
        <v>260</v>
      </c>
      <c r="AA626" s="1" t="s">
        <v>4072</v>
      </c>
      <c r="AB626" s="1" t="str">
        <f>"***730981**"</f>
        <v>***730981**</v>
      </c>
      <c r="AC626" s="1"/>
      <c r="AD626" s="1"/>
      <c r="AE626" s="1"/>
      <c r="AF626" s="1">
        <v>-47.86</v>
      </c>
      <c r="AG626" s="1">
        <v>-15.765556</v>
      </c>
      <c r="AH626" s="1" t="s">
        <v>4060</v>
      </c>
      <c r="AI626" s="1"/>
      <c r="AJ626" s="1" t="s">
        <v>120</v>
      </c>
      <c r="AK626" s="1"/>
      <c r="AL626" s="1" t="s">
        <v>128</v>
      </c>
      <c r="AM626" s="1" t="s">
        <v>65</v>
      </c>
      <c r="AN626" s="1" t="s">
        <v>83</v>
      </c>
      <c r="AO626" s="2" t="s">
        <v>3968</v>
      </c>
      <c r="AP626" s="2" t="s">
        <v>4073</v>
      </c>
      <c r="AQ626" s="1" t="s">
        <v>132</v>
      </c>
      <c r="AR626" s="1" t="s">
        <v>4074</v>
      </c>
      <c r="AS626" s="1"/>
      <c r="AT626" s="2" t="s">
        <v>70</v>
      </c>
    </row>
    <row r="627">
      <c r="A627" s="1">
        <v>2042846.0</v>
      </c>
      <c r="B627" s="1" t="s">
        <v>116</v>
      </c>
      <c r="C627" s="1" t="s">
        <v>117</v>
      </c>
      <c r="D627" s="1" t="s">
        <v>46</v>
      </c>
      <c r="E627" s="1" t="s">
        <v>4075</v>
      </c>
      <c r="F627" s="1"/>
      <c r="G627" s="1" t="s">
        <v>119</v>
      </c>
      <c r="H627" s="1" t="s">
        <v>50</v>
      </c>
      <c r="I627" s="1">
        <v>1000.0</v>
      </c>
      <c r="J627" s="1"/>
      <c r="K627" s="1"/>
      <c r="L627" s="1" t="s">
        <v>295</v>
      </c>
      <c r="M627" s="1" t="s">
        <v>4076</v>
      </c>
      <c r="N627" s="1" t="s">
        <v>186</v>
      </c>
      <c r="O627" s="1" t="s">
        <v>95</v>
      </c>
      <c r="P627" s="2" t="s">
        <v>4077</v>
      </c>
      <c r="Q627" s="1" t="s">
        <v>56</v>
      </c>
      <c r="R627" s="2" t="s">
        <v>4037</v>
      </c>
      <c r="S627" s="1" t="s">
        <v>288</v>
      </c>
      <c r="T627" s="1">
        <v>2201903.0</v>
      </c>
      <c r="U627" s="1" t="s">
        <v>4078</v>
      </c>
      <c r="V627" s="1" t="s">
        <v>290</v>
      </c>
      <c r="W627" s="1" t="s">
        <v>172</v>
      </c>
      <c r="X627" s="1"/>
      <c r="Y627" s="1" t="str">
        <f>"02020000128202101"</f>
        <v>02020000128202101</v>
      </c>
      <c r="Z627" s="1" t="s">
        <v>101</v>
      </c>
      <c r="AA627" s="1" t="s">
        <v>4079</v>
      </c>
      <c r="AB627" s="1" t="str">
        <f>"10204720000122"</f>
        <v>10204720000122</v>
      </c>
      <c r="AC627" s="1"/>
      <c r="AD627" s="1"/>
      <c r="AE627" s="1"/>
      <c r="AF627" s="1">
        <v>-42.783889</v>
      </c>
      <c r="AG627" s="1">
        <v>-5.065</v>
      </c>
      <c r="AH627" s="1" t="s">
        <v>4080</v>
      </c>
      <c r="AI627" s="1"/>
      <c r="AJ627" s="1" t="s">
        <v>295</v>
      </c>
      <c r="AK627" s="1"/>
      <c r="AL627" s="1" t="s">
        <v>128</v>
      </c>
      <c r="AM627" s="1" t="s">
        <v>65</v>
      </c>
      <c r="AN627" s="1" t="s">
        <v>296</v>
      </c>
      <c r="AO627" s="2" t="s">
        <v>4081</v>
      </c>
      <c r="AP627" s="2" t="s">
        <v>4082</v>
      </c>
      <c r="AQ627" s="1" t="s">
        <v>132</v>
      </c>
      <c r="AR627" s="1" t="s">
        <v>531</v>
      </c>
      <c r="AS627" s="1"/>
      <c r="AT627" s="2" t="s">
        <v>70</v>
      </c>
    </row>
    <row r="628">
      <c r="A628" s="1"/>
      <c r="B628" s="1" t="s">
        <v>46</v>
      </c>
      <c r="C628" s="1" t="s">
        <v>47</v>
      </c>
      <c r="D628" s="1"/>
      <c r="E628" s="1" t="s">
        <v>4083</v>
      </c>
      <c r="F628" s="1"/>
      <c r="G628" s="1" t="s">
        <v>49</v>
      </c>
      <c r="H628" s="1" t="s">
        <v>50</v>
      </c>
      <c r="I628" s="1">
        <v>8000.0</v>
      </c>
      <c r="J628" s="1"/>
      <c r="K628" s="1" t="s">
        <v>51</v>
      </c>
      <c r="L628" s="1"/>
      <c r="M628" s="1" t="s">
        <v>4084</v>
      </c>
      <c r="N628" s="1" t="s">
        <v>381</v>
      </c>
      <c r="O628" s="1" t="s">
        <v>382</v>
      </c>
      <c r="P628" s="2" t="s">
        <v>4085</v>
      </c>
      <c r="Q628" s="1" t="s">
        <v>56</v>
      </c>
      <c r="R628" s="1"/>
      <c r="S628" s="1" t="s">
        <v>2022</v>
      </c>
      <c r="T628" s="1">
        <v>3304557.0</v>
      </c>
      <c r="U628" s="1" t="s">
        <v>1740</v>
      </c>
      <c r="V628" s="1" t="s">
        <v>1741</v>
      </c>
      <c r="W628" s="1" t="s">
        <v>60</v>
      </c>
      <c r="X628" s="1"/>
      <c r="Y628" s="1"/>
      <c r="Z628" s="1" t="s">
        <v>384</v>
      </c>
      <c r="AA628" s="1" t="s">
        <v>61</v>
      </c>
      <c r="AB628" s="1" t="str">
        <f t="shared" ref="AB628:AB629" si="42">"33000167000101"</f>
        <v>33000167000101</v>
      </c>
      <c r="AC628" s="1"/>
      <c r="AD628" s="1" t="s">
        <v>62</v>
      </c>
      <c r="AE628" s="1"/>
      <c r="AF628" s="1">
        <v>-43.244444</v>
      </c>
      <c r="AG628" s="1">
        <v>-25.866389</v>
      </c>
      <c r="AH628" s="1" t="s">
        <v>4086</v>
      </c>
      <c r="AI628" s="1"/>
      <c r="AJ628" s="1" t="s">
        <v>1336</v>
      </c>
      <c r="AK628" s="1"/>
      <c r="AL628" s="1"/>
      <c r="AM628" s="1" t="s">
        <v>65</v>
      </c>
      <c r="AN628" s="1" t="s">
        <v>1342</v>
      </c>
      <c r="AO628" s="1"/>
      <c r="AP628" s="2" t="s">
        <v>4087</v>
      </c>
      <c r="AQ628" s="1"/>
      <c r="AR628" s="1" t="s">
        <v>1765</v>
      </c>
      <c r="AS628" s="1" t="s">
        <v>4088</v>
      </c>
      <c r="AT628" s="2" t="s">
        <v>70</v>
      </c>
    </row>
    <row r="629">
      <c r="A629" s="1">
        <v>2043800.0</v>
      </c>
      <c r="B629" s="1" t="s">
        <v>116</v>
      </c>
      <c r="C629" s="1" t="s">
        <v>117</v>
      </c>
      <c r="D629" s="1" t="s">
        <v>46</v>
      </c>
      <c r="E629" s="1" t="s">
        <v>4089</v>
      </c>
      <c r="F629" s="1"/>
      <c r="G629" s="1" t="s">
        <v>119</v>
      </c>
      <c r="H629" s="1" t="s">
        <v>50</v>
      </c>
      <c r="I629" s="1">
        <v>8000.0</v>
      </c>
      <c r="J629" s="1"/>
      <c r="K629" s="1"/>
      <c r="L629" s="1" t="s">
        <v>1336</v>
      </c>
      <c r="M629" s="1" t="s">
        <v>4090</v>
      </c>
      <c r="N629" s="1" t="s">
        <v>53</v>
      </c>
      <c r="O629" s="1" t="s">
        <v>382</v>
      </c>
      <c r="P629" s="2" t="s">
        <v>4091</v>
      </c>
      <c r="Q629" s="1" t="s">
        <v>56</v>
      </c>
      <c r="R629" s="1"/>
      <c r="S629" s="1" t="s">
        <v>2022</v>
      </c>
      <c r="T629" s="1">
        <v>3304557.0</v>
      </c>
      <c r="U629" s="1" t="s">
        <v>1740</v>
      </c>
      <c r="V629" s="1" t="s">
        <v>1741</v>
      </c>
      <c r="W629" s="1" t="s">
        <v>60</v>
      </c>
      <c r="X629" s="1"/>
      <c r="Y629" s="1" t="str">
        <f>"02285000021202144"</f>
        <v>02285000021202144</v>
      </c>
      <c r="Z629" s="1" t="s">
        <v>384</v>
      </c>
      <c r="AA629" s="1" t="s">
        <v>61</v>
      </c>
      <c r="AB629" s="1" t="str">
        <f t="shared" si="42"/>
        <v>33000167000101</v>
      </c>
      <c r="AC629" s="1"/>
      <c r="AD629" s="1"/>
      <c r="AE629" s="1"/>
      <c r="AF629" s="1">
        <v>-42.739444</v>
      </c>
      <c r="AG629" s="1">
        <v>-25.480278</v>
      </c>
      <c r="AH629" s="1" t="s">
        <v>4092</v>
      </c>
      <c r="AI629" s="1"/>
      <c r="AJ629" s="1" t="s">
        <v>1336</v>
      </c>
      <c r="AK629" s="1"/>
      <c r="AL629" s="1" t="s">
        <v>128</v>
      </c>
      <c r="AM629" s="1" t="s">
        <v>65</v>
      </c>
      <c r="AN629" s="1" t="s">
        <v>1342</v>
      </c>
      <c r="AO629" s="2" t="s">
        <v>529</v>
      </c>
      <c r="AP629" s="2" t="s">
        <v>4093</v>
      </c>
      <c r="AQ629" s="1" t="s">
        <v>132</v>
      </c>
      <c r="AR629" s="1" t="s">
        <v>1745</v>
      </c>
      <c r="AS629" s="1" t="s">
        <v>4088</v>
      </c>
      <c r="AT629" s="2" t="s">
        <v>70</v>
      </c>
    </row>
    <row r="630">
      <c r="A630" s="1">
        <v>2042866.0</v>
      </c>
      <c r="B630" s="1" t="s">
        <v>116</v>
      </c>
      <c r="C630" s="1" t="s">
        <v>117</v>
      </c>
      <c r="D630" s="1" t="s">
        <v>46</v>
      </c>
      <c r="E630" s="1" t="s">
        <v>4094</v>
      </c>
      <c r="F630" s="1"/>
      <c r="G630" s="1" t="s">
        <v>119</v>
      </c>
      <c r="H630" s="1" t="s">
        <v>50</v>
      </c>
      <c r="I630" s="1">
        <v>2000.0</v>
      </c>
      <c r="J630" s="1"/>
      <c r="K630" s="1"/>
      <c r="L630" s="1" t="s">
        <v>295</v>
      </c>
      <c r="M630" s="1" t="s">
        <v>4095</v>
      </c>
      <c r="N630" s="1" t="s">
        <v>186</v>
      </c>
      <c r="O630" s="1" t="s">
        <v>95</v>
      </c>
      <c r="P630" s="2" t="s">
        <v>4096</v>
      </c>
      <c r="Q630" s="1" t="s">
        <v>56</v>
      </c>
      <c r="R630" s="2" t="s">
        <v>4097</v>
      </c>
      <c r="S630" s="1" t="s">
        <v>288</v>
      </c>
      <c r="T630" s="1">
        <v>2207793.0</v>
      </c>
      <c r="U630" s="1" t="s">
        <v>4098</v>
      </c>
      <c r="V630" s="1" t="s">
        <v>290</v>
      </c>
      <c r="W630" s="1" t="s">
        <v>172</v>
      </c>
      <c r="X630" s="1"/>
      <c r="Y630" s="1" t="str">
        <f>"02020000131202117"</f>
        <v>02020000131202117</v>
      </c>
      <c r="Z630" s="1" t="s">
        <v>101</v>
      </c>
      <c r="AA630" s="1" t="s">
        <v>4099</v>
      </c>
      <c r="AB630" s="1" t="str">
        <f>"15070911000162"</f>
        <v>15070911000162</v>
      </c>
      <c r="AC630" s="1"/>
      <c r="AD630" s="1"/>
      <c r="AE630" s="1"/>
      <c r="AF630" s="1">
        <v>-42.783889</v>
      </c>
      <c r="AG630" s="1">
        <v>-5.064722</v>
      </c>
      <c r="AH630" s="1" t="s">
        <v>1162</v>
      </c>
      <c r="AI630" s="1"/>
      <c r="AJ630" s="1" t="s">
        <v>295</v>
      </c>
      <c r="AK630" s="1"/>
      <c r="AL630" s="1" t="s">
        <v>128</v>
      </c>
      <c r="AM630" s="1" t="s">
        <v>65</v>
      </c>
      <c r="AN630" s="1" t="s">
        <v>296</v>
      </c>
      <c r="AO630" s="2" t="s">
        <v>4081</v>
      </c>
      <c r="AP630" s="2" t="s">
        <v>4100</v>
      </c>
      <c r="AQ630" s="1" t="s">
        <v>132</v>
      </c>
      <c r="AR630" s="1" t="s">
        <v>531</v>
      </c>
      <c r="AS630" s="1"/>
      <c r="AT630" s="2" t="s">
        <v>70</v>
      </c>
    </row>
    <row r="631">
      <c r="A631" s="1">
        <v>2042959.0</v>
      </c>
      <c r="B631" s="1" t="s">
        <v>116</v>
      </c>
      <c r="C631" s="1" t="s">
        <v>117</v>
      </c>
      <c r="D631" s="1" t="s">
        <v>46</v>
      </c>
      <c r="E631" s="1" t="s">
        <v>4101</v>
      </c>
      <c r="F631" s="1"/>
      <c r="G631" s="1" t="s">
        <v>119</v>
      </c>
      <c r="H631" s="1" t="s">
        <v>72</v>
      </c>
      <c r="I631" s="1">
        <v>9000.0</v>
      </c>
      <c r="J631" s="1"/>
      <c r="K631" s="1"/>
      <c r="L631" s="1" t="s">
        <v>405</v>
      </c>
      <c r="M631" s="1" t="s">
        <v>4102</v>
      </c>
      <c r="N631" s="1" t="s">
        <v>285</v>
      </c>
      <c r="O631" s="1" t="s">
        <v>286</v>
      </c>
      <c r="P631" s="2" t="s">
        <v>4103</v>
      </c>
      <c r="Q631" s="1" t="s">
        <v>56</v>
      </c>
      <c r="R631" s="1"/>
      <c r="S631" s="1" t="s">
        <v>400</v>
      </c>
      <c r="T631" s="1">
        <v>4313706.0</v>
      </c>
      <c r="U631" s="1" t="s">
        <v>4104</v>
      </c>
      <c r="V631" s="1" t="s">
        <v>402</v>
      </c>
      <c r="W631" s="1" t="s">
        <v>78</v>
      </c>
      <c r="X631" s="1"/>
      <c r="Y631" s="1" t="str">
        <f>"02023000186202105"</f>
        <v>02023000186202105</v>
      </c>
      <c r="Z631" s="1" t="s">
        <v>292</v>
      </c>
      <c r="AA631" s="1" t="s">
        <v>4105</v>
      </c>
      <c r="AB631" s="1" t="str">
        <f>"31290140000175"</f>
        <v>31290140000175</v>
      </c>
      <c r="AC631" s="1"/>
      <c r="AD631" s="1"/>
      <c r="AE631" s="1"/>
      <c r="AF631" s="1">
        <v>-53.304444</v>
      </c>
      <c r="AG631" s="1">
        <v>-27.884583</v>
      </c>
      <c r="AH631" s="1" t="s">
        <v>4106</v>
      </c>
      <c r="AI631" s="1"/>
      <c r="AJ631" s="1" t="s">
        <v>405</v>
      </c>
      <c r="AK631" s="1"/>
      <c r="AL631" s="1" t="s">
        <v>128</v>
      </c>
      <c r="AM631" s="1" t="s">
        <v>65</v>
      </c>
      <c r="AN631" s="1" t="s">
        <v>1302</v>
      </c>
      <c r="AO631" s="2" t="s">
        <v>3890</v>
      </c>
      <c r="AP631" s="2" t="s">
        <v>4107</v>
      </c>
      <c r="AQ631" s="1" t="s">
        <v>132</v>
      </c>
      <c r="AR631" s="1" t="s">
        <v>952</v>
      </c>
      <c r="AS631" s="1" t="s">
        <v>3892</v>
      </c>
      <c r="AT631" s="2" t="s">
        <v>70</v>
      </c>
    </row>
    <row r="632">
      <c r="A632" s="1">
        <v>2043834.0</v>
      </c>
      <c r="B632" s="1" t="s">
        <v>116</v>
      </c>
      <c r="C632" s="1" t="s">
        <v>117</v>
      </c>
      <c r="D632" s="1" t="s">
        <v>46</v>
      </c>
      <c r="E632" s="1" t="s">
        <v>4108</v>
      </c>
      <c r="F632" s="1"/>
      <c r="G632" s="1" t="s">
        <v>119</v>
      </c>
      <c r="H632" s="1" t="s">
        <v>50</v>
      </c>
      <c r="I632" s="1">
        <v>8000.0</v>
      </c>
      <c r="J632" s="1"/>
      <c r="K632" s="1"/>
      <c r="L632" s="1" t="s">
        <v>1336</v>
      </c>
      <c r="M632" s="1" t="s">
        <v>4109</v>
      </c>
      <c r="N632" s="1" t="s">
        <v>53</v>
      </c>
      <c r="O632" s="1" t="s">
        <v>382</v>
      </c>
      <c r="P632" s="2" t="s">
        <v>4103</v>
      </c>
      <c r="Q632" s="1" t="s">
        <v>56</v>
      </c>
      <c r="R632" s="1"/>
      <c r="S632" s="1" t="s">
        <v>2022</v>
      </c>
      <c r="T632" s="1">
        <v>3304557.0</v>
      </c>
      <c r="U632" s="1" t="s">
        <v>1740</v>
      </c>
      <c r="V632" s="1" t="s">
        <v>1741</v>
      </c>
      <c r="W632" s="1" t="s">
        <v>60</v>
      </c>
      <c r="X632" s="1"/>
      <c r="Y632" s="1" t="str">
        <f>"02285000020202108"</f>
        <v>02285000020202108</v>
      </c>
      <c r="Z632" s="1" t="s">
        <v>384</v>
      </c>
      <c r="AA632" s="1" t="s">
        <v>61</v>
      </c>
      <c r="AB632" s="1" t="str">
        <f>"33000167000101"</f>
        <v>33000167000101</v>
      </c>
      <c r="AC632" s="1"/>
      <c r="AD632" s="1" t="s">
        <v>325</v>
      </c>
      <c r="AE632" s="1"/>
      <c r="AF632" s="1">
        <v>-42.673056</v>
      </c>
      <c r="AG632" s="1">
        <v>-24.990556</v>
      </c>
      <c r="AH632" s="1" t="s">
        <v>4110</v>
      </c>
      <c r="AI632" s="1"/>
      <c r="AJ632" s="1" t="s">
        <v>1336</v>
      </c>
      <c r="AK632" s="1" t="s">
        <v>1342</v>
      </c>
      <c r="AL632" s="1" t="s">
        <v>128</v>
      </c>
      <c r="AM632" s="1" t="s">
        <v>65</v>
      </c>
      <c r="AN632" s="1" t="s">
        <v>1342</v>
      </c>
      <c r="AO632" s="2" t="s">
        <v>468</v>
      </c>
      <c r="AP632" s="2" t="s">
        <v>4111</v>
      </c>
      <c r="AQ632" s="1" t="s">
        <v>132</v>
      </c>
      <c r="AR632" s="1" t="s">
        <v>4112</v>
      </c>
      <c r="AS632" s="1" t="s">
        <v>4088</v>
      </c>
      <c r="AT632" s="2" t="s">
        <v>70</v>
      </c>
    </row>
    <row r="633">
      <c r="A633" s="1"/>
      <c r="B633" s="1" t="s">
        <v>46</v>
      </c>
      <c r="C633" s="1" t="s">
        <v>47</v>
      </c>
      <c r="D633" s="1"/>
      <c r="E633" s="1" t="s">
        <v>4113</v>
      </c>
      <c r="F633" s="1"/>
      <c r="G633" s="1" t="s">
        <v>49</v>
      </c>
      <c r="H633" s="1" t="s">
        <v>72</v>
      </c>
      <c r="I633" s="1">
        <v>7520.1</v>
      </c>
      <c r="J633" s="1"/>
      <c r="K633" s="1"/>
      <c r="L633" s="1"/>
      <c r="M633" s="1" t="s">
        <v>4114</v>
      </c>
      <c r="N633" s="1" t="s">
        <v>109</v>
      </c>
      <c r="O633" s="1" t="s">
        <v>110</v>
      </c>
      <c r="P633" s="2" t="s">
        <v>4115</v>
      </c>
      <c r="Q633" s="1" t="s">
        <v>56</v>
      </c>
      <c r="R633" s="2" t="s">
        <v>3895</v>
      </c>
      <c r="S633" s="1" t="s">
        <v>1349</v>
      </c>
      <c r="T633" s="1">
        <v>1504422.0</v>
      </c>
      <c r="U633" s="1" t="s">
        <v>4116</v>
      </c>
      <c r="V633" s="1" t="s">
        <v>917</v>
      </c>
      <c r="W633" s="1" t="s">
        <v>100</v>
      </c>
      <c r="X633" s="1"/>
      <c r="Y633" s="1"/>
      <c r="Z633" s="1" t="s">
        <v>112</v>
      </c>
      <c r="AA633" s="1" t="s">
        <v>4117</v>
      </c>
      <c r="AB633" s="1" t="str">
        <f>"10481267000100"</f>
        <v>10481267000100</v>
      </c>
      <c r="AC633" s="1"/>
      <c r="AD633" s="1" t="s">
        <v>62</v>
      </c>
      <c r="AE633" s="1"/>
      <c r="AF633" s="1">
        <v>-48.320556</v>
      </c>
      <c r="AG633" s="1">
        <v>-1.363333</v>
      </c>
      <c r="AH633" s="1" t="s">
        <v>4118</v>
      </c>
      <c r="AI633" s="1"/>
      <c r="AJ633" s="1" t="s">
        <v>1346</v>
      </c>
      <c r="AK633" s="1"/>
      <c r="AL633" s="1"/>
      <c r="AM633" s="1" t="s">
        <v>65</v>
      </c>
      <c r="AN633" s="1"/>
      <c r="AO633" s="1"/>
      <c r="AP633" s="2" t="s">
        <v>4119</v>
      </c>
      <c r="AQ633" s="1"/>
      <c r="AR633" s="1" t="s">
        <v>115</v>
      </c>
      <c r="AS633" s="1"/>
      <c r="AT633" s="2" t="s">
        <v>70</v>
      </c>
    </row>
    <row r="634">
      <c r="A634" s="1">
        <v>2042991.0</v>
      </c>
      <c r="B634" s="1" t="s">
        <v>116</v>
      </c>
      <c r="C634" s="1" t="s">
        <v>117</v>
      </c>
      <c r="D634" s="1" t="s">
        <v>46</v>
      </c>
      <c r="E634" s="1" t="s">
        <v>4120</v>
      </c>
      <c r="F634" s="1"/>
      <c r="G634" s="1" t="s">
        <v>119</v>
      </c>
      <c r="H634" s="1" t="s">
        <v>50</v>
      </c>
      <c r="I634" s="1">
        <v>4500.0</v>
      </c>
      <c r="J634" s="1"/>
      <c r="K634" s="1"/>
      <c r="L634" s="1" t="s">
        <v>175</v>
      </c>
      <c r="M634" s="1" t="s">
        <v>4121</v>
      </c>
      <c r="N634" s="1" t="s">
        <v>285</v>
      </c>
      <c r="O634" s="1" t="s">
        <v>286</v>
      </c>
      <c r="P634" s="2" t="s">
        <v>4122</v>
      </c>
      <c r="Q634" s="1" t="s">
        <v>56</v>
      </c>
      <c r="R634" s="1"/>
      <c r="S634" s="1" t="s">
        <v>169</v>
      </c>
      <c r="T634" s="1">
        <v>5218805.0</v>
      </c>
      <c r="U634" s="1" t="s">
        <v>4123</v>
      </c>
      <c r="V634" s="1" t="s">
        <v>171</v>
      </c>
      <c r="W634" s="1" t="s">
        <v>172</v>
      </c>
      <c r="X634" s="1"/>
      <c r="Y634" s="1" t="str">
        <f>"02010000127202178"</f>
        <v>02010000127202178</v>
      </c>
      <c r="Z634" s="1" t="s">
        <v>292</v>
      </c>
      <c r="AA634" s="1" t="s">
        <v>4124</v>
      </c>
      <c r="AB634" s="1" t="str">
        <f>"02077618003281"</f>
        <v>02077618003281</v>
      </c>
      <c r="AC634" s="1"/>
      <c r="AD634" s="1"/>
      <c r="AE634" s="1"/>
      <c r="AF634" s="1">
        <v>-49.246667</v>
      </c>
      <c r="AG634" s="1">
        <v>-16.674167</v>
      </c>
      <c r="AH634" s="1" t="s">
        <v>4125</v>
      </c>
      <c r="AI634" s="1"/>
      <c r="AJ634" s="1" t="s">
        <v>175</v>
      </c>
      <c r="AK634" s="1"/>
      <c r="AL634" s="1" t="s">
        <v>128</v>
      </c>
      <c r="AM634" s="1" t="s">
        <v>65</v>
      </c>
      <c r="AN634" s="1" t="s">
        <v>296</v>
      </c>
      <c r="AO634" s="2" t="s">
        <v>3930</v>
      </c>
      <c r="AP634" s="2" t="s">
        <v>4126</v>
      </c>
      <c r="AQ634" s="1" t="s">
        <v>132</v>
      </c>
      <c r="AR634" s="1" t="s">
        <v>247</v>
      </c>
      <c r="AS634" s="1"/>
      <c r="AT634" s="2" t="s">
        <v>70</v>
      </c>
    </row>
    <row r="635">
      <c r="A635" s="1">
        <v>2042989.0</v>
      </c>
      <c r="B635" s="1" t="s">
        <v>116</v>
      </c>
      <c r="C635" s="1" t="s">
        <v>117</v>
      </c>
      <c r="D635" s="1" t="s">
        <v>46</v>
      </c>
      <c r="E635" s="1" t="s">
        <v>4127</v>
      </c>
      <c r="F635" s="1"/>
      <c r="G635" s="1" t="s">
        <v>119</v>
      </c>
      <c r="H635" s="1" t="s">
        <v>50</v>
      </c>
      <c r="I635" s="1">
        <v>4500.0</v>
      </c>
      <c r="J635" s="1"/>
      <c r="K635" s="1"/>
      <c r="L635" s="1" t="s">
        <v>175</v>
      </c>
      <c r="M635" s="1" t="s">
        <v>4128</v>
      </c>
      <c r="N635" s="1" t="s">
        <v>285</v>
      </c>
      <c r="O635" s="1" t="s">
        <v>286</v>
      </c>
      <c r="P635" s="2" t="s">
        <v>4129</v>
      </c>
      <c r="Q635" s="1" t="s">
        <v>56</v>
      </c>
      <c r="R635" s="1"/>
      <c r="S635" s="1" t="s">
        <v>169</v>
      </c>
      <c r="T635" s="1">
        <v>5201405.0</v>
      </c>
      <c r="U635" s="1" t="s">
        <v>2443</v>
      </c>
      <c r="V635" s="1" t="s">
        <v>171</v>
      </c>
      <c r="W635" s="1" t="s">
        <v>172</v>
      </c>
      <c r="X635" s="1"/>
      <c r="Y635" s="1" t="str">
        <f>"02010000126202123"</f>
        <v>02010000126202123</v>
      </c>
      <c r="Z635" s="1" t="s">
        <v>292</v>
      </c>
      <c r="AA635" s="1" t="s">
        <v>4130</v>
      </c>
      <c r="AB635" s="1" t="str">
        <f>"47427653009503"</f>
        <v>47427653009503</v>
      </c>
      <c r="AC635" s="1"/>
      <c r="AD635" s="1"/>
      <c r="AE635" s="1"/>
      <c r="AF635" s="1">
        <v>-49.246667</v>
      </c>
      <c r="AG635" s="1">
        <v>-16.673333</v>
      </c>
      <c r="AH635" s="1" t="s">
        <v>4131</v>
      </c>
      <c r="AI635" s="1"/>
      <c r="AJ635" s="1" t="s">
        <v>175</v>
      </c>
      <c r="AK635" s="1"/>
      <c r="AL635" s="1" t="s">
        <v>128</v>
      </c>
      <c r="AM635" s="1" t="s">
        <v>65</v>
      </c>
      <c r="AN635" s="1" t="s">
        <v>296</v>
      </c>
      <c r="AO635" s="2" t="s">
        <v>3930</v>
      </c>
      <c r="AP635" s="2" t="s">
        <v>4132</v>
      </c>
      <c r="AQ635" s="1" t="s">
        <v>132</v>
      </c>
      <c r="AR635" s="1" t="s">
        <v>247</v>
      </c>
      <c r="AS635" s="1"/>
      <c r="AT635" s="2" t="s">
        <v>70</v>
      </c>
    </row>
    <row r="636">
      <c r="A636" s="1">
        <v>2043159.0</v>
      </c>
      <c r="B636" s="1" t="s">
        <v>116</v>
      </c>
      <c r="C636" s="1" t="s">
        <v>117</v>
      </c>
      <c r="D636" s="1" t="s">
        <v>46</v>
      </c>
      <c r="E636" s="1" t="s">
        <v>4133</v>
      </c>
      <c r="F636" s="1"/>
      <c r="G636" s="1" t="s">
        <v>119</v>
      </c>
      <c r="H636" s="1" t="s">
        <v>72</v>
      </c>
      <c r="I636" s="1">
        <v>9500.0</v>
      </c>
      <c r="J636" s="1"/>
      <c r="K636" s="1"/>
      <c r="L636" s="1" t="s">
        <v>417</v>
      </c>
      <c r="M636" s="1" t="s">
        <v>4134</v>
      </c>
      <c r="N636" s="1" t="s">
        <v>257</v>
      </c>
      <c r="O636" s="1" t="s">
        <v>258</v>
      </c>
      <c r="P636" s="2" t="s">
        <v>4129</v>
      </c>
      <c r="Q636" s="1" t="s">
        <v>56</v>
      </c>
      <c r="R636" s="1"/>
      <c r="S636" s="1" t="s">
        <v>412</v>
      </c>
      <c r="T636" s="1">
        <v>2707701.0</v>
      </c>
      <c r="U636" s="1" t="s">
        <v>4038</v>
      </c>
      <c r="V636" s="1" t="s">
        <v>414</v>
      </c>
      <c r="W636" s="1" t="s">
        <v>78</v>
      </c>
      <c r="X636" s="1"/>
      <c r="Y636" s="1"/>
      <c r="Z636" s="1" t="s">
        <v>260</v>
      </c>
      <c r="AA636" s="1" t="s">
        <v>4135</v>
      </c>
      <c r="AB636" s="1" t="str">
        <f>"***417204**"</f>
        <v>***417204**</v>
      </c>
      <c r="AC636" s="1"/>
      <c r="AD636" s="1"/>
      <c r="AE636" s="1"/>
      <c r="AF636" s="1">
        <v>-35.804167</v>
      </c>
      <c r="AG636" s="1">
        <v>-9.486139</v>
      </c>
      <c r="AH636" s="1" t="s">
        <v>4136</v>
      </c>
      <c r="AI636" s="1"/>
      <c r="AJ636" s="1" t="s">
        <v>417</v>
      </c>
      <c r="AK636" s="1"/>
      <c r="AL636" s="1" t="s">
        <v>128</v>
      </c>
      <c r="AM636" s="1" t="s">
        <v>65</v>
      </c>
      <c r="AN636" s="1" t="s">
        <v>274</v>
      </c>
      <c r="AO636" s="2" t="s">
        <v>2903</v>
      </c>
      <c r="AP636" s="2" t="s">
        <v>4137</v>
      </c>
      <c r="AQ636" s="1" t="s">
        <v>132</v>
      </c>
      <c r="AR636" s="1" t="s">
        <v>4042</v>
      </c>
      <c r="AS636" s="1"/>
      <c r="AT636" s="2" t="s">
        <v>70</v>
      </c>
    </row>
    <row r="637">
      <c r="A637" s="1">
        <v>2043178.0</v>
      </c>
      <c r="B637" s="1" t="s">
        <v>116</v>
      </c>
      <c r="C637" s="1" t="s">
        <v>117</v>
      </c>
      <c r="D637" s="1" t="s">
        <v>46</v>
      </c>
      <c r="E637" s="1" t="s">
        <v>4138</v>
      </c>
      <c r="F637" s="1"/>
      <c r="G637" s="1" t="s">
        <v>119</v>
      </c>
      <c r="H637" s="1" t="s">
        <v>72</v>
      </c>
      <c r="I637" s="1">
        <v>10000.0</v>
      </c>
      <c r="J637" s="1"/>
      <c r="K637" s="1"/>
      <c r="L637" s="1" t="s">
        <v>120</v>
      </c>
      <c r="M637" s="1" t="s">
        <v>4139</v>
      </c>
      <c r="N637" s="1" t="s">
        <v>74</v>
      </c>
      <c r="O637" s="1" t="s">
        <v>75</v>
      </c>
      <c r="P637" s="2" t="s">
        <v>4129</v>
      </c>
      <c r="Q637" s="1" t="s">
        <v>56</v>
      </c>
      <c r="R637" s="1"/>
      <c r="S637" s="1" t="s">
        <v>57</v>
      </c>
      <c r="T637" s="1">
        <v>3202801.0</v>
      </c>
      <c r="U637" s="1" t="s">
        <v>4140</v>
      </c>
      <c r="V637" s="1" t="s">
        <v>59</v>
      </c>
      <c r="W637" s="1" t="s">
        <v>60</v>
      </c>
      <c r="X637" s="1"/>
      <c r="Y637" s="1" t="str">
        <f>"02001002408202174"</f>
        <v>02001002408202174</v>
      </c>
      <c r="Z637" s="1" t="s">
        <v>79</v>
      </c>
      <c r="AA637" s="1" t="s">
        <v>4141</v>
      </c>
      <c r="AB637" s="1" t="str">
        <f>"***617647**"</f>
        <v>***617647**</v>
      </c>
      <c r="AC637" s="1"/>
      <c r="AD637" s="1"/>
      <c r="AE637" s="1"/>
      <c r="AF637" s="1">
        <v>-40.770556</v>
      </c>
      <c r="AG637" s="1">
        <v>-20.890556</v>
      </c>
      <c r="AH637" s="1" t="s">
        <v>4142</v>
      </c>
      <c r="AI637" s="1"/>
      <c r="AJ637" s="1" t="s">
        <v>120</v>
      </c>
      <c r="AK637" s="1"/>
      <c r="AL637" s="1" t="s">
        <v>128</v>
      </c>
      <c r="AM637" s="1" t="s">
        <v>65</v>
      </c>
      <c r="AN637" s="1" t="s">
        <v>159</v>
      </c>
      <c r="AO637" s="2" t="s">
        <v>2903</v>
      </c>
      <c r="AP637" s="2" t="s">
        <v>4143</v>
      </c>
      <c r="AQ637" s="1" t="s">
        <v>132</v>
      </c>
      <c r="AR637" s="1" t="s">
        <v>4144</v>
      </c>
      <c r="AS637" s="1" t="s">
        <v>4145</v>
      </c>
      <c r="AT637" s="2" t="s">
        <v>70</v>
      </c>
    </row>
    <row r="638">
      <c r="A638" s="1">
        <v>2042902.0</v>
      </c>
      <c r="B638" s="1" t="s">
        <v>116</v>
      </c>
      <c r="C638" s="1" t="s">
        <v>117</v>
      </c>
      <c r="D638" s="1" t="s">
        <v>46</v>
      </c>
      <c r="E638" s="1" t="s">
        <v>4146</v>
      </c>
      <c r="F638" s="1"/>
      <c r="G638" s="1" t="s">
        <v>119</v>
      </c>
      <c r="H638" s="1" t="s">
        <v>72</v>
      </c>
      <c r="I638" s="1">
        <v>124000.0</v>
      </c>
      <c r="J638" s="1"/>
      <c r="K638" s="1"/>
      <c r="L638" s="1" t="s">
        <v>104</v>
      </c>
      <c r="M638" s="1" t="s">
        <v>4147</v>
      </c>
      <c r="N638" s="1" t="s">
        <v>257</v>
      </c>
      <c r="O638" s="1" t="s">
        <v>258</v>
      </c>
      <c r="P638" s="2" t="s">
        <v>4148</v>
      </c>
      <c r="Q638" s="1" t="s">
        <v>56</v>
      </c>
      <c r="R638" s="2" t="s">
        <v>4097</v>
      </c>
      <c r="S638" s="1" t="s">
        <v>220</v>
      </c>
      <c r="T638" s="1">
        <v>1302603.0</v>
      </c>
      <c r="U638" s="1" t="s">
        <v>4149</v>
      </c>
      <c r="V638" s="1" t="s">
        <v>99</v>
      </c>
      <c r="W638" s="1" t="s">
        <v>100</v>
      </c>
      <c r="X638" s="1"/>
      <c r="Y638" s="1" t="str">
        <f>"02005000151202186"</f>
        <v>02005000151202186</v>
      </c>
      <c r="Z638" s="1" t="s">
        <v>260</v>
      </c>
      <c r="AA638" s="1" t="s">
        <v>4150</v>
      </c>
      <c r="AB638" s="1" t="str">
        <f t="shared" ref="AB638:AB639" si="43">"***358312**"</f>
        <v>***358312**</v>
      </c>
      <c r="AC638" s="1"/>
      <c r="AD638" s="1"/>
      <c r="AE638" s="1"/>
      <c r="AF638" s="1">
        <v>-59.981667</v>
      </c>
      <c r="AG638" s="1">
        <v>-3.137222</v>
      </c>
      <c r="AH638" s="1" t="s">
        <v>4151</v>
      </c>
      <c r="AI638" s="1"/>
      <c r="AJ638" s="1" t="s">
        <v>104</v>
      </c>
      <c r="AK638" s="1"/>
      <c r="AL638" s="1" t="s">
        <v>128</v>
      </c>
      <c r="AM638" s="1" t="s">
        <v>65</v>
      </c>
      <c r="AN638" s="1" t="s">
        <v>3688</v>
      </c>
      <c r="AO638" s="2" t="s">
        <v>3968</v>
      </c>
      <c r="AP638" s="2" t="s">
        <v>4152</v>
      </c>
      <c r="AQ638" s="1" t="s">
        <v>132</v>
      </c>
      <c r="AR638" s="1" t="s">
        <v>1344</v>
      </c>
      <c r="AS638" s="1"/>
      <c r="AT638" s="2" t="s">
        <v>70</v>
      </c>
    </row>
    <row r="639">
      <c r="A639" s="1">
        <v>2042903.0</v>
      </c>
      <c r="B639" s="1" t="s">
        <v>116</v>
      </c>
      <c r="C639" s="1" t="s">
        <v>117</v>
      </c>
      <c r="D639" s="1" t="s">
        <v>46</v>
      </c>
      <c r="E639" s="1" t="s">
        <v>4153</v>
      </c>
      <c r="F639" s="1"/>
      <c r="G639" s="1" t="s">
        <v>119</v>
      </c>
      <c r="H639" s="1" t="s">
        <v>72</v>
      </c>
      <c r="I639" s="1">
        <v>115000.0</v>
      </c>
      <c r="J639" s="1"/>
      <c r="K639" s="1"/>
      <c r="L639" s="1" t="s">
        <v>104</v>
      </c>
      <c r="M639" s="1" t="s">
        <v>4154</v>
      </c>
      <c r="N639" s="1" t="s">
        <v>257</v>
      </c>
      <c r="O639" s="1" t="s">
        <v>258</v>
      </c>
      <c r="P639" s="2" t="s">
        <v>4148</v>
      </c>
      <c r="Q639" s="1" t="s">
        <v>56</v>
      </c>
      <c r="R639" s="2" t="s">
        <v>4097</v>
      </c>
      <c r="S639" s="1" t="s">
        <v>220</v>
      </c>
      <c r="T639" s="1">
        <v>1302603.0</v>
      </c>
      <c r="U639" s="1" t="s">
        <v>4149</v>
      </c>
      <c r="V639" s="1" t="s">
        <v>99</v>
      </c>
      <c r="W639" s="1" t="s">
        <v>100</v>
      </c>
      <c r="X639" s="1"/>
      <c r="Y639" s="1" t="str">
        <f>"02005000152202121"</f>
        <v>02005000152202121</v>
      </c>
      <c r="Z639" s="1" t="s">
        <v>260</v>
      </c>
      <c r="AA639" s="1" t="s">
        <v>4150</v>
      </c>
      <c r="AB639" s="1" t="str">
        <f t="shared" si="43"/>
        <v>***358312**</v>
      </c>
      <c r="AC639" s="1"/>
      <c r="AD639" s="1"/>
      <c r="AE639" s="1"/>
      <c r="AF639" s="1">
        <v>-59.981667</v>
      </c>
      <c r="AG639" s="1">
        <v>-3.135556</v>
      </c>
      <c r="AH639" s="1" t="s">
        <v>4155</v>
      </c>
      <c r="AI639" s="1"/>
      <c r="AJ639" s="1" t="s">
        <v>104</v>
      </c>
      <c r="AK639" s="1"/>
      <c r="AL639" s="1" t="s">
        <v>128</v>
      </c>
      <c r="AM639" s="1" t="s">
        <v>65</v>
      </c>
      <c r="AN639" s="1" t="s">
        <v>3688</v>
      </c>
      <c r="AO639" s="2" t="s">
        <v>3968</v>
      </c>
      <c r="AP639" s="2" t="s">
        <v>4156</v>
      </c>
      <c r="AQ639" s="1" t="s">
        <v>132</v>
      </c>
      <c r="AR639" s="1" t="s">
        <v>1344</v>
      </c>
      <c r="AS639" s="1"/>
      <c r="AT639" s="2" t="s">
        <v>70</v>
      </c>
    </row>
    <row r="640">
      <c r="A640" s="1">
        <v>2042915.0</v>
      </c>
      <c r="B640" s="1" t="s">
        <v>116</v>
      </c>
      <c r="C640" s="1" t="s">
        <v>117</v>
      </c>
      <c r="D640" s="1" t="s">
        <v>46</v>
      </c>
      <c r="E640" s="1" t="s">
        <v>4157</v>
      </c>
      <c r="F640" s="1"/>
      <c r="G640" s="1" t="s">
        <v>119</v>
      </c>
      <c r="H640" s="1" t="s">
        <v>50</v>
      </c>
      <c r="I640" s="1">
        <v>5500.0</v>
      </c>
      <c r="J640" s="1"/>
      <c r="K640" s="1"/>
      <c r="L640" s="1" t="s">
        <v>295</v>
      </c>
      <c r="M640" s="1" t="s">
        <v>4158</v>
      </c>
      <c r="N640" s="1" t="s">
        <v>109</v>
      </c>
      <c r="O640" s="1" t="s">
        <v>110</v>
      </c>
      <c r="P640" s="2" t="s">
        <v>4148</v>
      </c>
      <c r="Q640" s="1" t="s">
        <v>56</v>
      </c>
      <c r="R640" s="2" t="s">
        <v>4097</v>
      </c>
      <c r="S640" s="1" t="s">
        <v>288</v>
      </c>
      <c r="T640" s="1">
        <v>2211001.0</v>
      </c>
      <c r="U640" s="1" t="s">
        <v>527</v>
      </c>
      <c r="V640" s="1" t="s">
        <v>290</v>
      </c>
      <c r="W640" s="1" t="s">
        <v>291</v>
      </c>
      <c r="X640" s="1"/>
      <c r="Y640" s="1" t="str">
        <f>"02020000147202120"</f>
        <v>02020000147202120</v>
      </c>
      <c r="Z640" s="1" t="s">
        <v>112</v>
      </c>
      <c r="AA640" s="1" t="s">
        <v>4159</v>
      </c>
      <c r="AB640" s="1" t="str">
        <f>"07817234000175"</f>
        <v>07817234000175</v>
      </c>
      <c r="AC640" s="1"/>
      <c r="AD640" s="1"/>
      <c r="AE640" s="1"/>
      <c r="AF640" s="1">
        <v>-42.783889</v>
      </c>
      <c r="AG640" s="1">
        <v>-5.065</v>
      </c>
      <c r="AH640" s="1" t="s">
        <v>4160</v>
      </c>
      <c r="AI640" s="1"/>
      <c r="AJ640" s="1" t="s">
        <v>295</v>
      </c>
      <c r="AK640" s="1"/>
      <c r="AL640" s="1" t="s">
        <v>128</v>
      </c>
      <c r="AM640" s="1" t="s">
        <v>65</v>
      </c>
      <c r="AN640" s="1" t="s">
        <v>296</v>
      </c>
      <c r="AO640" s="2" t="s">
        <v>3968</v>
      </c>
      <c r="AP640" s="2" t="s">
        <v>4161</v>
      </c>
      <c r="AQ640" s="1" t="s">
        <v>132</v>
      </c>
      <c r="AR640" s="1" t="s">
        <v>247</v>
      </c>
      <c r="AS640" s="1"/>
      <c r="AT640" s="2" t="s">
        <v>70</v>
      </c>
    </row>
    <row r="641">
      <c r="A641" s="1">
        <v>2042934.0</v>
      </c>
      <c r="B641" s="1" t="s">
        <v>116</v>
      </c>
      <c r="C641" s="1" t="s">
        <v>117</v>
      </c>
      <c r="D641" s="1" t="s">
        <v>46</v>
      </c>
      <c r="E641" s="1" t="s">
        <v>4162</v>
      </c>
      <c r="F641" s="1"/>
      <c r="G641" s="1" t="s">
        <v>119</v>
      </c>
      <c r="H641" s="1" t="s">
        <v>50</v>
      </c>
      <c r="I641" s="1">
        <v>1500.0</v>
      </c>
      <c r="J641" s="1"/>
      <c r="K641" s="1"/>
      <c r="L641" s="1" t="s">
        <v>295</v>
      </c>
      <c r="M641" s="1" t="s">
        <v>4163</v>
      </c>
      <c r="N641" s="1" t="s">
        <v>186</v>
      </c>
      <c r="O641" s="1" t="s">
        <v>95</v>
      </c>
      <c r="P641" s="2" t="s">
        <v>4148</v>
      </c>
      <c r="Q641" s="1" t="s">
        <v>137</v>
      </c>
      <c r="R641" s="1"/>
      <c r="S641" s="1" t="s">
        <v>288</v>
      </c>
      <c r="T641" s="1">
        <v>2203909.0</v>
      </c>
      <c r="U641" s="1" t="s">
        <v>3999</v>
      </c>
      <c r="V641" s="1" t="s">
        <v>290</v>
      </c>
      <c r="W641" s="1" t="s">
        <v>100</v>
      </c>
      <c r="X641" s="1"/>
      <c r="Y641" s="1" t="str">
        <f>"02020000159202154"</f>
        <v>02020000159202154</v>
      </c>
      <c r="Z641" s="1" t="s">
        <v>101</v>
      </c>
      <c r="AA641" s="1" t="s">
        <v>4164</v>
      </c>
      <c r="AB641" s="1" t="str">
        <f t="shared" ref="AB641:AB642" si="44">"05928753000185"</f>
        <v>05928753000185</v>
      </c>
      <c r="AC641" s="1"/>
      <c r="AD641" s="1"/>
      <c r="AE641" s="1"/>
      <c r="AF641" s="1">
        <v>-43.014528</v>
      </c>
      <c r="AG641" s="1">
        <v>-6.7725</v>
      </c>
      <c r="AH641" s="1" t="s">
        <v>4165</v>
      </c>
      <c r="AI641" s="1"/>
      <c r="AJ641" s="1" t="s">
        <v>295</v>
      </c>
      <c r="AK641" s="1"/>
      <c r="AL641" s="1" t="s">
        <v>128</v>
      </c>
      <c r="AM641" s="1" t="s">
        <v>65</v>
      </c>
      <c r="AN641" s="1" t="s">
        <v>296</v>
      </c>
      <c r="AO641" s="2" t="s">
        <v>3968</v>
      </c>
      <c r="AP641" s="2" t="s">
        <v>4166</v>
      </c>
      <c r="AQ641" s="1" t="s">
        <v>132</v>
      </c>
      <c r="AR641" s="1" t="s">
        <v>247</v>
      </c>
      <c r="AS641" s="1"/>
      <c r="AT641" s="2" t="s">
        <v>70</v>
      </c>
    </row>
    <row r="642">
      <c r="A642" s="1">
        <v>2042935.0</v>
      </c>
      <c r="B642" s="1" t="s">
        <v>116</v>
      </c>
      <c r="C642" s="1" t="s">
        <v>117</v>
      </c>
      <c r="D642" s="1" t="s">
        <v>46</v>
      </c>
      <c r="E642" s="1" t="s">
        <v>4167</v>
      </c>
      <c r="F642" s="1"/>
      <c r="G642" s="1" t="s">
        <v>119</v>
      </c>
      <c r="H642" s="1" t="s">
        <v>72</v>
      </c>
      <c r="I642" s="1">
        <v>1544.31</v>
      </c>
      <c r="J642" s="1"/>
      <c r="K642" s="1"/>
      <c r="L642" s="1" t="s">
        <v>295</v>
      </c>
      <c r="M642" s="1" t="s">
        <v>4168</v>
      </c>
      <c r="N642" s="1" t="s">
        <v>109</v>
      </c>
      <c r="O642" s="1" t="s">
        <v>110</v>
      </c>
      <c r="P642" s="2" t="s">
        <v>4148</v>
      </c>
      <c r="Q642" s="1" t="s">
        <v>137</v>
      </c>
      <c r="R642" s="2" t="s">
        <v>4097</v>
      </c>
      <c r="S642" s="1" t="s">
        <v>288</v>
      </c>
      <c r="T642" s="1">
        <v>2203909.0</v>
      </c>
      <c r="U642" s="1" t="s">
        <v>3999</v>
      </c>
      <c r="V642" s="1" t="s">
        <v>290</v>
      </c>
      <c r="W642" s="1" t="s">
        <v>100</v>
      </c>
      <c r="X642" s="1"/>
      <c r="Y642" s="1" t="str">
        <f>"02020000160202189"</f>
        <v>02020000160202189</v>
      </c>
      <c r="Z642" s="1" t="s">
        <v>112</v>
      </c>
      <c r="AA642" s="1" t="s">
        <v>4164</v>
      </c>
      <c r="AB642" s="1" t="str">
        <f t="shared" si="44"/>
        <v>05928753000185</v>
      </c>
      <c r="AC642" s="1"/>
      <c r="AD642" s="1"/>
      <c r="AE642" s="1"/>
      <c r="AF642" s="1">
        <v>-43.014528</v>
      </c>
      <c r="AG642" s="1">
        <v>-6.7725</v>
      </c>
      <c r="AH642" s="1" t="s">
        <v>4169</v>
      </c>
      <c r="AI642" s="1"/>
      <c r="AJ642" s="1" t="s">
        <v>295</v>
      </c>
      <c r="AK642" s="1"/>
      <c r="AL642" s="1" t="s">
        <v>128</v>
      </c>
      <c r="AM642" s="1" t="s">
        <v>65</v>
      </c>
      <c r="AN642" s="1" t="s">
        <v>296</v>
      </c>
      <c r="AO642" s="2" t="s">
        <v>3968</v>
      </c>
      <c r="AP642" s="2" t="s">
        <v>4170</v>
      </c>
      <c r="AQ642" s="1" t="s">
        <v>132</v>
      </c>
      <c r="AR642" s="1" t="s">
        <v>133</v>
      </c>
      <c r="AS642" s="1"/>
      <c r="AT642" s="2" t="s">
        <v>70</v>
      </c>
    </row>
    <row r="643">
      <c r="A643" s="1">
        <v>2043158.0</v>
      </c>
      <c r="B643" s="1" t="s">
        <v>116</v>
      </c>
      <c r="C643" s="1" t="s">
        <v>117</v>
      </c>
      <c r="D643" s="1" t="s">
        <v>46</v>
      </c>
      <c r="E643" s="1" t="s">
        <v>4171</v>
      </c>
      <c r="F643" s="1"/>
      <c r="G643" s="1" t="s">
        <v>119</v>
      </c>
      <c r="H643" s="1" t="s">
        <v>72</v>
      </c>
      <c r="I643" s="1">
        <v>500.0</v>
      </c>
      <c r="J643" s="1"/>
      <c r="K643" s="1"/>
      <c r="L643" s="1" t="s">
        <v>417</v>
      </c>
      <c r="M643" s="1" t="s">
        <v>4172</v>
      </c>
      <c r="N643" s="1" t="s">
        <v>257</v>
      </c>
      <c r="O643" s="1" t="s">
        <v>258</v>
      </c>
      <c r="P643" s="2" t="s">
        <v>4148</v>
      </c>
      <c r="Q643" s="1" t="s">
        <v>56</v>
      </c>
      <c r="R643" s="1"/>
      <c r="S643" s="1" t="s">
        <v>412</v>
      </c>
      <c r="T643" s="1">
        <v>2708907.0</v>
      </c>
      <c r="U643" s="1" t="s">
        <v>4173</v>
      </c>
      <c r="V643" s="1" t="s">
        <v>414</v>
      </c>
      <c r="W643" s="1" t="s">
        <v>78</v>
      </c>
      <c r="X643" s="1"/>
      <c r="Y643" s="1" t="str">
        <f>"02003000136202158"</f>
        <v>02003000136202158</v>
      </c>
      <c r="Z643" s="1" t="s">
        <v>260</v>
      </c>
      <c r="AA643" s="1" t="s">
        <v>4174</v>
      </c>
      <c r="AB643" s="1" t="str">
        <f>"***497444**"</f>
        <v>***497444**</v>
      </c>
      <c r="AC643" s="1"/>
      <c r="AD643" s="1"/>
      <c r="AE643" s="1"/>
      <c r="AF643" s="1">
        <v>-35.740278</v>
      </c>
      <c r="AG643" s="1">
        <v>-9.614444</v>
      </c>
      <c r="AH643" s="1" t="s">
        <v>4175</v>
      </c>
      <c r="AI643" s="1"/>
      <c r="AJ643" s="1" t="s">
        <v>417</v>
      </c>
      <c r="AK643" s="1"/>
      <c r="AL643" s="1" t="s">
        <v>128</v>
      </c>
      <c r="AM643" s="1" t="s">
        <v>65</v>
      </c>
      <c r="AN643" s="1" t="s">
        <v>274</v>
      </c>
      <c r="AO643" s="2" t="s">
        <v>2903</v>
      </c>
      <c r="AP643" s="2" t="s">
        <v>4176</v>
      </c>
      <c r="AQ643" s="1" t="s">
        <v>132</v>
      </c>
      <c r="AR643" s="1" t="s">
        <v>1558</v>
      </c>
      <c r="AS643" s="1"/>
      <c r="AT643" s="2" t="s">
        <v>70</v>
      </c>
    </row>
    <row r="644">
      <c r="A644" s="1">
        <v>2042916.0</v>
      </c>
      <c r="B644" s="1" t="s">
        <v>116</v>
      </c>
      <c r="C644" s="1" t="s">
        <v>117</v>
      </c>
      <c r="D644" s="1" t="s">
        <v>46</v>
      </c>
      <c r="E644" s="1" t="s">
        <v>4177</v>
      </c>
      <c r="F644" s="1"/>
      <c r="G644" s="1" t="s">
        <v>119</v>
      </c>
      <c r="H644" s="1" t="s">
        <v>50</v>
      </c>
      <c r="I644" s="1">
        <v>30000.0</v>
      </c>
      <c r="J644" s="1"/>
      <c r="K644" s="1"/>
      <c r="L644" s="1" t="s">
        <v>295</v>
      </c>
      <c r="M644" s="1" t="s">
        <v>4178</v>
      </c>
      <c r="N644" s="1" t="s">
        <v>109</v>
      </c>
      <c r="O644" s="1" t="s">
        <v>110</v>
      </c>
      <c r="P644" s="2" t="s">
        <v>4179</v>
      </c>
      <c r="Q644" s="1" t="s">
        <v>56</v>
      </c>
      <c r="R644" s="2" t="s">
        <v>4097</v>
      </c>
      <c r="S644" s="1" t="s">
        <v>288</v>
      </c>
      <c r="T644" s="1">
        <v>2211001.0</v>
      </c>
      <c r="U644" s="1" t="s">
        <v>527</v>
      </c>
      <c r="V644" s="1" t="s">
        <v>290</v>
      </c>
      <c r="W644" s="1" t="s">
        <v>291</v>
      </c>
      <c r="X644" s="1"/>
      <c r="Y644" s="1" t="str">
        <f>"02020000148202174"</f>
        <v>02020000148202174</v>
      </c>
      <c r="Z644" s="1" t="s">
        <v>112</v>
      </c>
      <c r="AA644" s="1" t="s">
        <v>4180</v>
      </c>
      <c r="AB644" s="1" t="str">
        <f>"04917942000190"</f>
        <v>04917942000190</v>
      </c>
      <c r="AC644" s="1"/>
      <c r="AD644" s="1"/>
      <c r="AE644" s="1"/>
      <c r="AF644" s="1">
        <v>-42.784167</v>
      </c>
      <c r="AG644" s="1">
        <v>-5.065</v>
      </c>
      <c r="AH644" s="1" t="s">
        <v>4180</v>
      </c>
      <c r="AI644" s="1"/>
      <c r="AJ644" s="1" t="s">
        <v>295</v>
      </c>
      <c r="AK644" s="1"/>
      <c r="AL644" s="1" t="s">
        <v>128</v>
      </c>
      <c r="AM644" s="1" t="s">
        <v>65</v>
      </c>
      <c r="AN644" s="1" t="s">
        <v>296</v>
      </c>
      <c r="AO644" s="2" t="s">
        <v>3968</v>
      </c>
      <c r="AP644" s="2" t="s">
        <v>4181</v>
      </c>
      <c r="AQ644" s="1" t="s">
        <v>132</v>
      </c>
      <c r="AR644" s="1" t="s">
        <v>247</v>
      </c>
      <c r="AS644" s="1"/>
      <c r="AT644" s="2" t="s">
        <v>70</v>
      </c>
    </row>
    <row r="645">
      <c r="A645" s="1">
        <v>2042988.0</v>
      </c>
      <c r="B645" s="1" t="s">
        <v>116</v>
      </c>
      <c r="C645" s="1" t="s">
        <v>117</v>
      </c>
      <c r="D645" s="1" t="s">
        <v>46</v>
      </c>
      <c r="E645" s="1" t="s">
        <v>4182</v>
      </c>
      <c r="F645" s="1"/>
      <c r="G645" s="1" t="s">
        <v>119</v>
      </c>
      <c r="H645" s="1" t="s">
        <v>72</v>
      </c>
      <c r="I645" s="1">
        <v>7100.0</v>
      </c>
      <c r="J645" s="1"/>
      <c r="K645" s="1"/>
      <c r="L645" s="1" t="s">
        <v>442</v>
      </c>
      <c r="M645" s="1" t="s">
        <v>4183</v>
      </c>
      <c r="N645" s="1" t="s">
        <v>74</v>
      </c>
      <c r="O645" s="1" t="s">
        <v>75</v>
      </c>
      <c r="P645" s="2" t="s">
        <v>4179</v>
      </c>
      <c r="Q645" s="1" t="s">
        <v>77</v>
      </c>
      <c r="R645" s="2" t="s">
        <v>4097</v>
      </c>
      <c r="S645" s="1" t="s">
        <v>437</v>
      </c>
      <c r="T645" s="1">
        <v>2304400.0</v>
      </c>
      <c r="U645" s="1" t="s">
        <v>592</v>
      </c>
      <c r="V645" s="1" t="s">
        <v>439</v>
      </c>
      <c r="W645" s="1" t="s">
        <v>60</v>
      </c>
      <c r="X645" s="1"/>
      <c r="Y645" s="1" t="str">
        <f>"02007000272202116"</f>
        <v>02007000272202116</v>
      </c>
      <c r="Z645" s="1" t="s">
        <v>79</v>
      </c>
      <c r="AA645" s="1" t="s">
        <v>4184</v>
      </c>
      <c r="AB645" s="1" t="str">
        <f>"01605349000110"</f>
        <v>01605349000110</v>
      </c>
      <c r="AC645" s="1"/>
      <c r="AD645" s="1"/>
      <c r="AE645" s="1"/>
      <c r="AF645" s="1">
        <v>-38.538333</v>
      </c>
      <c r="AG645" s="1">
        <v>-3.729722</v>
      </c>
      <c r="AH645" s="1" t="s">
        <v>4185</v>
      </c>
      <c r="AI645" s="1"/>
      <c r="AJ645" s="1" t="s">
        <v>442</v>
      </c>
      <c r="AK645" s="1"/>
      <c r="AL645" s="1" t="s">
        <v>128</v>
      </c>
      <c r="AM645" s="1" t="s">
        <v>65</v>
      </c>
      <c r="AN645" s="1" t="s">
        <v>3734</v>
      </c>
      <c r="AO645" s="2" t="s">
        <v>3930</v>
      </c>
      <c r="AP645" s="2" t="s">
        <v>4186</v>
      </c>
      <c r="AQ645" s="1" t="s">
        <v>132</v>
      </c>
      <c r="AR645" s="1" t="s">
        <v>4187</v>
      </c>
      <c r="AS645" s="1"/>
      <c r="AT645" s="2" t="s">
        <v>70</v>
      </c>
    </row>
    <row r="646">
      <c r="A646" s="1">
        <v>2042920.0</v>
      </c>
      <c r="B646" s="1" t="s">
        <v>116</v>
      </c>
      <c r="C646" s="1" t="s">
        <v>117</v>
      </c>
      <c r="D646" s="1" t="s">
        <v>46</v>
      </c>
      <c r="E646" s="1" t="s">
        <v>4188</v>
      </c>
      <c r="F646" s="1"/>
      <c r="G646" s="1" t="s">
        <v>119</v>
      </c>
      <c r="H646" s="1" t="s">
        <v>50</v>
      </c>
      <c r="I646" s="1">
        <v>2500.0</v>
      </c>
      <c r="J646" s="1"/>
      <c r="K646" s="1"/>
      <c r="L646" s="1" t="s">
        <v>273</v>
      </c>
      <c r="M646" s="1" t="s">
        <v>4189</v>
      </c>
      <c r="N646" s="1" t="s">
        <v>186</v>
      </c>
      <c r="O646" s="1" t="s">
        <v>95</v>
      </c>
      <c r="P646" s="2" t="s">
        <v>4190</v>
      </c>
      <c r="Q646" s="1" t="s">
        <v>56</v>
      </c>
      <c r="R646" s="2" t="s">
        <v>4097</v>
      </c>
      <c r="S646" s="1" t="s">
        <v>268</v>
      </c>
      <c r="T646" s="1">
        <v>4110706.0</v>
      </c>
      <c r="U646" s="1" t="s">
        <v>4191</v>
      </c>
      <c r="V646" s="1" t="s">
        <v>270</v>
      </c>
      <c r="W646" s="1" t="s">
        <v>78</v>
      </c>
      <c r="X646" s="1"/>
      <c r="Y646" s="1" t="str">
        <f>"02017000106202192"</f>
        <v>02017000106202192</v>
      </c>
      <c r="Z646" s="1" t="s">
        <v>101</v>
      </c>
      <c r="AA646" s="1" t="s">
        <v>4192</v>
      </c>
      <c r="AB646" s="1" t="str">
        <f>"77015931000198"</f>
        <v>77015931000198</v>
      </c>
      <c r="AC646" s="1"/>
      <c r="AD646" s="1"/>
      <c r="AE646" s="1"/>
      <c r="AF646" s="1">
        <v>-50.655556</v>
      </c>
      <c r="AG646" s="1">
        <v>-25.483889</v>
      </c>
      <c r="AH646" s="1" t="s">
        <v>4193</v>
      </c>
      <c r="AI646" s="1"/>
      <c r="AJ646" s="1" t="s">
        <v>273</v>
      </c>
      <c r="AK646" s="1"/>
      <c r="AL646" s="1" t="s">
        <v>128</v>
      </c>
      <c r="AM646" s="1" t="s">
        <v>65</v>
      </c>
      <c r="AN646" s="1" t="s">
        <v>274</v>
      </c>
      <c r="AO646" s="2" t="s">
        <v>3968</v>
      </c>
      <c r="AP646" s="2" t="s">
        <v>4194</v>
      </c>
      <c r="AQ646" s="1" t="s">
        <v>132</v>
      </c>
      <c r="AR646" s="1" t="s">
        <v>247</v>
      </c>
      <c r="AS646" s="1"/>
      <c r="AT646" s="2" t="s">
        <v>70</v>
      </c>
    </row>
    <row r="647">
      <c r="A647" s="1">
        <v>2043026.0</v>
      </c>
      <c r="B647" s="1" t="s">
        <v>116</v>
      </c>
      <c r="C647" s="1" t="s">
        <v>117</v>
      </c>
      <c r="D647" s="1" t="s">
        <v>46</v>
      </c>
      <c r="E647" s="1" t="s">
        <v>4195</v>
      </c>
      <c r="F647" s="1"/>
      <c r="G647" s="1" t="s">
        <v>119</v>
      </c>
      <c r="H647" s="1" t="s">
        <v>50</v>
      </c>
      <c r="I647" s="1">
        <v>1600.0</v>
      </c>
      <c r="J647" s="1"/>
      <c r="K647" s="1"/>
      <c r="L647" s="1" t="s">
        <v>295</v>
      </c>
      <c r="M647" s="1" t="s">
        <v>4196</v>
      </c>
      <c r="N647" s="1" t="s">
        <v>53</v>
      </c>
      <c r="O647" s="1" t="s">
        <v>382</v>
      </c>
      <c r="P647" s="2" t="s">
        <v>4190</v>
      </c>
      <c r="Q647" s="1" t="s">
        <v>56</v>
      </c>
      <c r="R647" s="1"/>
      <c r="S647" s="1" t="s">
        <v>288</v>
      </c>
      <c r="T647" s="1">
        <v>2201903.0</v>
      </c>
      <c r="U647" s="1" t="s">
        <v>4078</v>
      </c>
      <c r="V647" s="1" t="s">
        <v>290</v>
      </c>
      <c r="W647" s="1" t="s">
        <v>291</v>
      </c>
      <c r="X647" s="1"/>
      <c r="Y647" s="1" t="str">
        <f>"02020000196202162"</f>
        <v>02020000196202162</v>
      </c>
      <c r="Z647" s="1" t="s">
        <v>384</v>
      </c>
      <c r="AA647" s="1" t="s">
        <v>4197</v>
      </c>
      <c r="AB647" s="1" t="str">
        <f>"13627477000143"</f>
        <v>13627477000143</v>
      </c>
      <c r="AC647" s="1"/>
      <c r="AD647" s="1"/>
      <c r="AE647" s="1"/>
      <c r="AF647" s="1">
        <v>-42.763611</v>
      </c>
      <c r="AG647" s="1">
        <v>-5.06</v>
      </c>
      <c r="AH647" s="1" t="s">
        <v>4198</v>
      </c>
      <c r="AI647" s="1"/>
      <c r="AJ647" s="1" t="s">
        <v>295</v>
      </c>
      <c r="AK647" s="1"/>
      <c r="AL647" s="1" t="s">
        <v>128</v>
      </c>
      <c r="AM647" s="1" t="s">
        <v>65</v>
      </c>
      <c r="AN647" s="1" t="s">
        <v>159</v>
      </c>
      <c r="AO647" s="2" t="s">
        <v>3598</v>
      </c>
      <c r="AP647" s="2" t="s">
        <v>4199</v>
      </c>
      <c r="AQ647" s="1" t="s">
        <v>132</v>
      </c>
      <c r="AR647" s="1" t="s">
        <v>531</v>
      </c>
      <c r="AS647" s="1"/>
      <c r="AT647" s="2" t="s">
        <v>70</v>
      </c>
    </row>
    <row r="648">
      <c r="A648" s="1"/>
      <c r="B648" s="1" t="s">
        <v>46</v>
      </c>
      <c r="C648" s="1" t="s">
        <v>47</v>
      </c>
      <c r="D648" s="1"/>
      <c r="E648" s="1" t="s">
        <v>4200</v>
      </c>
      <c r="F648" s="1"/>
      <c r="G648" s="1" t="s">
        <v>49</v>
      </c>
      <c r="H648" s="1" t="s">
        <v>50</v>
      </c>
      <c r="I648" s="1">
        <v>1000.0</v>
      </c>
      <c r="J648" s="1"/>
      <c r="K648" s="1" t="s">
        <v>51</v>
      </c>
      <c r="L648" s="1"/>
      <c r="M648" s="1" t="s">
        <v>4201</v>
      </c>
      <c r="N648" s="1" t="s">
        <v>94</v>
      </c>
      <c r="O648" s="1" t="s">
        <v>95</v>
      </c>
      <c r="P648" s="2" t="s">
        <v>4202</v>
      </c>
      <c r="Q648" s="1" t="s">
        <v>56</v>
      </c>
      <c r="R648" s="1"/>
      <c r="S648" s="1" t="s">
        <v>359</v>
      </c>
      <c r="T648" s="1">
        <v>3509502.0</v>
      </c>
      <c r="U648" s="1" t="s">
        <v>1339</v>
      </c>
      <c r="V648" s="1" t="s">
        <v>139</v>
      </c>
      <c r="W648" s="1" t="s">
        <v>78</v>
      </c>
      <c r="X648" s="1"/>
      <c r="Y648" s="1"/>
      <c r="Z648" s="1" t="s">
        <v>101</v>
      </c>
      <c r="AA648" s="1" t="s">
        <v>4203</v>
      </c>
      <c r="AB648" s="1" t="str">
        <f>"03721855000108"</f>
        <v>03721855000108</v>
      </c>
      <c r="AC648" s="1"/>
      <c r="AD648" s="1" t="s">
        <v>81</v>
      </c>
      <c r="AE648" s="1"/>
      <c r="AF648" s="1">
        <v>-47.144444</v>
      </c>
      <c r="AG648" s="1">
        <v>-23.007778</v>
      </c>
      <c r="AH648" s="1" t="s">
        <v>4204</v>
      </c>
      <c r="AI648" s="1"/>
      <c r="AJ648" s="1" t="s">
        <v>1336</v>
      </c>
      <c r="AK648" s="1"/>
      <c r="AL648" s="1"/>
      <c r="AM648" s="1" t="s">
        <v>65</v>
      </c>
      <c r="AN648" s="1" t="s">
        <v>1342</v>
      </c>
      <c r="AO648" s="1"/>
      <c r="AP648" s="2" t="s">
        <v>4205</v>
      </c>
      <c r="AQ648" s="1"/>
      <c r="AR648" s="1" t="s">
        <v>298</v>
      </c>
      <c r="AS648" s="1"/>
      <c r="AT648" s="2" t="s">
        <v>70</v>
      </c>
    </row>
    <row r="649">
      <c r="A649" s="1"/>
      <c r="B649" s="1" t="s">
        <v>46</v>
      </c>
      <c r="C649" s="1" t="s">
        <v>47</v>
      </c>
      <c r="D649" s="1"/>
      <c r="E649" s="1" t="s">
        <v>4206</v>
      </c>
      <c r="F649" s="1"/>
      <c r="G649" s="1" t="s">
        <v>49</v>
      </c>
      <c r="H649" s="1" t="s">
        <v>50</v>
      </c>
      <c r="I649" s="1">
        <v>36900.0</v>
      </c>
      <c r="J649" s="1"/>
      <c r="K649" s="1" t="s">
        <v>92</v>
      </c>
      <c r="L649" s="1"/>
      <c r="M649" s="1" t="s">
        <v>4207</v>
      </c>
      <c r="N649" s="1" t="s">
        <v>74</v>
      </c>
      <c r="O649" s="1" t="s">
        <v>75</v>
      </c>
      <c r="P649" s="2" t="s">
        <v>4208</v>
      </c>
      <c r="Q649" s="1" t="s">
        <v>137</v>
      </c>
      <c r="R649" s="1"/>
      <c r="S649" s="1" t="s">
        <v>220</v>
      </c>
      <c r="T649" s="1">
        <v>2304400.0</v>
      </c>
      <c r="U649" s="1" t="s">
        <v>592</v>
      </c>
      <c r="V649" s="1" t="s">
        <v>439</v>
      </c>
      <c r="W649" s="1" t="s">
        <v>60</v>
      </c>
      <c r="X649" s="1"/>
      <c r="Y649" s="1"/>
      <c r="Z649" s="1" t="s">
        <v>79</v>
      </c>
      <c r="AA649" s="1" t="s">
        <v>4209</v>
      </c>
      <c r="AB649" s="1" t="str">
        <f>"06006068000164"</f>
        <v>06006068000164</v>
      </c>
      <c r="AC649" s="1"/>
      <c r="AD649" s="1" t="s">
        <v>62</v>
      </c>
      <c r="AE649" s="1"/>
      <c r="AF649" s="1">
        <v>-38.463889</v>
      </c>
      <c r="AG649" s="1">
        <v>-3.733883</v>
      </c>
      <c r="AH649" s="1" t="s">
        <v>4210</v>
      </c>
      <c r="AI649" s="1"/>
      <c r="AJ649" s="1" t="s">
        <v>442</v>
      </c>
      <c r="AK649" s="1"/>
      <c r="AL649" s="1"/>
      <c r="AM649" s="1" t="s">
        <v>65</v>
      </c>
      <c r="AN649" s="1" t="s">
        <v>3504</v>
      </c>
      <c r="AO649" s="1"/>
      <c r="AP649" s="2" t="s">
        <v>4211</v>
      </c>
      <c r="AQ649" s="1"/>
      <c r="AR649" s="1" t="s">
        <v>407</v>
      </c>
      <c r="AS649" s="1"/>
      <c r="AT649" s="2" t="s">
        <v>70</v>
      </c>
    </row>
    <row r="650">
      <c r="A650" s="1"/>
      <c r="B650" s="1" t="s">
        <v>46</v>
      </c>
      <c r="C650" s="1" t="s">
        <v>47</v>
      </c>
      <c r="D650" s="1"/>
      <c r="E650" s="1" t="s">
        <v>4212</v>
      </c>
      <c r="F650" s="1"/>
      <c r="G650" s="1" t="s">
        <v>49</v>
      </c>
      <c r="H650" s="1" t="s">
        <v>72</v>
      </c>
      <c r="I650" s="1">
        <v>554358.9</v>
      </c>
      <c r="J650" s="1"/>
      <c r="K650" s="1"/>
      <c r="L650" s="1"/>
      <c r="M650" s="1" t="s">
        <v>4213</v>
      </c>
      <c r="N650" s="1" t="s">
        <v>109</v>
      </c>
      <c r="O650" s="1" t="s">
        <v>110</v>
      </c>
      <c r="P650" s="2" t="s">
        <v>4214</v>
      </c>
      <c r="Q650" s="1" t="s">
        <v>56</v>
      </c>
      <c r="R650" s="1"/>
      <c r="S650" s="1" t="s">
        <v>608</v>
      </c>
      <c r="T650" s="1">
        <v>1508001.0</v>
      </c>
      <c r="U650" s="1" t="s">
        <v>4215</v>
      </c>
      <c r="V650" s="1" t="s">
        <v>917</v>
      </c>
      <c r="W650" s="1" t="s">
        <v>100</v>
      </c>
      <c r="X650" s="1"/>
      <c r="Y650" s="1"/>
      <c r="Z650" s="1" t="s">
        <v>112</v>
      </c>
      <c r="AA650" s="1" t="s">
        <v>4216</v>
      </c>
      <c r="AB650" s="1" t="str">
        <f>"06287159000115"</f>
        <v>06287159000115</v>
      </c>
      <c r="AC650" s="1"/>
      <c r="AD650" s="1" t="s">
        <v>62</v>
      </c>
      <c r="AE650" s="1"/>
      <c r="AF650" s="1">
        <v>-48.156944</v>
      </c>
      <c r="AG650" s="1">
        <v>2.713889</v>
      </c>
      <c r="AH650" s="1" t="s">
        <v>4217</v>
      </c>
      <c r="AI650" s="1"/>
      <c r="AJ650" s="1" t="s">
        <v>1346</v>
      </c>
      <c r="AK650" s="1"/>
      <c r="AL650" s="1"/>
      <c r="AM650" s="1" t="s">
        <v>65</v>
      </c>
      <c r="AN650" s="1"/>
      <c r="AO650" s="1"/>
      <c r="AP650" s="2" t="s">
        <v>4218</v>
      </c>
      <c r="AQ650" s="1"/>
      <c r="AR650" s="1" t="s">
        <v>4219</v>
      </c>
      <c r="AS650" s="1"/>
      <c r="AT650" s="2" t="s">
        <v>70</v>
      </c>
    </row>
    <row r="651">
      <c r="A651" s="1">
        <v>2043278.0</v>
      </c>
      <c r="B651" s="1" t="s">
        <v>116</v>
      </c>
      <c r="C651" s="1" t="s">
        <v>117</v>
      </c>
      <c r="D651" s="1" t="s">
        <v>46</v>
      </c>
      <c r="E651" s="1" t="s">
        <v>4220</v>
      </c>
      <c r="F651" s="1"/>
      <c r="G651" s="1" t="s">
        <v>119</v>
      </c>
      <c r="H651" s="1" t="s">
        <v>72</v>
      </c>
      <c r="I651" s="1">
        <v>197400.0</v>
      </c>
      <c r="J651" s="1"/>
      <c r="K651" s="1"/>
      <c r="L651" s="1" t="s">
        <v>142</v>
      </c>
      <c r="M651" s="1" t="s">
        <v>4221</v>
      </c>
      <c r="N651" s="1" t="s">
        <v>109</v>
      </c>
      <c r="O651" s="1" t="s">
        <v>110</v>
      </c>
      <c r="P651" s="2" t="s">
        <v>4222</v>
      </c>
      <c r="Q651" s="1" t="s">
        <v>77</v>
      </c>
      <c r="R651" s="2" t="s">
        <v>4097</v>
      </c>
      <c r="S651" s="1" t="s">
        <v>220</v>
      </c>
      <c r="T651" s="1">
        <v>3554755.0</v>
      </c>
      <c r="U651" s="1" t="s">
        <v>4223</v>
      </c>
      <c r="V651" s="1" t="s">
        <v>139</v>
      </c>
      <c r="W651" s="1" t="s">
        <v>172</v>
      </c>
      <c r="X651" s="1"/>
      <c r="Y651" s="1"/>
      <c r="Z651" s="1" t="s">
        <v>112</v>
      </c>
      <c r="AA651" s="1" t="s">
        <v>893</v>
      </c>
      <c r="AB651" s="1" t="str">
        <f>"20334805000189"</f>
        <v>20334805000189</v>
      </c>
      <c r="AC651" s="1"/>
      <c r="AD651" s="1"/>
      <c r="AE651" s="1"/>
      <c r="AF651" s="1">
        <v>-48.338889</v>
      </c>
      <c r="AG651" s="1">
        <v>-22.039444</v>
      </c>
      <c r="AH651" s="1" t="s">
        <v>4224</v>
      </c>
      <c r="AI651" s="1"/>
      <c r="AJ651" s="1" t="s">
        <v>142</v>
      </c>
      <c r="AK651" s="1"/>
      <c r="AL651" s="1" t="s">
        <v>128</v>
      </c>
      <c r="AM651" s="1" t="s">
        <v>65</v>
      </c>
      <c r="AN651" s="1" t="s">
        <v>274</v>
      </c>
      <c r="AO651" s="2" t="s">
        <v>2918</v>
      </c>
      <c r="AP651" s="2" t="s">
        <v>4225</v>
      </c>
      <c r="AQ651" s="1" t="s">
        <v>132</v>
      </c>
      <c r="AR651" s="1" t="s">
        <v>470</v>
      </c>
      <c r="AS651" s="1" t="s">
        <v>4226</v>
      </c>
      <c r="AT651" s="2" t="s">
        <v>70</v>
      </c>
    </row>
    <row r="652">
      <c r="A652" s="1">
        <v>2043162.0</v>
      </c>
      <c r="B652" s="1" t="s">
        <v>116</v>
      </c>
      <c r="C652" s="1" t="s">
        <v>117</v>
      </c>
      <c r="D652" s="1" t="s">
        <v>46</v>
      </c>
      <c r="E652" s="1" t="s">
        <v>4227</v>
      </c>
      <c r="F652" s="1"/>
      <c r="G652" s="1" t="s">
        <v>119</v>
      </c>
      <c r="H652" s="1" t="s">
        <v>50</v>
      </c>
      <c r="I652" s="1">
        <v>383500.0</v>
      </c>
      <c r="J652" s="1"/>
      <c r="K652" s="1"/>
      <c r="L652" s="1" t="s">
        <v>405</v>
      </c>
      <c r="M652" s="1" t="s">
        <v>4228</v>
      </c>
      <c r="N652" s="1" t="s">
        <v>74</v>
      </c>
      <c r="O652" s="1" t="s">
        <v>75</v>
      </c>
      <c r="P652" s="2" t="s">
        <v>4229</v>
      </c>
      <c r="Q652" s="1" t="s">
        <v>56</v>
      </c>
      <c r="R652" s="2" t="s">
        <v>4097</v>
      </c>
      <c r="S652" s="1" t="s">
        <v>400</v>
      </c>
      <c r="T652" s="1">
        <v>4318804.0</v>
      </c>
      <c r="U652" s="1" t="s">
        <v>4230</v>
      </c>
      <c r="V652" s="1" t="s">
        <v>402</v>
      </c>
      <c r="W652" s="1" t="s">
        <v>60</v>
      </c>
      <c r="X652" s="1"/>
      <c r="Y652" s="1"/>
      <c r="Z652" s="1" t="s">
        <v>79</v>
      </c>
      <c r="AA652" s="1" t="s">
        <v>4231</v>
      </c>
      <c r="AB652" s="1" t="str">
        <f>"38307250000141"</f>
        <v>38307250000141</v>
      </c>
      <c r="AC652" s="1"/>
      <c r="AD652" s="1"/>
      <c r="AE652" s="1"/>
      <c r="AF652" s="1">
        <v>-51.972778</v>
      </c>
      <c r="AG652" s="1">
        <v>-31.361111</v>
      </c>
      <c r="AH652" s="1" t="s">
        <v>4232</v>
      </c>
      <c r="AI652" s="1"/>
      <c r="AJ652" s="1" t="s">
        <v>405</v>
      </c>
      <c r="AK652" s="1"/>
      <c r="AL652" s="1" t="s">
        <v>128</v>
      </c>
      <c r="AM652" s="1" t="s">
        <v>65</v>
      </c>
      <c r="AN652" s="1" t="s">
        <v>159</v>
      </c>
      <c r="AO652" s="2" t="s">
        <v>2903</v>
      </c>
      <c r="AP652" s="2" t="s">
        <v>4233</v>
      </c>
      <c r="AQ652" s="1" t="s">
        <v>132</v>
      </c>
      <c r="AR652" s="1" t="s">
        <v>1046</v>
      </c>
      <c r="AS652" s="1" t="s">
        <v>1157</v>
      </c>
      <c r="AT652" s="2" t="s">
        <v>70</v>
      </c>
    </row>
    <row r="653">
      <c r="A653" s="1">
        <v>2043166.0</v>
      </c>
      <c r="B653" s="1" t="s">
        <v>116</v>
      </c>
      <c r="C653" s="1" t="s">
        <v>117</v>
      </c>
      <c r="D653" s="1" t="s">
        <v>46</v>
      </c>
      <c r="E653" s="1" t="s">
        <v>4234</v>
      </c>
      <c r="F653" s="1"/>
      <c r="G653" s="1" t="s">
        <v>119</v>
      </c>
      <c r="H653" s="1" t="s">
        <v>50</v>
      </c>
      <c r="I653" s="1">
        <v>383500.0</v>
      </c>
      <c r="J653" s="1"/>
      <c r="K653" s="1"/>
      <c r="L653" s="1" t="s">
        <v>405</v>
      </c>
      <c r="M653" s="1" t="s">
        <v>4235</v>
      </c>
      <c r="N653" s="1" t="s">
        <v>74</v>
      </c>
      <c r="O653" s="1" t="s">
        <v>75</v>
      </c>
      <c r="P653" s="2" t="s">
        <v>4236</v>
      </c>
      <c r="Q653" s="1" t="s">
        <v>77</v>
      </c>
      <c r="R653" s="2" t="s">
        <v>4097</v>
      </c>
      <c r="S653" s="1" t="s">
        <v>400</v>
      </c>
      <c r="T653" s="1">
        <v>4318804.0</v>
      </c>
      <c r="U653" s="1" t="s">
        <v>4230</v>
      </c>
      <c r="V653" s="1" t="s">
        <v>402</v>
      </c>
      <c r="W653" s="1" t="s">
        <v>60</v>
      </c>
      <c r="X653" s="1"/>
      <c r="Y653" s="1"/>
      <c r="Z653" s="1" t="s">
        <v>79</v>
      </c>
      <c r="AA653" s="1" t="s">
        <v>4237</v>
      </c>
      <c r="AB653" s="1" t="str">
        <f>"35976859000115"</f>
        <v>35976859000115</v>
      </c>
      <c r="AC653" s="1"/>
      <c r="AD653" s="1"/>
      <c r="AE653" s="1"/>
      <c r="AF653" s="1">
        <v>-52.016389</v>
      </c>
      <c r="AG653" s="1">
        <v>-31.373056</v>
      </c>
      <c r="AH653" s="1" t="s">
        <v>4238</v>
      </c>
      <c r="AI653" s="1"/>
      <c r="AJ653" s="1" t="s">
        <v>405</v>
      </c>
      <c r="AK653" s="1"/>
      <c r="AL653" s="1" t="s">
        <v>128</v>
      </c>
      <c r="AM653" s="1" t="s">
        <v>65</v>
      </c>
      <c r="AN653" s="1" t="s">
        <v>159</v>
      </c>
      <c r="AO653" s="2" t="s">
        <v>2903</v>
      </c>
      <c r="AP653" s="2" t="s">
        <v>4239</v>
      </c>
      <c r="AQ653" s="1" t="s">
        <v>132</v>
      </c>
      <c r="AR653" s="1" t="s">
        <v>1046</v>
      </c>
      <c r="AS653" s="1" t="s">
        <v>1151</v>
      </c>
      <c r="AT653" s="2" t="s">
        <v>70</v>
      </c>
    </row>
    <row r="654">
      <c r="A654" s="1">
        <v>2042867.0</v>
      </c>
      <c r="B654" s="1" t="s">
        <v>116</v>
      </c>
      <c r="C654" s="1" t="s">
        <v>117</v>
      </c>
      <c r="D654" s="1" t="s">
        <v>46</v>
      </c>
      <c r="E654" s="1" t="s">
        <v>4240</v>
      </c>
      <c r="F654" s="1"/>
      <c r="G654" s="1" t="s">
        <v>119</v>
      </c>
      <c r="H654" s="1" t="s">
        <v>50</v>
      </c>
      <c r="I654" s="1">
        <v>4000.0</v>
      </c>
      <c r="J654" s="1"/>
      <c r="K654" s="1"/>
      <c r="L654" s="1" t="s">
        <v>295</v>
      </c>
      <c r="M654" s="1" t="s">
        <v>4241</v>
      </c>
      <c r="N654" s="1" t="s">
        <v>186</v>
      </c>
      <c r="O654" s="1" t="s">
        <v>95</v>
      </c>
      <c r="P654" s="2" t="s">
        <v>4242</v>
      </c>
      <c r="Q654" s="1" t="s">
        <v>56</v>
      </c>
      <c r="R654" s="2" t="s">
        <v>4243</v>
      </c>
      <c r="S654" s="1" t="s">
        <v>288</v>
      </c>
      <c r="T654" s="1">
        <v>2211001.0</v>
      </c>
      <c r="U654" s="1" t="s">
        <v>527</v>
      </c>
      <c r="V654" s="1" t="s">
        <v>290</v>
      </c>
      <c r="W654" s="1" t="s">
        <v>172</v>
      </c>
      <c r="X654" s="1"/>
      <c r="Y654" s="1" t="str">
        <f>"02020000132202161"</f>
        <v>02020000132202161</v>
      </c>
      <c r="Z654" s="1" t="s">
        <v>101</v>
      </c>
      <c r="AA654" s="1" t="s">
        <v>4244</v>
      </c>
      <c r="AB654" s="1" t="str">
        <f>"03458017000185"</f>
        <v>03458017000185</v>
      </c>
      <c r="AC654" s="1"/>
      <c r="AD654" s="1"/>
      <c r="AE654" s="1"/>
      <c r="AF654" s="1">
        <v>-42.783889</v>
      </c>
      <c r="AG654" s="1">
        <v>-5.064722</v>
      </c>
      <c r="AH654" s="1" t="s">
        <v>4080</v>
      </c>
      <c r="AI654" s="1"/>
      <c r="AJ654" s="1" t="s">
        <v>295</v>
      </c>
      <c r="AK654" s="1"/>
      <c r="AL654" s="1" t="s">
        <v>128</v>
      </c>
      <c r="AM654" s="1" t="s">
        <v>65</v>
      </c>
      <c r="AN654" s="1" t="s">
        <v>296</v>
      </c>
      <c r="AO654" s="2" t="s">
        <v>4081</v>
      </c>
      <c r="AP654" s="2" t="s">
        <v>4245</v>
      </c>
      <c r="AQ654" s="1" t="s">
        <v>132</v>
      </c>
      <c r="AR654" s="1" t="s">
        <v>531</v>
      </c>
      <c r="AS654" s="1"/>
      <c r="AT654" s="2" t="s">
        <v>70</v>
      </c>
    </row>
    <row r="655">
      <c r="A655" s="1">
        <v>2042924.0</v>
      </c>
      <c r="B655" s="1" t="s">
        <v>116</v>
      </c>
      <c r="C655" s="1" t="s">
        <v>117</v>
      </c>
      <c r="D655" s="1" t="s">
        <v>46</v>
      </c>
      <c r="E655" s="1" t="s">
        <v>4246</v>
      </c>
      <c r="F655" s="1"/>
      <c r="G655" s="1" t="s">
        <v>119</v>
      </c>
      <c r="H655" s="1" t="s">
        <v>72</v>
      </c>
      <c r="I655" s="1">
        <v>8100.0</v>
      </c>
      <c r="J655" s="1"/>
      <c r="K655" s="1"/>
      <c r="L655" s="1" t="s">
        <v>327</v>
      </c>
      <c r="M655" s="1" t="s">
        <v>4247</v>
      </c>
      <c r="N655" s="1" t="s">
        <v>109</v>
      </c>
      <c r="O655" s="1" t="s">
        <v>110</v>
      </c>
      <c r="P655" s="2" t="s">
        <v>4242</v>
      </c>
      <c r="Q655" s="1" t="s">
        <v>137</v>
      </c>
      <c r="R655" s="1"/>
      <c r="S655" s="1" t="s">
        <v>1613</v>
      </c>
      <c r="T655" s="1">
        <v>5107909.0</v>
      </c>
      <c r="U655" s="1" t="s">
        <v>4046</v>
      </c>
      <c r="V655" s="1" t="s">
        <v>323</v>
      </c>
      <c r="W655" s="1" t="s">
        <v>100</v>
      </c>
      <c r="X655" s="1"/>
      <c r="Y655" s="1" t="str">
        <f>"02013000167202190"</f>
        <v>02013000167202190</v>
      </c>
      <c r="Z655" s="1" t="s">
        <v>112</v>
      </c>
      <c r="AA655" s="1" t="s">
        <v>4248</v>
      </c>
      <c r="AB655" s="1" t="str">
        <f>"***409059**"</f>
        <v>***409059**</v>
      </c>
      <c r="AC655" s="1"/>
      <c r="AD655" s="1"/>
      <c r="AE655" s="1"/>
      <c r="AF655" s="1">
        <v>-55.493333</v>
      </c>
      <c r="AG655" s="1">
        <v>-11.861389</v>
      </c>
      <c r="AH655" s="1" t="s">
        <v>4249</v>
      </c>
      <c r="AI655" s="1"/>
      <c r="AJ655" s="1" t="s">
        <v>327</v>
      </c>
      <c r="AK655" s="1"/>
      <c r="AL655" s="1" t="s">
        <v>128</v>
      </c>
      <c r="AM655" s="1" t="s">
        <v>65</v>
      </c>
      <c r="AN655" s="1" t="s">
        <v>274</v>
      </c>
      <c r="AO655" s="2" t="s">
        <v>3968</v>
      </c>
      <c r="AP655" s="2" t="s">
        <v>4250</v>
      </c>
      <c r="AQ655" s="1" t="s">
        <v>132</v>
      </c>
      <c r="AR655" s="1" t="s">
        <v>133</v>
      </c>
      <c r="AS655" s="1" t="s">
        <v>4251</v>
      </c>
      <c r="AT655" s="2" t="s">
        <v>70</v>
      </c>
    </row>
    <row r="656">
      <c r="A656" s="1">
        <v>2042958.0</v>
      </c>
      <c r="B656" s="1" t="s">
        <v>116</v>
      </c>
      <c r="C656" s="1" t="s">
        <v>117</v>
      </c>
      <c r="D656" s="1" t="s">
        <v>46</v>
      </c>
      <c r="E656" s="1" t="s">
        <v>4252</v>
      </c>
      <c r="F656" s="1"/>
      <c r="G656" s="1" t="s">
        <v>119</v>
      </c>
      <c r="H656" s="1" t="s">
        <v>72</v>
      </c>
      <c r="I656" s="1">
        <v>9000.0</v>
      </c>
      <c r="J656" s="1"/>
      <c r="K656" s="1"/>
      <c r="L656" s="1" t="s">
        <v>405</v>
      </c>
      <c r="M656" s="1" t="s">
        <v>4102</v>
      </c>
      <c r="N656" s="1" t="s">
        <v>285</v>
      </c>
      <c r="O656" s="1" t="s">
        <v>286</v>
      </c>
      <c r="P656" s="2" t="s">
        <v>4253</v>
      </c>
      <c r="Q656" s="1" t="s">
        <v>56</v>
      </c>
      <c r="R656" s="1"/>
      <c r="S656" s="1" t="s">
        <v>400</v>
      </c>
      <c r="T656" s="1">
        <v>4312708.0</v>
      </c>
      <c r="U656" s="1" t="s">
        <v>4254</v>
      </c>
      <c r="V656" s="1" t="s">
        <v>402</v>
      </c>
      <c r="W656" s="1" t="s">
        <v>78</v>
      </c>
      <c r="X656" s="1"/>
      <c r="Y656" s="1" t="str">
        <f>"02023000185202152"</f>
        <v>02023000185202152</v>
      </c>
      <c r="Z656" s="1" t="s">
        <v>292</v>
      </c>
      <c r="AA656" s="1" t="s">
        <v>4255</v>
      </c>
      <c r="AB656" s="1" t="str">
        <f>"26031950000177"</f>
        <v>26031950000177</v>
      </c>
      <c r="AC656" s="1"/>
      <c r="AD656" s="1"/>
      <c r="AE656" s="1"/>
      <c r="AF656" s="1">
        <v>-52.782028</v>
      </c>
      <c r="AG656" s="1">
        <v>-27.377861</v>
      </c>
      <c r="AH656" s="1" t="s">
        <v>4256</v>
      </c>
      <c r="AI656" s="1"/>
      <c r="AJ656" s="1" t="s">
        <v>405</v>
      </c>
      <c r="AK656" s="1"/>
      <c r="AL656" s="1" t="s">
        <v>128</v>
      </c>
      <c r="AM656" s="1" t="s">
        <v>65</v>
      </c>
      <c r="AN656" s="1" t="s">
        <v>1302</v>
      </c>
      <c r="AO656" s="2" t="s">
        <v>3890</v>
      </c>
      <c r="AP656" s="2" t="s">
        <v>4257</v>
      </c>
      <c r="AQ656" s="1" t="s">
        <v>132</v>
      </c>
      <c r="AR656" s="1" t="s">
        <v>952</v>
      </c>
      <c r="AS656" s="1" t="s">
        <v>3892</v>
      </c>
      <c r="AT656" s="2" t="s">
        <v>70</v>
      </c>
    </row>
    <row r="657">
      <c r="A657" s="1">
        <v>2043155.0</v>
      </c>
      <c r="B657" s="1" t="s">
        <v>116</v>
      </c>
      <c r="C657" s="1" t="s">
        <v>117</v>
      </c>
      <c r="D657" s="1" t="s">
        <v>46</v>
      </c>
      <c r="E657" s="1" t="s">
        <v>4258</v>
      </c>
      <c r="F657" s="1"/>
      <c r="G657" s="1" t="s">
        <v>119</v>
      </c>
      <c r="H657" s="1" t="s">
        <v>72</v>
      </c>
      <c r="I657" s="1">
        <v>500.0</v>
      </c>
      <c r="J657" s="1"/>
      <c r="K657" s="1"/>
      <c r="L657" s="1" t="s">
        <v>417</v>
      </c>
      <c r="M657" s="1" t="s">
        <v>4259</v>
      </c>
      <c r="N657" s="1" t="s">
        <v>257</v>
      </c>
      <c r="O657" s="1" t="s">
        <v>258</v>
      </c>
      <c r="P657" s="2" t="s">
        <v>4253</v>
      </c>
      <c r="Q657" s="1" t="s">
        <v>56</v>
      </c>
      <c r="R657" s="1"/>
      <c r="S657" s="1" t="s">
        <v>412</v>
      </c>
      <c r="T657" s="1">
        <v>2708600.0</v>
      </c>
      <c r="U657" s="1" t="s">
        <v>864</v>
      </c>
      <c r="V657" s="1" t="s">
        <v>414</v>
      </c>
      <c r="W657" s="1" t="s">
        <v>78</v>
      </c>
      <c r="X657" s="1"/>
      <c r="Y657" s="1" t="str">
        <f>"02003000133202114"</f>
        <v>02003000133202114</v>
      </c>
      <c r="Z657" s="1" t="s">
        <v>260</v>
      </c>
      <c r="AA657" s="1" t="s">
        <v>4260</v>
      </c>
      <c r="AB657" s="1" t="str">
        <f>"***753184**"</f>
        <v>***753184**</v>
      </c>
      <c r="AC657" s="1"/>
      <c r="AD657" s="1"/>
      <c r="AE657" s="1"/>
      <c r="AF657" s="1">
        <v>-36.084722</v>
      </c>
      <c r="AG657" s="1">
        <v>-9.779444</v>
      </c>
      <c r="AH657" s="1" t="s">
        <v>4261</v>
      </c>
      <c r="AI657" s="1"/>
      <c r="AJ657" s="1" t="s">
        <v>417</v>
      </c>
      <c r="AK657" s="1"/>
      <c r="AL657" s="1" t="s">
        <v>128</v>
      </c>
      <c r="AM657" s="1" t="s">
        <v>65</v>
      </c>
      <c r="AN657" s="1" t="s">
        <v>274</v>
      </c>
      <c r="AO657" s="2" t="s">
        <v>2903</v>
      </c>
      <c r="AP657" s="2" t="s">
        <v>4262</v>
      </c>
      <c r="AQ657" s="1" t="s">
        <v>132</v>
      </c>
      <c r="AR657" s="1" t="s">
        <v>1558</v>
      </c>
      <c r="AS657" s="1"/>
      <c r="AT657" s="2" t="s">
        <v>70</v>
      </c>
    </row>
    <row r="658">
      <c r="A658" s="1"/>
      <c r="B658" s="1" t="s">
        <v>46</v>
      </c>
      <c r="C658" s="1" t="s">
        <v>571</v>
      </c>
      <c r="D658" s="1" t="s">
        <v>116</v>
      </c>
      <c r="E658" s="1" t="s">
        <v>4263</v>
      </c>
      <c r="F658" s="1"/>
      <c r="G658" s="1" t="s">
        <v>49</v>
      </c>
      <c r="H658" s="1" t="s">
        <v>50</v>
      </c>
      <c r="I658" s="1">
        <v>383500.0</v>
      </c>
      <c r="J658" s="1"/>
      <c r="K658" s="1" t="s">
        <v>92</v>
      </c>
      <c r="L658" s="1"/>
      <c r="M658" s="1" t="s">
        <v>4235</v>
      </c>
      <c r="N658" s="1" t="s">
        <v>74</v>
      </c>
      <c r="O658" s="1" t="s">
        <v>75</v>
      </c>
      <c r="P658" s="2" t="s">
        <v>4264</v>
      </c>
      <c r="Q658" s="1" t="s">
        <v>77</v>
      </c>
      <c r="R658" s="1"/>
      <c r="S658" s="1" t="s">
        <v>400</v>
      </c>
      <c r="T658" s="1">
        <v>4318804.0</v>
      </c>
      <c r="U658" s="1" t="s">
        <v>4230</v>
      </c>
      <c r="V658" s="1" t="s">
        <v>402</v>
      </c>
      <c r="W658" s="1" t="s">
        <v>60</v>
      </c>
      <c r="X658" s="1"/>
      <c r="Y658" s="1"/>
      <c r="Z658" s="1" t="s">
        <v>79</v>
      </c>
      <c r="AA658" s="1" t="s">
        <v>4265</v>
      </c>
      <c r="AB658" s="1" t="str">
        <f>"35976859000115"</f>
        <v>35976859000115</v>
      </c>
      <c r="AC658" s="1"/>
      <c r="AD658" s="1" t="s">
        <v>81</v>
      </c>
      <c r="AE658" s="1"/>
      <c r="AF658" s="1">
        <v>-51.971111</v>
      </c>
      <c r="AG658" s="1">
        <v>-31.362222</v>
      </c>
      <c r="AH658" s="1" t="s">
        <v>4266</v>
      </c>
      <c r="AI658" s="1"/>
      <c r="AJ658" s="1" t="s">
        <v>405</v>
      </c>
      <c r="AK658" s="1"/>
      <c r="AL658" s="1"/>
      <c r="AM658" s="1" t="s">
        <v>65</v>
      </c>
      <c r="AN658" s="1" t="s">
        <v>159</v>
      </c>
      <c r="AO658" s="1"/>
      <c r="AP658" s="2" t="s">
        <v>4267</v>
      </c>
      <c r="AQ658" s="1"/>
      <c r="AR658" s="1" t="s">
        <v>502</v>
      </c>
      <c r="AS658" s="1" t="s">
        <v>4268</v>
      </c>
      <c r="AT658" s="2" t="s">
        <v>70</v>
      </c>
    </row>
    <row r="659">
      <c r="A659" s="1">
        <v>2042807.0</v>
      </c>
      <c r="B659" s="1" t="s">
        <v>116</v>
      </c>
      <c r="C659" s="1" t="s">
        <v>117</v>
      </c>
      <c r="D659" s="1" t="s">
        <v>46</v>
      </c>
      <c r="E659" s="1" t="s">
        <v>4269</v>
      </c>
      <c r="F659" s="1"/>
      <c r="G659" s="1" t="s">
        <v>119</v>
      </c>
      <c r="H659" s="1" t="s">
        <v>72</v>
      </c>
      <c r="I659" s="1">
        <v>7080.0</v>
      </c>
      <c r="J659" s="1"/>
      <c r="K659" s="1"/>
      <c r="L659" s="1" t="s">
        <v>295</v>
      </c>
      <c r="M659" s="1" t="s">
        <v>4270</v>
      </c>
      <c r="N659" s="1" t="s">
        <v>109</v>
      </c>
      <c r="O659" s="1" t="s">
        <v>110</v>
      </c>
      <c r="P659" s="2" t="s">
        <v>4271</v>
      </c>
      <c r="Q659" s="1" t="s">
        <v>56</v>
      </c>
      <c r="R659" s="2" t="s">
        <v>4243</v>
      </c>
      <c r="S659" s="1" t="s">
        <v>288</v>
      </c>
      <c r="T659" s="1">
        <v>2202901.0</v>
      </c>
      <c r="U659" s="1" t="s">
        <v>4272</v>
      </c>
      <c r="V659" s="1" t="s">
        <v>290</v>
      </c>
      <c r="W659" s="1" t="s">
        <v>1658</v>
      </c>
      <c r="X659" s="1"/>
      <c r="Y659" s="1" t="str">
        <f>"02020000123202171"</f>
        <v>02020000123202171</v>
      </c>
      <c r="Z659" s="1" t="s">
        <v>112</v>
      </c>
      <c r="AA659" s="1" t="s">
        <v>4273</v>
      </c>
      <c r="AB659" s="1" t="str">
        <f>"***771815**"</f>
        <v>***771815**</v>
      </c>
      <c r="AC659" s="1"/>
      <c r="AD659" s="1"/>
      <c r="AE659" s="1"/>
      <c r="AF659" s="1">
        <v>-42.784167</v>
      </c>
      <c r="AG659" s="1">
        <v>-5.065</v>
      </c>
      <c r="AH659" s="1" t="s">
        <v>4274</v>
      </c>
      <c r="AI659" s="1"/>
      <c r="AJ659" s="1" t="s">
        <v>295</v>
      </c>
      <c r="AK659" s="1"/>
      <c r="AL659" s="1" t="s">
        <v>128</v>
      </c>
      <c r="AM659" s="1" t="s">
        <v>65</v>
      </c>
      <c r="AN659" s="1" t="s">
        <v>83</v>
      </c>
      <c r="AO659" s="2" t="s">
        <v>4275</v>
      </c>
      <c r="AP659" s="2" t="s">
        <v>4276</v>
      </c>
      <c r="AQ659" s="1" t="s">
        <v>132</v>
      </c>
      <c r="AR659" s="1" t="s">
        <v>133</v>
      </c>
      <c r="AS659" s="1"/>
      <c r="AT659" s="2" t="s">
        <v>70</v>
      </c>
    </row>
    <row r="660">
      <c r="A660" s="1"/>
      <c r="B660" s="1" t="s">
        <v>46</v>
      </c>
      <c r="C660" s="1" t="s">
        <v>47</v>
      </c>
      <c r="D660" s="1"/>
      <c r="E660" s="1" t="s">
        <v>4277</v>
      </c>
      <c r="F660" s="1"/>
      <c r="G660" s="1" t="s">
        <v>49</v>
      </c>
      <c r="H660" s="1" t="s">
        <v>72</v>
      </c>
      <c r="I660" s="1">
        <v>13200.0</v>
      </c>
      <c r="J660" s="1"/>
      <c r="K660" s="1"/>
      <c r="L660" s="1"/>
      <c r="M660" s="1" t="s">
        <v>4278</v>
      </c>
      <c r="N660" s="1" t="s">
        <v>109</v>
      </c>
      <c r="O660" s="1" t="s">
        <v>110</v>
      </c>
      <c r="P660" s="2" t="s">
        <v>4279</v>
      </c>
      <c r="Q660" s="1" t="s">
        <v>56</v>
      </c>
      <c r="R660" s="1"/>
      <c r="S660" s="1" t="s">
        <v>1349</v>
      </c>
      <c r="T660" s="1">
        <v>1501402.0</v>
      </c>
      <c r="U660" s="1" t="s">
        <v>3880</v>
      </c>
      <c r="V660" s="1" t="s">
        <v>917</v>
      </c>
      <c r="W660" s="1" t="s">
        <v>100</v>
      </c>
      <c r="X660" s="1"/>
      <c r="Y660" s="1"/>
      <c r="Z660" s="1" t="s">
        <v>112</v>
      </c>
      <c r="AA660" s="1" t="s">
        <v>4280</v>
      </c>
      <c r="AB660" s="1" t="str">
        <f>"04988598000120"</f>
        <v>04988598000120</v>
      </c>
      <c r="AC660" s="1"/>
      <c r="AD660" s="1" t="s">
        <v>62</v>
      </c>
      <c r="AE660" s="1"/>
      <c r="AF660" s="1">
        <v>-48.467222</v>
      </c>
      <c r="AG660" s="1">
        <v>-1.425556</v>
      </c>
      <c r="AH660" s="1" t="s">
        <v>4281</v>
      </c>
      <c r="AI660" s="1"/>
      <c r="AJ660" s="1" t="s">
        <v>1346</v>
      </c>
      <c r="AK660" s="1"/>
      <c r="AL660" s="1"/>
      <c r="AM660" s="1" t="s">
        <v>65</v>
      </c>
      <c r="AN660" s="1"/>
      <c r="AO660" s="1"/>
      <c r="AP660" s="2" t="s">
        <v>4282</v>
      </c>
      <c r="AQ660" s="1"/>
      <c r="AR660" s="1" t="s">
        <v>115</v>
      </c>
      <c r="AS660" s="1"/>
      <c r="AT660" s="2" t="s">
        <v>70</v>
      </c>
    </row>
    <row r="661">
      <c r="A661" s="1">
        <v>2042869.0</v>
      </c>
      <c r="B661" s="1" t="s">
        <v>116</v>
      </c>
      <c r="C661" s="1" t="s">
        <v>117</v>
      </c>
      <c r="D661" s="1" t="s">
        <v>46</v>
      </c>
      <c r="E661" s="1" t="s">
        <v>4283</v>
      </c>
      <c r="F661" s="1"/>
      <c r="G661" s="1" t="s">
        <v>119</v>
      </c>
      <c r="H661" s="1" t="s">
        <v>50</v>
      </c>
      <c r="I661" s="1">
        <v>1100.0</v>
      </c>
      <c r="J661" s="1"/>
      <c r="K661" s="1"/>
      <c r="L661" s="1" t="s">
        <v>295</v>
      </c>
      <c r="M661" s="1" t="s">
        <v>4284</v>
      </c>
      <c r="N661" s="1" t="s">
        <v>285</v>
      </c>
      <c r="O661" s="1" t="s">
        <v>286</v>
      </c>
      <c r="P661" s="2" t="s">
        <v>4285</v>
      </c>
      <c r="Q661" s="1" t="s">
        <v>56</v>
      </c>
      <c r="R661" s="2" t="s">
        <v>4243</v>
      </c>
      <c r="S661" s="1" t="s">
        <v>288</v>
      </c>
      <c r="T661" s="1">
        <v>2211001.0</v>
      </c>
      <c r="U661" s="1" t="s">
        <v>527</v>
      </c>
      <c r="V661" s="1" t="s">
        <v>290</v>
      </c>
      <c r="W661" s="1" t="s">
        <v>291</v>
      </c>
      <c r="X661" s="1"/>
      <c r="Y661" s="1" t="str">
        <f>"02020000133202114"</f>
        <v>02020000133202114</v>
      </c>
      <c r="Z661" s="1" t="s">
        <v>292</v>
      </c>
      <c r="AA661" s="1" t="s">
        <v>4286</v>
      </c>
      <c r="AB661" s="1" t="str">
        <f>"02992818000163"</f>
        <v>02992818000163</v>
      </c>
      <c r="AC661" s="1"/>
      <c r="AD661" s="1"/>
      <c r="AE661" s="1"/>
      <c r="AF661" s="1">
        <v>-42.784167</v>
      </c>
      <c r="AG661" s="1">
        <v>-5.065</v>
      </c>
      <c r="AH661" s="1" t="s">
        <v>4287</v>
      </c>
      <c r="AI661" s="1"/>
      <c r="AJ661" s="1" t="s">
        <v>295</v>
      </c>
      <c r="AK661" s="1"/>
      <c r="AL661" s="1" t="s">
        <v>128</v>
      </c>
      <c r="AM661" s="1" t="s">
        <v>65</v>
      </c>
      <c r="AN661" s="1" t="s">
        <v>296</v>
      </c>
      <c r="AO661" s="2" t="s">
        <v>4081</v>
      </c>
      <c r="AP661" s="2" t="s">
        <v>4288</v>
      </c>
      <c r="AQ661" s="1" t="s">
        <v>132</v>
      </c>
      <c r="AR661" s="1" t="s">
        <v>531</v>
      </c>
      <c r="AS661" s="1"/>
      <c r="AT661" s="2" t="s">
        <v>70</v>
      </c>
    </row>
    <row r="662">
      <c r="A662" s="1"/>
      <c r="B662" s="1" t="s">
        <v>46</v>
      </c>
      <c r="C662" s="1" t="s">
        <v>47</v>
      </c>
      <c r="D662" s="1"/>
      <c r="E662" s="1" t="s">
        <v>4289</v>
      </c>
      <c r="F662" s="1"/>
      <c r="G662" s="1" t="s">
        <v>49</v>
      </c>
      <c r="H662" s="1" t="s">
        <v>50</v>
      </c>
      <c r="I662" s="1">
        <v>1500.0</v>
      </c>
      <c r="J662" s="1"/>
      <c r="K662" s="1" t="s">
        <v>51</v>
      </c>
      <c r="L662" s="1"/>
      <c r="M662" s="1" t="s">
        <v>4290</v>
      </c>
      <c r="N662" s="1" t="s">
        <v>94</v>
      </c>
      <c r="O662" s="1" t="s">
        <v>95</v>
      </c>
      <c r="P662" s="2" t="s">
        <v>4291</v>
      </c>
      <c r="Q662" s="1" t="s">
        <v>56</v>
      </c>
      <c r="R662" s="1"/>
      <c r="S662" s="1" t="s">
        <v>280</v>
      </c>
      <c r="T662" s="1">
        <v>3517406.0</v>
      </c>
      <c r="U662" s="1" t="s">
        <v>4292</v>
      </c>
      <c r="V662" s="1" t="s">
        <v>139</v>
      </c>
      <c r="W662" s="1" t="s">
        <v>172</v>
      </c>
      <c r="X662" s="1"/>
      <c r="Y662" s="1"/>
      <c r="Z662" s="1" t="s">
        <v>101</v>
      </c>
      <c r="AA662" s="1" t="s">
        <v>4293</v>
      </c>
      <c r="AB662" s="1" t="str">
        <f>"13782129000140"</f>
        <v>13782129000140</v>
      </c>
      <c r="AC662" s="1"/>
      <c r="AD662" s="1" t="s">
        <v>81</v>
      </c>
      <c r="AE662" s="1"/>
      <c r="AF662" s="1">
        <v>-48.362778</v>
      </c>
      <c r="AG662" s="1">
        <v>-20.358611</v>
      </c>
      <c r="AH662" s="1" t="s">
        <v>4294</v>
      </c>
      <c r="AI662" s="1"/>
      <c r="AJ662" s="1" t="s">
        <v>371</v>
      </c>
      <c r="AK662" s="1"/>
      <c r="AL662" s="1"/>
      <c r="AM662" s="1" t="s">
        <v>65</v>
      </c>
      <c r="AN662" s="1"/>
      <c r="AO662" s="1"/>
      <c r="AP662" s="2" t="s">
        <v>4295</v>
      </c>
      <c r="AQ662" s="1"/>
      <c r="AR662" s="1" t="s">
        <v>106</v>
      </c>
      <c r="AS662" s="1" t="s">
        <v>4296</v>
      </c>
      <c r="AT662" s="2" t="s">
        <v>70</v>
      </c>
    </row>
    <row r="663">
      <c r="A663" s="1">
        <v>2042808.0</v>
      </c>
      <c r="B663" s="1" t="s">
        <v>116</v>
      </c>
      <c r="C663" s="1" t="s">
        <v>117</v>
      </c>
      <c r="D663" s="1" t="s">
        <v>46</v>
      </c>
      <c r="E663" s="1" t="s">
        <v>4297</v>
      </c>
      <c r="F663" s="1"/>
      <c r="G663" s="1" t="s">
        <v>119</v>
      </c>
      <c r="H663" s="1" t="s">
        <v>72</v>
      </c>
      <c r="I663" s="1">
        <v>3500.0</v>
      </c>
      <c r="J663" s="1"/>
      <c r="K663" s="1"/>
      <c r="L663" s="1" t="s">
        <v>295</v>
      </c>
      <c r="M663" s="1" t="s">
        <v>4298</v>
      </c>
      <c r="N663" s="1" t="s">
        <v>257</v>
      </c>
      <c r="O663" s="1" t="s">
        <v>258</v>
      </c>
      <c r="P663" s="2" t="s">
        <v>4299</v>
      </c>
      <c r="Q663" s="1" t="s">
        <v>56</v>
      </c>
      <c r="R663" s="2" t="s">
        <v>4243</v>
      </c>
      <c r="S663" s="1" t="s">
        <v>288</v>
      </c>
      <c r="T663" s="1">
        <v>2206209.0</v>
      </c>
      <c r="U663" s="1" t="s">
        <v>4300</v>
      </c>
      <c r="V663" s="1" t="s">
        <v>290</v>
      </c>
      <c r="W663" s="1" t="s">
        <v>291</v>
      </c>
      <c r="X663" s="1"/>
      <c r="Y663" s="1" t="str">
        <f>"02020000124202115"</f>
        <v>02020000124202115</v>
      </c>
      <c r="Z663" s="1" t="s">
        <v>260</v>
      </c>
      <c r="AA663" s="1" t="s">
        <v>4301</v>
      </c>
      <c r="AB663" s="1" t="str">
        <f>"***466583**"</f>
        <v>***466583**</v>
      </c>
      <c r="AC663" s="1"/>
      <c r="AD663" s="1"/>
      <c r="AE663" s="1"/>
      <c r="AF663" s="1">
        <v>-42.784167</v>
      </c>
      <c r="AG663" s="1">
        <v>-5.065</v>
      </c>
      <c r="AH663" s="1" t="s">
        <v>4302</v>
      </c>
      <c r="AI663" s="1"/>
      <c r="AJ663" s="1" t="s">
        <v>295</v>
      </c>
      <c r="AK663" s="1"/>
      <c r="AL663" s="1" t="s">
        <v>128</v>
      </c>
      <c r="AM663" s="1" t="s">
        <v>65</v>
      </c>
      <c r="AN663" s="1" t="s">
        <v>83</v>
      </c>
      <c r="AO663" s="2" t="s">
        <v>4275</v>
      </c>
      <c r="AP663" s="2" t="s">
        <v>4303</v>
      </c>
      <c r="AQ663" s="1" t="s">
        <v>132</v>
      </c>
      <c r="AR663" s="1" t="s">
        <v>3208</v>
      </c>
      <c r="AS663" s="1"/>
      <c r="AT663" s="2" t="s">
        <v>70</v>
      </c>
    </row>
    <row r="664">
      <c r="A664" s="1"/>
      <c r="B664" s="1" t="s">
        <v>46</v>
      </c>
      <c r="C664" s="1" t="s">
        <v>47</v>
      </c>
      <c r="D664" s="1"/>
      <c r="E664" s="1" t="s">
        <v>4304</v>
      </c>
      <c r="F664" s="1"/>
      <c r="G664" s="1" t="s">
        <v>49</v>
      </c>
      <c r="H664" s="1" t="s">
        <v>72</v>
      </c>
      <c r="I664" s="1">
        <v>5744.1</v>
      </c>
      <c r="J664" s="1"/>
      <c r="K664" s="1"/>
      <c r="L664" s="1"/>
      <c r="M664" s="1" t="s">
        <v>4305</v>
      </c>
      <c r="N664" s="1" t="s">
        <v>109</v>
      </c>
      <c r="O664" s="1" t="s">
        <v>110</v>
      </c>
      <c r="P664" s="2" t="s">
        <v>4306</v>
      </c>
      <c r="Q664" s="1" t="s">
        <v>56</v>
      </c>
      <c r="R664" s="2" t="s">
        <v>4243</v>
      </c>
      <c r="S664" s="1" t="s">
        <v>1349</v>
      </c>
      <c r="T664" s="1">
        <v>1501402.0</v>
      </c>
      <c r="U664" s="1" t="s">
        <v>3880</v>
      </c>
      <c r="V664" s="1" t="s">
        <v>917</v>
      </c>
      <c r="W664" s="1" t="s">
        <v>100</v>
      </c>
      <c r="X664" s="1"/>
      <c r="Y664" s="1"/>
      <c r="Z664" s="1" t="s">
        <v>112</v>
      </c>
      <c r="AA664" s="1" t="s">
        <v>4307</v>
      </c>
      <c r="AB664" s="1" t="str">
        <f>"30949163000186"</f>
        <v>30949163000186</v>
      </c>
      <c r="AC664" s="1"/>
      <c r="AD664" s="1" t="s">
        <v>62</v>
      </c>
      <c r="AE664" s="1"/>
      <c r="AF664" s="1">
        <v>-48.486389</v>
      </c>
      <c r="AG664" s="1">
        <v>-1.315</v>
      </c>
      <c r="AH664" s="1" t="s">
        <v>4308</v>
      </c>
      <c r="AI664" s="1"/>
      <c r="AJ664" s="1" t="s">
        <v>1346</v>
      </c>
      <c r="AK664" s="1"/>
      <c r="AL664" s="1"/>
      <c r="AM664" s="1" t="s">
        <v>65</v>
      </c>
      <c r="AN664" s="1"/>
      <c r="AO664" s="1"/>
      <c r="AP664" s="2" t="s">
        <v>4309</v>
      </c>
      <c r="AQ664" s="1"/>
      <c r="AR664" s="1" t="s">
        <v>115</v>
      </c>
      <c r="AS664" s="1"/>
      <c r="AT664" s="2" t="s">
        <v>70</v>
      </c>
    </row>
    <row r="665">
      <c r="A665" s="1">
        <v>2042899.0</v>
      </c>
      <c r="B665" s="1" t="s">
        <v>116</v>
      </c>
      <c r="C665" s="1" t="s">
        <v>117</v>
      </c>
      <c r="D665" s="1" t="s">
        <v>46</v>
      </c>
      <c r="E665" s="1" t="s">
        <v>4310</v>
      </c>
      <c r="F665" s="1"/>
      <c r="G665" s="1" t="s">
        <v>119</v>
      </c>
      <c r="H665" s="1" t="s">
        <v>72</v>
      </c>
      <c r="I665" s="1">
        <v>6000.0</v>
      </c>
      <c r="J665" s="1"/>
      <c r="K665" s="1"/>
      <c r="L665" s="1" t="s">
        <v>120</v>
      </c>
      <c r="M665" s="1" t="s">
        <v>4311</v>
      </c>
      <c r="N665" s="1" t="s">
        <v>257</v>
      </c>
      <c r="O665" s="1" t="s">
        <v>258</v>
      </c>
      <c r="P665" s="2" t="s">
        <v>4312</v>
      </c>
      <c r="Q665" s="1" t="s">
        <v>56</v>
      </c>
      <c r="R665" s="1"/>
      <c r="S665" s="1" t="s">
        <v>169</v>
      </c>
      <c r="T665" s="1">
        <v>5300108.0</v>
      </c>
      <c r="U665" s="1" t="s">
        <v>304</v>
      </c>
      <c r="V665" s="1" t="s">
        <v>305</v>
      </c>
      <c r="W665" s="1" t="s">
        <v>172</v>
      </c>
      <c r="X665" s="1"/>
      <c r="Y665" s="1" t="str">
        <f>"02001001618202145"</f>
        <v>02001001618202145</v>
      </c>
      <c r="Z665" s="1" t="s">
        <v>260</v>
      </c>
      <c r="AA665" s="1" t="s">
        <v>4313</v>
      </c>
      <c r="AB665" s="1" t="str">
        <f>"***349871**"</f>
        <v>***349871**</v>
      </c>
      <c r="AC665" s="1"/>
      <c r="AD665" s="1"/>
      <c r="AE665" s="1"/>
      <c r="AF665" s="1">
        <v>-47.86</v>
      </c>
      <c r="AG665" s="1">
        <v>-15.765556</v>
      </c>
      <c r="AH665" s="1" t="s">
        <v>4060</v>
      </c>
      <c r="AI665" s="1"/>
      <c r="AJ665" s="1" t="s">
        <v>120</v>
      </c>
      <c r="AK665" s="1"/>
      <c r="AL665" s="1" t="s">
        <v>128</v>
      </c>
      <c r="AM665" s="1" t="s">
        <v>65</v>
      </c>
      <c r="AN665" s="1" t="s">
        <v>83</v>
      </c>
      <c r="AO665" s="2" t="s">
        <v>3968</v>
      </c>
      <c r="AP665" s="2" t="s">
        <v>4314</v>
      </c>
      <c r="AQ665" s="1" t="s">
        <v>132</v>
      </c>
      <c r="AR665" s="1" t="s">
        <v>4062</v>
      </c>
      <c r="AS665" s="1"/>
      <c r="AT665" s="2" t="s">
        <v>70</v>
      </c>
    </row>
    <row r="666">
      <c r="A666" s="1">
        <v>2043275.0</v>
      </c>
      <c r="B666" s="1" t="s">
        <v>116</v>
      </c>
      <c r="C666" s="1" t="s">
        <v>117</v>
      </c>
      <c r="D666" s="1" t="s">
        <v>46</v>
      </c>
      <c r="E666" s="1" t="s">
        <v>4315</v>
      </c>
      <c r="F666" s="1"/>
      <c r="G666" s="1" t="s">
        <v>119</v>
      </c>
      <c r="H666" s="1" t="s">
        <v>72</v>
      </c>
      <c r="I666" s="1">
        <v>1000.0</v>
      </c>
      <c r="J666" s="1"/>
      <c r="K666" s="1"/>
      <c r="L666" s="1" t="s">
        <v>1473</v>
      </c>
      <c r="M666" s="1" t="s">
        <v>4316</v>
      </c>
      <c r="N666" s="1" t="s">
        <v>109</v>
      </c>
      <c r="O666" s="1" t="s">
        <v>110</v>
      </c>
      <c r="P666" s="2" t="s">
        <v>4317</v>
      </c>
      <c r="Q666" s="1" t="s">
        <v>56</v>
      </c>
      <c r="R666" s="2" t="s">
        <v>3144</v>
      </c>
      <c r="S666" s="1" t="s">
        <v>1468</v>
      </c>
      <c r="T666" s="1">
        <v>5003702.0</v>
      </c>
      <c r="U666" s="1" t="s">
        <v>4318</v>
      </c>
      <c r="V666" s="1" t="s">
        <v>1470</v>
      </c>
      <c r="W666" s="1" t="s">
        <v>172</v>
      </c>
      <c r="X666" s="1"/>
      <c r="Y666" s="1"/>
      <c r="Z666" s="1" t="s">
        <v>112</v>
      </c>
      <c r="AA666" s="1" t="s">
        <v>4319</v>
      </c>
      <c r="AB666" s="1" t="str">
        <f>"***168381**"</f>
        <v>***168381**</v>
      </c>
      <c r="AC666" s="1"/>
      <c r="AD666" s="1"/>
      <c r="AE666" s="1"/>
      <c r="AF666" s="1">
        <v>-55.207778</v>
      </c>
      <c r="AG666" s="1">
        <v>-22.033889</v>
      </c>
      <c r="AH666" s="1" t="s">
        <v>4320</v>
      </c>
      <c r="AI666" s="1"/>
      <c r="AJ666" s="1" t="s">
        <v>1473</v>
      </c>
      <c r="AK666" s="1"/>
      <c r="AL666" s="1" t="s">
        <v>128</v>
      </c>
      <c r="AM666" s="1" t="s">
        <v>65</v>
      </c>
      <c r="AN666" s="1"/>
      <c r="AO666" s="2" t="s">
        <v>2918</v>
      </c>
      <c r="AP666" s="2" t="s">
        <v>4321</v>
      </c>
      <c r="AQ666" s="1" t="s">
        <v>132</v>
      </c>
      <c r="AR666" s="1" t="s">
        <v>1207</v>
      </c>
      <c r="AS666" s="1"/>
      <c r="AT666" s="2" t="s">
        <v>70</v>
      </c>
    </row>
    <row r="667">
      <c r="A667" s="1">
        <v>2042917.0</v>
      </c>
      <c r="B667" s="1" t="s">
        <v>116</v>
      </c>
      <c r="C667" s="1" t="s">
        <v>117</v>
      </c>
      <c r="D667" s="1" t="s">
        <v>46</v>
      </c>
      <c r="E667" s="1" t="s">
        <v>4322</v>
      </c>
      <c r="F667" s="1"/>
      <c r="G667" s="1" t="s">
        <v>119</v>
      </c>
      <c r="H667" s="1" t="s">
        <v>72</v>
      </c>
      <c r="I667" s="1">
        <v>4000.0</v>
      </c>
      <c r="J667" s="1"/>
      <c r="K667" s="1"/>
      <c r="L667" s="1" t="s">
        <v>295</v>
      </c>
      <c r="M667" s="1" t="s">
        <v>4323</v>
      </c>
      <c r="N667" s="1" t="s">
        <v>109</v>
      </c>
      <c r="O667" s="1" t="s">
        <v>110</v>
      </c>
      <c r="P667" s="2" t="s">
        <v>4324</v>
      </c>
      <c r="Q667" s="1" t="s">
        <v>77</v>
      </c>
      <c r="R667" s="2" t="s">
        <v>4243</v>
      </c>
      <c r="S667" s="1" t="s">
        <v>220</v>
      </c>
      <c r="T667" s="1">
        <v>2207108.0</v>
      </c>
      <c r="U667" s="1" t="s">
        <v>4325</v>
      </c>
      <c r="V667" s="1" t="s">
        <v>290</v>
      </c>
      <c r="W667" s="1" t="s">
        <v>291</v>
      </c>
      <c r="X667" s="1"/>
      <c r="Y667" s="1" t="str">
        <f>"02020000149202119"</f>
        <v>02020000149202119</v>
      </c>
      <c r="Z667" s="1" t="s">
        <v>112</v>
      </c>
      <c r="AA667" s="1" t="s">
        <v>4326</v>
      </c>
      <c r="AB667" s="1" t="str">
        <f>"***278403**"</f>
        <v>***278403**</v>
      </c>
      <c r="AC667" s="1"/>
      <c r="AD667" s="1"/>
      <c r="AE667" s="1"/>
      <c r="AF667" s="1">
        <v>-42.580583</v>
      </c>
      <c r="AG667" s="1">
        <v>-5.7775</v>
      </c>
      <c r="AH667" s="1" t="s">
        <v>4327</v>
      </c>
      <c r="AI667" s="1"/>
      <c r="AJ667" s="1" t="s">
        <v>295</v>
      </c>
      <c r="AK667" s="1"/>
      <c r="AL667" s="1" t="s">
        <v>128</v>
      </c>
      <c r="AM667" s="1" t="s">
        <v>65</v>
      </c>
      <c r="AN667" s="1" t="s">
        <v>296</v>
      </c>
      <c r="AO667" s="2" t="s">
        <v>3968</v>
      </c>
      <c r="AP667" s="2" t="s">
        <v>4328</v>
      </c>
      <c r="AQ667" s="1" t="s">
        <v>132</v>
      </c>
      <c r="AR667" s="1" t="s">
        <v>1207</v>
      </c>
      <c r="AS667" s="1"/>
      <c r="AT667" s="2" t="s">
        <v>70</v>
      </c>
    </row>
    <row r="668">
      <c r="A668" s="1">
        <v>2043594.0</v>
      </c>
      <c r="B668" s="1" t="s">
        <v>116</v>
      </c>
      <c r="C668" s="1" t="s">
        <v>117</v>
      </c>
      <c r="D668" s="1" t="s">
        <v>46</v>
      </c>
      <c r="E668" s="1" t="s">
        <v>4329</v>
      </c>
      <c r="F668" s="1"/>
      <c r="G668" s="1" t="s">
        <v>119</v>
      </c>
      <c r="H668" s="1" t="s">
        <v>50</v>
      </c>
      <c r="I668" s="1">
        <v>8000.0</v>
      </c>
      <c r="J668" s="1"/>
      <c r="K668" s="1"/>
      <c r="L668" s="1" t="s">
        <v>1336</v>
      </c>
      <c r="M668" s="1" t="s">
        <v>4330</v>
      </c>
      <c r="N668" s="1" t="s">
        <v>53</v>
      </c>
      <c r="O668" s="1" t="s">
        <v>382</v>
      </c>
      <c r="P668" s="2" t="s">
        <v>4331</v>
      </c>
      <c r="Q668" s="1" t="s">
        <v>56</v>
      </c>
      <c r="R668" s="2" t="s">
        <v>3384</v>
      </c>
      <c r="S668" s="1" t="s">
        <v>2022</v>
      </c>
      <c r="T668" s="1">
        <v>3304557.0</v>
      </c>
      <c r="U668" s="1" t="s">
        <v>1740</v>
      </c>
      <c r="V668" s="1" t="s">
        <v>1741</v>
      </c>
      <c r="W668" s="1" t="s">
        <v>60</v>
      </c>
      <c r="X668" s="1"/>
      <c r="Y668" s="1" t="str">
        <f>"02285000019202175"</f>
        <v>02285000019202175</v>
      </c>
      <c r="Z668" s="1" t="s">
        <v>384</v>
      </c>
      <c r="AA668" s="1" t="s">
        <v>4332</v>
      </c>
      <c r="AB668" s="1" t="str">
        <f>"08926302000105"</f>
        <v>08926302000105</v>
      </c>
      <c r="AC668" s="1"/>
      <c r="AD668" s="1" t="s">
        <v>325</v>
      </c>
      <c r="AE668" s="1"/>
      <c r="AF668" s="1">
        <v>-41.436389</v>
      </c>
      <c r="AG668" s="1">
        <v>-23.534722</v>
      </c>
      <c r="AH668" s="1" t="s">
        <v>4333</v>
      </c>
      <c r="AI668" s="1"/>
      <c r="AJ668" s="1" t="s">
        <v>1336</v>
      </c>
      <c r="AK668" s="1"/>
      <c r="AL668" s="1" t="s">
        <v>1171</v>
      </c>
      <c r="AM668" s="1" t="s">
        <v>65</v>
      </c>
      <c r="AN668" s="1"/>
      <c r="AO668" s="2" t="s">
        <v>1371</v>
      </c>
      <c r="AP668" s="2" t="s">
        <v>4334</v>
      </c>
      <c r="AQ668" s="1" t="s">
        <v>132</v>
      </c>
      <c r="AR668" s="1" t="s">
        <v>4335</v>
      </c>
      <c r="AS668" s="1" t="s">
        <v>4088</v>
      </c>
      <c r="AT668" s="2" t="s">
        <v>70</v>
      </c>
    </row>
    <row r="669">
      <c r="A669" s="1">
        <v>2042897.0</v>
      </c>
      <c r="B669" s="1" t="s">
        <v>116</v>
      </c>
      <c r="C669" s="1" t="s">
        <v>117</v>
      </c>
      <c r="D669" s="1" t="s">
        <v>46</v>
      </c>
      <c r="E669" s="1" t="s">
        <v>4336</v>
      </c>
      <c r="F669" s="1"/>
      <c r="G669" s="1" t="s">
        <v>119</v>
      </c>
      <c r="H669" s="1" t="s">
        <v>72</v>
      </c>
      <c r="I669" s="1">
        <v>5000.0</v>
      </c>
      <c r="J669" s="1"/>
      <c r="K669" s="1"/>
      <c r="L669" s="1" t="s">
        <v>120</v>
      </c>
      <c r="M669" s="1" t="s">
        <v>4337</v>
      </c>
      <c r="N669" s="1" t="s">
        <v>257</v>
      </c>
      <c r="O669" s="1" t="s">
        <v>258</v>
      </c>
      <c r="P669" s="2" t="s">
        <v>4338</v>
      </c>
      <c r="Q669" s="1" t="s">
        <v>56</v>
      </c>
      <c r="R669" s="1"/>
      <c r="S669" s="1" t="s">
        <v>169</v>
      </c>
      <c r="T669" s="1">
        <v>5300108.0</v>
      </c>
      <c r="U669" s="1" t="s">
        <v>304</v>
      </c>
      <c r="V669" s="1" t="s">
        <v>305</v>
      </c>
      <c r="W669" s="1" t="s">
        <v>172</v>
      </c>
      <c r="X669" s="1"/>
      <c r="Y669" s="1" t="str">
        <f>"02001001616202156"</f>
        <v>02001001616202156</v>
      </c>
      <c r="Z669" s="1" t="s">
        <v>260</v>
      </c>
      <c r="AA669" s="1" t="s">
        <v>4339</v>
      </c>
      <c r="AB669" s="1" t="str">
        <f>"***811211**"</f>
        <v>***811211**</v>
      </c>
      <c r="AC669" s="1"/>
      <c r="AD669" s="1"/>
      <c r="AE669" s="1"/>
      <c r="AF669" s="1">
        <v>-47.86</v>
      </c>
      <c r="AG669" s="1">
        <v>-15.765556</v>
      </c>
      <c r="AH669" s="1" t="s">
        <v>4060</v>
      </c>
      <c r="AI669" s="1"/>
      <c r="AJ669" s="1" t="s">
        <v>120</v>
      </c>
      <c r="AK669" s="1"/>
      <c r="AL669" s="1" t="s">
        <v>128</v>
      </c>
      <c r="AM669" s="1" t="s">
        <v>65</v>
      </c>
      <c r="AN669" s="1" t="s">
        <v>83</v>
      </c>
      <c r="AO669" s="2" t="s">
        <v>3968</v>
      </c>
      <c r="AP669" s="2" t="s">
        <v>4340</v>
      </c>
      <c r="AQ669" s="1" t="s">
        <v>132</v>
      </c>
      <c r="AR669" s="1" t="s">
        <v>4074</v>
      </c>
      <c r="AS669" s="1"/>
      <c r="AT669" s="2" t="s">
        <v>70</v>
      </c>
    </row>
    <row r="670">
      <c r="A670" s="1">
        <v>2042904.0</v>
      </c>
      <c r="B670" s="1" t="s">
        <v>116</v>
      </c>
      <c r="C670" s="1" t="s">
        <v>117</v>
      </c>
      <c r="D670" s="1" t="s">
        <v>46</v>
      </c>
      <c r="E670" s="1" t="s">
        <v>4341</v>
      </c>
      <c r="F670" s="1"/>
      <c r="G670" s="1" t="s">
        <v>119</v>
      </c>
      <c r="H670" s="1" t="s">
        <v>72</v>
      </c>
      <c r="I670" s="1">
        <v>4000.0</v>
      </c>
      <c r="J670" s="1"/>
      <c r="K670" s="1"/>
      <c r="L670" s="1" t="s">
        <v>104</v>
      </c>
      <c r="M670" s="1" t="s">
        <v>4342</v>
      </c>
      <c r="N670" s="1" t="s">
        <v>257</v>
      </c>
      <c r="O670" s="1" t="s">
        <v>258</v>
      </c>
      <c r="P670" s="2" t="s">
        <v>4343</v>
      </c>
      <c r="Q670" s="1" t="s">
        <v>56</v>
      </c>
      <c r="R670" s="2" t="s">
        <v>4344</v>
      </c>
      <c r="S670" s="1" t="s">
        <v>220</v>
      </c>
      <c r="T670" s="1">
        <v>1302603.0</v>
      </c>
      <c r="U670" s="1" t="s">
        <v>4149</v>
      </c>
      <c r="V670" s="1" t="s">
        <v>99</v>
      </c>
      <c r="W670" s="1" t="s">
        <v>100</v>
      </c>
      <c r="X670" s="1"/>
      <c r="Y670" s="1" t="str">
        <f>"02005000153202175"</f>
        <v>02005000153202175</v>
      </c>
      <c r="Z670" s="1" t="s">
        <v>260</v>
      </c>
      <c r="AA670" s="1" t="s">
        <v>4345</v>
      </c>
      <c r="AB670" s="1" t="str">
        <f>"***196162**"</f>
        <v>***196162**</v>
      </c>
      <c r="AC670" s="1"/>
      <c r="AD670" s="1"/>
      <c r="AE670" s="1"/>
      <c r="AF670" s="1">
        <v>-59.981667</v>
      </c>
      <c r="AG670" s="1">
        <v>-3.135556</v>
      </c>
      <c r="AH670" s="1" t="s">
        <v>4346</v>
      </c>
      <c r="AI670" s="1"/>
      <c r="AJ670" s="1" t="s">
        <v>104</v>
      </c>
      <c r="AK670" s="1"/>
      <c r="AL670" s="1" t="s">
        <v>128</v>
      </c>
      <c r="AM670" s="1" t="s">
        <v>65</v>
      </c>
      <c r="AN670" s="1"/>
      <c r="AO670" s="2" t="s">
        <v>3968</v>
      </c>
      <c r="AP670" s="2" t="s">
        <v>4347</v>
      </c>
      <c r="AQ670" s="1" t="s">
        <v>132</v>
      </c>
      <c r="AR670" s="1" t="s">
        <v>3208</v>
      </c>
      <c r="AS670" s="1"/>
      <c r="AT670" s="2" t="s">
        <v>70</v>
      </c>
    </row>
    <row r="671">
      <c r="A671" s="1">
        <v>2043292.0</v>
      </c>
      <c r="B671" s="1" t="s">
        <v>116</v>
      </c>
      <c r="C671" s="1" t="s">
        <v>117</v>
      </c>
      <c r="D671" s="1" t="s">
        <v>46</v>
      </c>
      <c r="E671" s="1" t="s">
        <v>4348</v>
      </c>
      <c r="F671" s="1"/>
      <c r="G671" s="1" t="s">
        <v>119</v>
      </c>
      <c r="H671" s="1" t="s">
        <v>72</v>
      </c>
      <c r="I671" s="1">
        <v>2000.0</v>
      </c>
      <c r="J671" s="1"/>
      <c r="K671" s="1"/>
      <c r="L671" s="1" t="s">
        <v>1473</v>
      </c>
      <c r="M671" s="1" t="s">
        <v>4349</v>
      </c>
      <c r="N671" s="1" t="s">
        <v>109</v>
      </c>
      <c r="O671" s="1" t="s">
        <v>110</v>
      </c>
      <c r="P671" s="2" t="s">
        <v>4350</v>
      </c>
      <c r="Q671" s="1" t="s">
        <v>56</v>
      </c>
      <c r="R671" s="1"/>
      <c r="S671" s="1" t="s">
        <v>1468</v>
      </c>
      <c r="T671" s="1">
        <v>5003702.0</v>
      </c>
      <c r="U671" s="1" t="s">
        <v>4318</v>
      </c>
      <c r="V671" s="1" t="s">
        <v>1470</v>
      </c>
      <c r="W671" s="1" t="s">
        <v>172</v>
      </c>
      <c r="X671" s="1"/>
      <c r="Y671" s="1" t="str">
        <f>"02014000221202197"</f>
        <v>02014000221202197</v>
      </c>
      <c r="Z671" s="1" t="s">
        <v>112</v>
      </c>
      <c r="AA671" s="1" t="s">
        <v>4351</v>
      </c>
      <c r="AB671" s="1" t="str">
        <f>"***186001**"</f>
        <v>***186001**</v>
      </c>
      <c r="AC671" s="1"/>
      <c r="AD671" s="1"/>
      <c r="AE671" s="1"/>
      <c r="AF671" s="1">
        <v>-55.411111</v>
      </c>
      <c r="AG671" s="1">
        <v>-21.921667</v>
      </c>
      <c r="AH671" s="1" t="s">
        <v>4352</v>
      </c>
      <c r="AI671" s="1"/>
      <c r="AJ671" s="1" t="s">
        <v>1473</v>
      </c>
      <c r="AK671" s="1"/>
      <c r="AL671" s="1" t="s">
        <v>128</v>
      </c>
      <c r="AM671" s="1" t="s">
        <v>65</v>
      </c>
      <c r="AN671" s="1"/>
      <c r="AO671" s="2" t="s">
        <v>2918</v>
      </c>
      <c r="AP671" s="2" t="s">
        <v>4353</v>
      </c>
      <c r="AQ671" s="1" t="s">
        <v>132</v>
      </c>
      <c r="AR671" s="1" t="s">
        <v>1207</v>
      </c>
      <c r="AS671" s="1"/>
      <c r="AT671" s="2" t="s">
        <v>70</v>
      </c>
    </row>
    <row r="672">
      <c r="A672" s="1">
        <v>2043273.0</v>
      </c>
      <c r="B672" s="1" t="s">
        <v>116</v>
      </c>
      <c r="C672" s="1" t="s">
        <v>117</v>
      </c>
      <c r="D672" s="1" t="s">
        <v>46</v>
      </c>
      <c r="E672" s="1" t="s">
        <v>4354</v>
      </c>
      <c r="F672" s="1"/>
      <c r="G672" s="1" t="s">
        <v>119</v>
      </c>
      <c r="H672" s="1" t="s">
        <v>72</v>
      </c>
      <c r="I672" s="1">
        <v>10000.0</v>
      </c>
      <c r="J672" s="1"/>
      <c r="K672" s="1"/>
      <c r="L672" s="1" t="s">
        <v>1473</v>
      </c>
      <c r="M672" s="1" t="s">
        <v>4355</v>
      </c>
      <c r="N672" s="1" t="s">
        <v>109</v>
      </c>
      <c r="O672" s="1" t="s">
        <v>110</v>
      </c>
      <c r="P672" s="2" t="s">
        <v>4356</v>
      </c>
      <c r="Q672" s="1" t="s">
        <v>56</v>
      </c>
      <c r="R672" s="2" t="s">
        <v>4344</v>
      </c>
      <c r="S672" s="1" t="s">
        <v>1468</v>
      </c>
      <c r="T672" s="1">
        <v>5002209.0</v>
      </c>
      <c r="U672" s="1" t="s">
        <v>4357</v>
      </c>
      <c r="V672" s="1" t="s">
        <v>1470</v>
      </c>
      <c r="W672" s="1" t="s">
        <v>172</v>
      </c>
      <c r="X672" s="1"/>
      <c r="Y672" s="1"/>
      <c r="Z672" s="1" t="s">
        <v>112</v>
      </c>
      <c r="AA672" s="1" t="s">
        <v>4358</v>
      </c>
      <c r="AB672" s="1" t="str">
        <f>"12816460000171"</f>
        <v>12816460000171</v>
      </c>
      <c r="AC672" s="1"/>
      <c r="AD672" s="1"/>
      <c r="AE672" s="1"/>
      <c r="AF672" s="1">
        <v>-56.425278</v>
      </c>
      <c r="AG672" s="1">
        <v>-21.1325</v>
      </c>
      <c r="AH672" s="1" t="s">
        <v>4359</v>
      </c>
      <c r="AI672" s="1"/>
      <c r="AJ672" s="1" t="s">
        <v>1473</v>
      </c>
      <c r="AK672" s="1"/>
      <c r="AL672" s="1" t="s">
        <v>128</v>
      </c>
      <c r="AM672" s="1" t="s">
        <v>65</v>
      </c>
      <c r="AN672" s="1"/>
      <c r="AO672" s="2" t="s">
        <v>2918</v>
      </c>
      <c r="AP672" s="2" t="s">
        <v>4360</v>
      </c>
      <c r="AQ672" s="1" t="s">
        <v>132</v>
      </c>
      <c r="AR672" s="1" t="s">
        <v>1207</v>
      </c>
      <c r="AS672" s="1"/>
      <c r="AT672" s="2" t="s">
        <v>70</v>
      </c>
    </row>
    <row r="673">
      <c r="A673" s="1"/>
      <c r="B673" s="1" t="s">
        <v>46</v>
      </c>
      <c r="C673" s="1" t="s">
        <v>47</v>
      </c>
      <c r="D673" s="1"/>
      <c r="E673" s="1" t="s">
        <v>4361</v>
      </c>
      <c r="F673" s="1"/>
      <c r="G673" s="1" t="s">
        <v>49</v>
      </c>
      <c r="H673" s="1" t="s">
        <v>72</v>
      </c>
      <c r="I673" s="1">
        <v>5744.1</v>
      </c>
      <c r="J673" s="1"/>
      <c r="K673" s="1"/>
      <c r="L673" s="1"/>
      <c r="M673" s="1" t="s">
        <v>4362</v>
      </c>
      <c r="N673" s="1" t="s">
        <v>109</v>
      </c>
      <c r="O673" s="1" t="s">
        <v>110</v>
      </c>
      <c r="P673" s="2" t="s">
        <v>4363</v>
      </c>
      <c r="Q673" s="1" t="s">
        <v>56</v>
      </c>
      <c r="R673" s="2" t="s">
        <v>4344</v>
      </c>
      <c r="S673" s="1" t="s">
        <v>1349</v>
      </c>
      <c r="T673" s="1">
        <v>1501402.0</v>
      </c>
      <c r="U673" s="1" t="s">
        <v>3880</v>
      </c>
      <c r="V673" s="1" t="s">
        <v>917</v>
      </c>
      <c r="W673" s="1" t="s">
        <v>100</v>
      </c>
      <c r="X673" s="1"/>
      <c r="Y673" s="1"/>
      <c r="Z673" s="1" t="s">
        <v>112</v>
      </c>
      <c r="AA673" s="1" t="s">
        <v>4307</v>
      </c>
      <c r="AB673" s="1" t="str">
        <f>"30949163000186"</f>
        <v>30949163000186</v>
      </c>
      <c r="AC673" s="1"/>
      <c r="AD673" s="1" t="s">
        <v>62</v>
      </c>
      <c r="AE673" s="1"/>
      <c r="AF673" s="1">
        <v>-48.486389</v>
      </c>
      <c r="AG673" s="1">
        <v>-1.315</v>
      </c>
      <c r="AH673" s="1" t="s">
        <v>4364</v>
      </c>
      <c r="AI673" s="1"/>
      <c r="AJ673" s="1" t="s">
        <v>1346</v>
      </c>
      <c r="AK673" s="1"/>
      <c r="AL673" s="1"/>
      <c r="AM673" s="1" t="s">
        <v>65</v>
      </c>
      <c r="AN673" s="1"/>
      <c r="AO673" s="1"/>
      <c r="AP673" s="2" t="s">
        <v>4365</v>
      </c>
      <c r="AQ673" s="1"/>
      <c r="AR673" s="1" t="s">
        <v>115</v>
      </c>
      <c r="AS673" s="1"/>
      <c r="AT673" s="2" t="s">
        <v>70</v>
      </c>
    </row>
    <row r="674">
      <c r="A674" s="1">
        <v>2042870.0</v>
      </c>
      <c r="B674" s="1" t="s">
        <v>116</v>
      </c>
      <c r="C674" s="1" t="s">
        <v>117</v>
      </c>
      <c r="D674" s="1" t="s">
        <v>46</v>
      </c>
      <c r="E674" s="1" t="s">
        <v>4366</v>
      </c>
      <c r="F674" s="1"/>
      <c r="G674" s="1" t="s">
        <v>119</v>
      </c>
      <c r="H674" s="1" t="s">
        <v>50</v>
      </c>
      <c r="I674" s="1">
        <v>4000.0</v>
      </c>
      <c r="J674" s="1"/>
      <c r="K674" s="1"/>
      <c r="L674" s="1" t="s">
        <v>295</v>
      </c>
      <c r="M674" s="1" t="s">
        <v>4367</v>
      </c>
      <c r="N674" s="1" t="s">
        <v>186</v>
      </c>
      <c r="O674" s="1" t="s">
        <v>95</v>
      </c>
      <c r="P674" s="2" t="s">
        <v>4368</v>
      </c>
      <c r="Q674" s="1" t="s">
        <v>56</v>
      </c>
      <c r="R674" s="2" t="s">
        <v>4344</v>
      </c>
      <c r="S674" s="1" t="s">
        <v>288</v>
      </c>
      <c r="T674" s="1">
        <v>2211001.0</v>
      </c>
      <c r="U674" s="1" t="s">
        <v>527</v>
      </c>
      <c r="V674" s="1" t="s">
        <v>290</v>
      </c>
      <c r="W674" s="1" t="s">
        <v>172</v>
      </c>
      <c r="X674" s="1"/>
      <c r="Y674" s="1" t="str">
        <f>"02020000134202151"</f>
        <v>02020000134202151</v>
      </c>
      <c r="Z674" s="1" t="s">
        <v>101</v>
      </c>
      <c r="AA674" s="1" t="s">
        <v>4369</v>
      </c>
      <c r="AB674" s="1" t="str">
        <f t="shared" ref="AB674:AB675" si="45">"14790352000100"</f>
        <v>14790352000100</v>
      </c>
      <c r="AC674" s="1"/>
      <c r="AD674" s="1"/>
      <c r="AE674" s="1"/>
      <c r="AF674" s="1">
        <v>-42.783889</v>
      </c>
      <c r="AG674" s="1">
        <v>-5.064722</v>
      </c>
      <c r="AH674" s="1" t="s">
        <v>3824</v>
      </c>
      <c r="AI674" s="1"/>
      <c r="AJ674" s="1" t="s">
        <v>295</v>
      </c>
      <c r="AK674" s="1"/>
      <c r="AL674" s="1" t="s">
        <v>128</v>
      </c>
      <c r="AM674" s="1" t="s">
        <v>65</v>
      </c>
      <c r="AN674" s="1" t="s">
        <v>296</v>
      </c>
      <c r="AO674" s="2" t="s">
        <v>4081</v>
      </c>
      <c r="AP674" s="2" t="s">
        <v>4370</v>
      </c>
      <c r="AQ674" s="1" t="s">
        <v>132</v>
      </c>
      <c r="AR674" s="1" t="s">
        <v>531</v>
      </c>
      <c r="AS674" s="1"/>
      <c r="AT674" s="2" t="s">
        <v>70</v>
      </c>
    </row>
    <row r="675">
      <c r="A675" s="1"/>
      <c r="B675" s="1" t="s">
        <v>46</v>
      </c>
      <c r="C675" s="1" t="s">
        <v>571</v>
      </c>
      <c r="D675" s="1" t="s">
        <v>116</v>
      </c>
      <c r="E675" s="1" t="s">
        <v>4371</v>
      </c>
      <c r="F675" s="1"/>
      <c r="G675" s="1" t="s">
        <v>49</v>
      </c>
      <c r="H675" s="1" t="s">
        <v>50</v>
      </c>
      <c r="I675" s="1">
        <v>5000.0</v>
      </c>
      <c r="J675" s="1"/>
      <c r="K675" s="1" t="s">
        <v>51</v>
      </c>
      <c r="L675" s="1"/>
      <c r="M675" s="1" t="s">
        <v>4372</v>
      </c>
      <c r="N675" s="1" t="s">
        <v>94</v>
      </c>
      <c r="O675" s="1" t="s">
        <v>95</v>
      </c>
      <c r="P675" s="2" t="s">
        <v>4373</v>
      </c>
      <c r="Q675" s="1" t="s">
        <v>56</v>
      </c>
      <c r="R675" s="1"/>
      <c r="S675" s="1" t="s">
        <v>288</v>
      </c>
      <c r="T675" s="1">
        <v>2211001.0</v>
      </c>
      <c r="U675" s="1" t="s">
        <v>527</v>
      </c>
      <c r="V675" s="1" t="s">
        <v>290</v>
      </c>
      <c r="W675" s="1" t="s">
        <v>172</v>
      </c>
      <c r="X675" s="1"/>
      <c r="Y675" s="1"/>
      <c r="Z675" s="1" t="s">
        <v>101</v>
      </c>
      <c r="AA675" s="1" t="s">
        <v>4369</v>
      </c>
      <c r="AB675" s="1" t="str">
        <f t="shared" si="45"/>
        <v>14790352000100</v>
      </c>
      <c r="AC675" s="1"/>
      <c r="AD675" s="1" t="s">
        <v>62</v>
      </c>
      <c r="AE675" s="1"/>
      <c r="AF675" s="1">
        <v>-42.783611</v>
      </c>
      <c r="AG675" s="1">
        <v>-5.064722</v>
      </c>
      <c r="AH675" s="1" t="s">
        <v>3627</v>
      </c>
      <c r="AI675" s="1"/>
      <c r="AJ675" s="1" t="s">
        <v>295</v>
      </c>
      <c r="AK675" s="1"/>
      <c r="AL675" s="1"/>
      <c r="AM675" s="1" t="s">
        <v>65</v>
      </c>
      <c r="AN675" s="1" t="s">
        <v>296</v>
      </c>
      <c r="AO675" s="1"/>
      <c r="AP675" s="2" t="s">
        <v>4374</v>
      </c>
      <c r="AQ675" s="1"/>
      <c r="AR675" s="1" t="s">
        <v>298</v>
      </c>
      <c r="AS675" s="1"/>
      <c r="AT675" s="2" t="s">
        <v>70</v>
      </c>
    </row>
    <row r="676">
      <c r="A676" s="1">
        <v>2042813.0</v>
      </c>
      <c r="B676" s="1" t="s">
        <v>116</v>
      </c>
      <c r="C676" s="1" t="s">
        <v>117</v>
      </c>
      <c r="D676" s="1" t="s">
        <v>46</v>
      </c>
      <c r="E676" s="1" t="s">
        <v>4375</v>
      </c>
      <c r="F676" s="1"/>
      <c r="G676" s="1" t="s">
        <v>119</v>
      </c>
      <c r="H676" s="1" t="s">
        <v>50</v>
      </c>
      <c r="I676" s="1">
        <v>7000.0</v>
      </c>
      <c r="J676" s="1"/>
      <c r="K676" s="1"/>
      <c r="L676" s="1" t="s">
        <v>295</v>
      </c>
      <c r="M676" s="1" t="s">
        <v>4376</v>
      </c>
      <c r="N676" s="1" t="s">
        <v>109</v>
      </c>
      <c r="O676" s="1" t="s">
        <v>110</v>
      </c>
      <c r="P676" s="2" t="s">
        <v>4377</v>
      </c>
      <c r="Q676" s="1" t="s">
        <v>56</v>
      </c>
      <c r="R676" s="1"/>
      <c r="S676" s="1" t="s">
        <v>288</v>
      </c>
      <c r="T676" s="1">
        <v>2207009.0</v>
      </c>
      <c r="U676" s="1" t="s">
        <v>4378</v>
      </c>
      <c r="V676" s="1" t="s">
        <v>290</v>
      </c>
      <c r="W676" s="1" t="s">
        <v>291</v>
      </c>
      <c r="X676" s="1"/>
      <c r="Y676" s="1" t="str">
        <f>"02020000125202160"</f>
        <v>02020000125202160</v>
      </c>
      <c r="Z676" s="1" t="s">
        <v>112</v>
      </c>
      <c r="AA676" s="1" t="s">
        <v>4379</v>
      </c>
      <c r="AB676" s="1" t="str">
        <f>"09044626000174"</f>
        <v>09044626000174</v>
      </c>
      <c r="AC676" s="1"/>
      <c r="AD676" s="1"/>
      <c r="AE676" s="1"/>
      <c r="AF676" s="1">
        <v>-42.763611</v>
      </c>
      <c r="AG676" s="1">
        <v>-5.06</v>
      </c>
      <c r="AH676" s="1" t="s">
        <v>4380</v>
      </c>
      <c r="AI676" s="1"/>
      <c r="AJ676" s="1" t="s">
        <v>295</v>
      </c>
      <c r="AK676" s="1"/>
      <c r="AL676" s="1" t="s">
        <v>128</v>
      </c>
      <c r="AM676" s="1" t="s">
        <v>65</v>
      </c>
      <c r="AN676" s="1" t="s">
        <v>159</v>
      </c>
      <c r="AO676" s="2" t="s">
        <v>4275</v>
      </c>
      <c r="AP676" s="2" t="s">
        <v>4381</v>
      </c>
      <c r="AQ676" s="1" t="s">
        <v>132</v>
      </c>
      <c r="AR676" s="1" t="s">
        <v>247</v>
      </c>
      <c r="AS676" s="1"/>
      <c r="AT676" s="2" t="s">
        <v>70</v>
      </c>
    </row>
    <row r="677">
      <c r="A677" s="1">
        <v>2042871.0</v>
      </c>
      <c r="B677" s="1" t="s">
        <v>116</v>
      </c>
      <c r="C677" s="1" t="s">
        <v>117</v>
      </c>
      <c r="D677" s="1" t="s">
        <v>46</v>
      </c>
      <c r="E677" s="1" t="s">
        <v>4382</v>
      </c>
      <c r="F677" s="1"/>
      <c r="G677" s="1" t="s">
        <v>119</v>
      </c>
      <c r="H677" s="1" t="s">
        <v>50</v>
      </c>
      <c r="I677" s="1">
        <v>52500.0</v>
      </c>
      <c r="J677" s="1"/>
      <c r="K677" s="1"/>
      <c r="L677" s="1" t="s">
        <v>295</v>
      </c>
      <c r="M677" s="1" t="s">
        <v>4383</v>
      </c>
      <c r="N677" s="1" t="s">
        <v>109</v>
      </c>
      <c r="O677" s="1" t="s">
        <v>110</v>
      </c>
      <c r="P677" s="2" t="s">
        <v>4377</v>
      </c>
      <c r="Q677" s="1" t="s">
        <v>56</v>
      </c>
      <c r="R677" s="2" t="s">
        <v>4344</v>
      </c>
      <c r="S677" s="1" t="s">
        <v>288</v>
      </c>
      <c r="T677" s="1">
        <v>2210805.0</v>
      </c>
      <c r="U677" s="1" t="s">
        <v>289</v>
      </c>
      <c r="V677" s="1" t="s">
        <v>290</v>
      </c>
      <c r="W677" s="1" t="s">
        <v>291</v>
      </c>
      <c r="X677" s="1"/>
      <c r="Y677" s="1" t="str">
        <f>"02020000135202103"</f>
        <v>02020000135202103</v>
      </c>
      <c r="Z677" s="1" t="s">
        <v>112</v>
      </c>
      <c r="AA677" s="1" t="s">
        <v>4384</v>
      </c>
      <c r="AB677" s="1" t="str">
        <f>"08157132000133"</f>
        <v>08157132000133</v>
      </c>
      <c r="AC677" s="1"/>
      <c r="AD677" s="1"/>
      <c r="AE677" s="1"/>
      <c r="AF677" s="1">
        <v>-42.783889</v>
      </c>
      <c r="AG677" s="1">
        <v>-5.065</v>
      </c>
      <c r="AH677" s="1" t="s">
        <v>4385</v>
      </c>
      <c r="AI677" s="1"/>
      <c r="AJ677" s="1" t="s">
        <v>295</v>
      </c>
      <c r="AK677" s="1"/>
      <c r="AL677" s="1" t="s">
        <v>128</v>
      </c>
      <c r="AM677" s="1" t="s">
        <v>65</v>
      </c>
      <c r="AN677" s="1" t="s">
        <v>296</v>
      </c>
      <c r="AO677" s="2" t="s">
        <v>4081</v>
      </c>
      <c r="AP677" s="2" t="s">
        <v>4386</v>
      </c>
      <c r="AQ677" s="1" t="s">
        <v>132</v>
      </c>
      <c r="AR677" s="1" t="s">
        <v>247</v>
      </c>
      <c r="AS677" s="1"/>
      <c r="AT677" s="2" t="s">
        <v>70</v>
      </c>
    </row>
    <row r="678">
      <c r="A678" s="1">
        <v>2042872.0</v>
      </c>
      <c r="B678" s="1" t="s">
        <v>116</v>
      </c>
      <c r="C678" s="1" t="s">
        <v>117</v>
      </c>
      <c r="D678" s="1" t="s">
        <v>46</v>
      </c>
      <c r="E678" s="1" t="s">
        <v>4387</v>
      </c>
      <c r="F678" s="1"/>
      <c r="G678" s="1" t="s">
        <v>119</v>
      </c>
      <c r="H678" s="1" t="s">
        <v>50</v>
      </c>
      <c r="I678" s="1">
        <v>22000.0</v>
      </c>
      <c r="J678" s="1"/>
      <c r="K678" s="1"/>
      <c r="L678" s="1" t="s">
        <v>295</v>
      </c>
      <c r="M678" s="1" t="s">
        <v>4388</v>
      </c>
      <c r="N678" s="1" t="s">
        <v>109</v>
      </c>
      <c r="O678" s="1" t="s">
        <v>110</v>
      </c>
      <c r="P678" s="2" t="s">
        <v>4389</v>
      </c>
      <c r="Q678" s="1" t="s">
        <v>56</v>
      </c>
      <c r="R678" s="2" t="s">
        <v>4344</v>
      </c>
      <c r="S678" s="1" t="s">
        <v>288</v>
      </c>
      <c r="T678" s="1">
        <v>2205508.0</v>
      </c>
      <c r="U678" s="1" t="s">
        <v>4390</v>
      </c>
      <c r="V678" s="1" t="s">
        <v>290</v>
      </c>
      <c r="W678" s="1" t="s">
        <v>291</v>
      </c>
      <c r="X678" s="1"/>
      <c r="Y678" s="1" t="str">
        <f>"02020000136202140"</f>
        <v>02020000136202140</v>
      </c>
      <c r="Z678" s="1" t="s">
        <v>112</v>
      </c>
      <c r="AA678" s="1" t="s">
        <v>4391</v>
      </c>
      <c r="AB678" s="1" t="str">
        <f>"21188373000108"</f>
        <v>21188373000108</v>
      </c>
      <c r="AC678" s="1"/>
      <c r="AD678" s="1"/>
      <c r="AE678" s="1"/>
      <c r="AF678" s="1">
        <v>-42.784167</v>
      </c>
      <c r="AG678" s="1">
        <v>-5.065</v>
      </c>
      <c r="AH678" s="1" t="s">
        <v>4392</v>
      </c>
      <c r="AI678" s="1"/>
      <c r="AJ678" s="1" t="s">
        <v>295</v>
      </c>
      <c r="AK678" s="1"/>
      <c r="AL678" s="1" t="s">
        <v>128</v>
      </c>
      <c r="AM678" s="1" t="s">
        <v>65</v>
      </c>
      <c r="AN678" s="1" t="s">
        <v>296</v>
      </c>
      <c r="AO678" s="2" t="s">
        <v>4081</v>
      </c>
      <c r="AP678" s="2" t="s">
        <v>4393</v>
      </c>
      <c r="AQ678" s="1" t="s">
        <v>132</v>
      </c>
      <c r="AR678" s="1" t="s">
        <v>247</v>
      </c>
      <c r="AS678" s="1"/>
      <c r="AT678" s="2" t="s">
        <v>70</v>
      </c>
    </row>
    <row r="679">
      <c r="A679" s="1">
        <v>2042667.0</v>
      </c>
      <c r="B679" s="1" t="s">
        <v>116</v>
      </c>
      <c r="C679" s="1" t="s">
        <v>117</v>
      </c>
      <c r="D679" s="1" t="s">
        <v>46</v>
      </c>
      <c r="E679" s="1" t="s">
        <v>4394</v>
      </c>
      <c r="F679" s="1"/>
      <c r="G679" s="1" t="s">
        <v>119</v>
      </c>
      <c r="H679" s="1" t="s">
        <v>50</v>
      </c>
      <c r="I679" s="1">
        <v>1500.0</v>
      </c>
      <c r="J679" s="1"/>
      <c r="K679" s="1"/>
      <c r="L679" s="1" t="s">
        <v>295</v>
      </c>
      <c r="M679" s="1" t="s">
        <v>4395</v>
      </c>
      <c r="N679" s="1" t="s">
        <v>109</v>
      </c>
      <c r="O679" s="1" t="s">
        <v>110</v>
      </c>
      <c r="P679" s="2" t="s">
        <v>4396</v>
      </c>
      <c r="Q679" s="1" t="s">
        <v>56</v>
      </c>
      <c r="R679" s="2" t="s">
        <v>4344</v>
      </c>
      <c r="S679" s="1" t="s">
        <v>288</v>
      </c>
      <c r="T679" s="1">
        <v>2210706.0</v>
      </c>
      <c r="U679" s="1" t="s">
        <v>4397</v>
      </c>
      <c r="V679" s="1" t="s">
        <v>290</v>
      </c>
      <c r="W679" s="1" t="s">
        <v>291</v>
      </c>
      <c r="X679" s="1"/>
      <c r="Y679" s="1" t="str">
        <f>"02020000100202166"</f>
        <v>02020000100202166</v>
      </c>
      <c r="Z679" s="1" t="s">
        <v>112</v>
      </c>
      <c r="AA679" s="1" t="s">
        <v>4398</v>
      </c>
      <c r="AB679" s="1" t="str">
        <f>"19580736000104"</f>
        <v>19580736000104</v>
      </c>
      <c r="AC679" s="1"/>
      <c r="AD679" s="1"/>
      <c r="AE679" s="1"/>
      <c r="AF679" s="1">
        <v>-42.783889</v>
      </c>
      <c r="AG679" s="1">
        <v>-5.065</v>
      </c>
      <c r="AH679" s="1" t="s">
        <v>4399</v>
      </c>
      <c r="AI679" s="1"/>
      <c r="AJ679" s="1" t="s">
        <v>295</v>
      </c>
      <c r="AK679" s="1"/>
      <c r="AL679" s="1" t="s">
        <v>128</v>
      </c>
      <c r="AM679" s="1" t="s">
        <v>65</v>
      </c>
      <c r="AN679" s="1" t="s">
        <v>296</v>
      </c>
      <c r="AO679" s="2" t="s">
        <v>4400</v>
      </c>
      <c r="AP679" s="2" t="s">
        <v>4401</v>
      </c>
      <c r="AQ679" s="1" t="s">
        <v>132</v>
      </c>
      <c r="AR679" s="1" t="s">
        <v>247</v>
      </c>
      <c r="AS679" s="1"/>
      <c r="AT679" s="2" t="s">
        <v>70</v>
      </c>
    </row>
    <row r="680">
      <c r="A680" s="1">
        <v>2043210.0</v>
      </c>
      <c r="B680" s="1" t="s">
        <v>116</v>
      </c>
      <c r="C680" s="1" t="s">
        <v>117</v>
      </c>
      <c r="D680" s="1" t="s">
        <v>46</v>
      </c>
      <c r="E680" s="1" t="s">
        <v>4402</v>
      </c>
      <c r="F680" s="1"/>
      <c r="G680" s="1" t="s">
        <v>119</v>
      </c>
      <c r="H680" s="1" t="s">
        <v>72</v>
      </c>
      <c r="I680" s="1">
        <v>16248.0</v>
      </c>
      <c r="J680" s="1"/>
      <c r="K680" s="1"/>
      <c r="L680" s="1" t="s">
        <v>175</v>
      </c>
      <c r="M680" s="1" t="s">
        <v>4403</v>
      </c>
      <c r="N680" s="1" t="s">
        <v>109</v>
      </c>
      <c r="O680" s="1" t="s">
        <v>110</v>
      </c>
      <c r="P680" s="2" t="s">
        <v>4404</v>
      </c>
      <c r="Q680" s="1" t="s">
        <v>56</v>
      </c>
      <c r="R680" s="1"/>
      <c r="S680" s="1" t="s">
        <v>169</v>
      </c>
      <c r="T680" s="1">
        <v>5200605.0</v>
      </c>
      <c r="U680" s="1" t="s">
        <v>4405</v>
      </c>
      <c r="V680" s="1" t="s">
        <v>171</v>
      </c>
      <c r="W680" s="1" t="s">
        <v>172</v>
      </c>
      <c r="X680" s="1"/>
      <c r="Y680" s="1" t="str">
        <f>"02010000179202144"</f>
        <v>02010000179202144</v>
      </c>
      <c r="Z680" s="1" t="s">
        <v>112</v>
      </c>
      <c r="AA680" s="1" t="s">
        <v>4406</v>
      </c>
      <c r="AB680" s="1" t="str">
        <f>"05630394000185"</f>
        <v>05630394000185</v>
      </c>
      <c r="AC680" s="1"/>
      <c r="AD680" s="1"/>
      <c r="AE680" s="1"/>
      <c r="AF680" s="1">
        <v>-49.246667</v>
      </c>
      <c r="AG680" s="1">
        <v>-16.674167</v>
      </c>
      <c r="AH680" s="1" t="s">
        <v>4407</v>
      </c>
      <c r="AI680" s="1"/>
      <c r="AJ680" s="1" t="s">
        <v>175</v>
      </c>
      <c r="AK680" s="1"/>
      <c r="AL680" s="1" t="s">
        <v>128</v>
      </c>
      <c r="AM680" s="1" t="s">
        <v>65</v>
      </c>
      <c r="AN680" s="1" t="s">
        <v>274</v>
      </c>
      <c r="AO680" s="2" t="s">
        <v>2903</v>
      </c>
      <c r="AP680" s="2" t="s">
        <v>4408</v>
      </c>
      <c r="AQ680" s="1" t="s">
        <v>132</v>
      </c>
      <c r="AR680" s="1" t="s">
        <v>4409</v>
      </c>
      <c r="AS680" s="1"/>
      <c r="AT680" s="2" t="s">
        <v>70</v>
      </c>
    </row>
    <row r="681">
      <c r="A681" s="1">
        <v>2042898.0</v>
      </c>
      <c r="B681" s="1" t="s">
        <v>116</v>
      </c>
      <c r="C681" s="1" t="s">
        <v>117</v>
      </c>
      <c r="D681" s="1" t="s">
        <v>46</v>
      </c>
      <c r="E681" s="1" t="s">
        <v>4410</v>
      </c>
      <c r="F681" s="1"/>
      <c r="G681" s="1" t="s">
        <v>119</v>
      </c>
      <c r="H681" s="1" t="s">
        <v>50</v>
      </c>
      <c r="I681" s="1">
        <v>500500.0</v>
      </c>
      <c r="J681" s="1"/>
      <c r="K681" s="1"/>
      <c r="L681" s="1" t="s">
        <v>120</v>
      </c>
      <c r="M681" s="1" t="s">
        <v>4411</v>
      </c>
      <c r="N681" s="1" t="s">
        <v>53</v>
      </c>
      <c r="O681" s="1" t="s">
        <v>333</v>
      </c>
      <c r="P681" s="2" t="s">
        <v>4412</v>
      </c>
      <c r="Q681" s="1" t="s">
        <v>56</v>
      </c>
      <c r="R681" s="1"/>
      <c r="S681" s="1" t="s">
        <v>608</v>
      </c>
      <c r="T681" s="1">
        <v>3304557.0</v>
      </c>
      <c r="U681" s="1" t="s">
        <v>1740</v>
      </c>
      <c r="V681" s="1" t="s">
        <v>1741</v>
      </c>
      <c r="W681" s="1" t="s">
        <v>78</v>
      </c>
      <c r="X681" s="1"/>
      <c r="Y681" s="1" t="str">
        <f>"02001001617202109"</f>
        <v>02001001617202109</v>
      </c>
      <c r="Z681" s="1" t="s">
        <v>223</v>
      </c>
      <c r="AA681" s="1" t="s">
        <v>2521</v>
      </c>
      <c r="AB681" s="1" t="str">
        <f>"33000167100750"</f>
        <v>33000167100750</v>
      </c>
      <c r="AC681" s="1"/>
      <c r="AD681" s="1"/>
      <c r="AE681" s="1"/>
      <c r="AF681" s="1">
        <v>-41.770833</v>
      </c>
      <c r="AG681" s="1">
        <v>-22.389722</v>
      </c>
      <c r="AH681" s="1" t="s">
        <v>4413</v>
      </c>
      <c r="AI681" s="1"/>
      <c r="AJ681" s="1" t="s">
        <v>120</v>
      </c>
      <c r="AK681" s="1"/>
      <c r="AL681" s="1" t="s">
        <v>128</v>
      </c>
      <c r="AM681" s="1" t="s">
        <v>65</v>
      </c>
      <c r="AN681" s="1" t="s">
        <v>66</v>
      </c>
      <c r="AO681" s="2" t="s">
        <v>3968</v>
      </c>
      <c r="AP681" s="2" t="s">
        <v>4414</v>
      </c>
      <c r="AQ681" s="1" t="s">
        <v>132</v>
      </c>
      <c r="AR681" s="1" t="s">
        <v>1242</v>
      </c>
      <c r="AS681" s="1"/>
      <c r="AT681" s="2" t="s">
        <v>70</v>
      </c>
    </row>
    <row r="682">
      <c r="A682" s="1">
        <v>2043448.0</v>
      </c>
      <c r="B682" s="1" t="s">
        <v>116</v>
      </c>
      <c r="C682" s="1" t="s">
        <v>117</v>
      </c>
      <c r="D682" s="1" t="s">
        <v>46</v>
      </c>
      <c r="E682" s="1" t="s">
        <v>4415</v>
      </c>
      <c r="F682" s="1"/>
      <c r="G682" s="1" t="s">
        <v>119</v>
      </c>
      <c r="H682" s="1" t="s">
        <v>50</v>
      </c>
      <c r="I682" s="1">
        <v>11000.0</v>
      </c>
      <c r="J682" s="1"/>
      <c r="K682" s="1"/>
      <c r="L682" s="1" t="s">
        <v>1473</v>
      </c>
      <c r="M682" s="1" t="s">
        <v>4416</v>
      </c>
      <c r="N682" s="1" t="s">
        <v>109</v>
      </c>
      <c r="O682" s="1" t="s">
        <v>110</v>
      </c>
      <c r="P682" s="2" t="s">
        <v>4417</v>
      </c>
      <c r="Q682" s="1" t="s">
        <v>56</v>
      </c>
      <c r="R682" s="1"/>
      <c r="S682" s="1" t="s">
        <v>1468</v>
      </c>
      <c r="T682" s="1">
        <v>5006606.0</v>
      </c>
      <c r="U682" s="1" t="s">
        <v>4418</v>
      </c>
      <c r="V682" s="1" t="s">
        <v>1470</v>
      </c>
      <c r="W682" s="1" t="s">
        <v>172</v>
      </c>
      <c r="X682" s="1"/>
      <c r="Y682" s="1" t="str">
        <f>"02014000239202199"</f>
        <v>02014000239202199</v>
      </c>
      <c r="Z682" s="1" t="s">
        <v>112</v>
      </c>
      <c r="AA682" s="1" t="s">
        <v>4419</v>
      </c>
      <c r="AB682" s="1" t="str">
        <f>"***887758**"</f>
        <v>***887758**</v>
      </c>
      <c r="AC682" s="1"/>
      <c r="AD682" s="1"/>
      <c r="AE682" s="1"/>
      <c r="AF682" s="1">
        <v>-55.060833</v>
      </c>
      <c r="AG682" s="1">
        <v>-22.515</v>
      </c>
      <c r="AH682" s="1" t="s">
        <v>4420</v>
      </c>
      <c r="AI682" s="1"/>
      <c r="AJ682" s="1" t="s">
        <v>1473</v>
      </c>
      <c r="AK682" s="1"/>
      <c r="AL682" s="1" t="s">
        <v>128</v>
      </c>
      <c r="AM682" s="1" t="s">
        <v>65</v>
      </c>
      <c r="AN682" s="1"/>
      <c r="AO682" s="2" t="s">
        <v>2109</v>
      </c>
      <c r="AP682" s="2" t="s">
        <v>4421</v>
      </c>
      <c r="AQ682" s="1" t="s">
        <v>132</v>
      </c>
      <c r="AR682" s="1" t="s">
        <v>693</v>
      </c>
      <c r="AS682" s="1"/>
      <c r="AT682" s="2" t="s">
        <v>70</v>
      </c>
    </row>
    <row r="683">
      <c r="A683" s="1">
        <v>2043300.0</v>
      </c>
      <c r="B683" s="1" t="s">
        <v>116</v>
      </c>
      <c r="C683" s="1" t="s">
        <v>117</v>
      </c>
      <c r="D683" s="1" t="s">
        <v>46</v>
      </c>
      <c r="E683" s="1" t="s">
        <v>4422</v>
      </c>
      <c r="F683" s="1"/>
      <c r="G683" s="1" t="s">
        <v>119</v>
      </c>
      <c r="H683" s="1" t="s">
        <v>50</v>
      </c>
      <c r="I683" s="1">
        <v>11000.0</v>
      </c>
      <c r="J683" s="1"/>
      <c r="K683" s="1"/>
      <c r="L683" s="1" t="s">
        <v>1473</v>
      </c>
      <c r="M683" s="1" t="s">
        <v>4423</v>
      </c>
      <c r="N683" s="1" t="s">
        <v>109</v>
      </c>
      <c r="O683" s="1" t="s">
        <v>110</v>
      </c>
      <c r="P683" s="2" t="s">
        <v>4424</v>
      </c>
      <c r="Q683" s="1" t="s">
        <v>56</v>
      </c>
      <c r="R683" s="1"/>
      <c r="S683" s="1" t="s">
        <v>1468</v>
      </c>
      <c r="T683" s="1">
        <v>5006903.0</v>
      </c>
      <c r="U683" s="1" t="s">
        <v>4425</v>
      </c>
      <c r="V683" s="1" t="s">
        <v>1470</v>
      </c>
      <c r="W683" s="1" t="s">
        <v>1658</v>
      </c>
      <c r="X683" s="1"/>
      <c r="Y683" s="1" t="str">
        <f>"02014000222202131"</f>
        <v>02014000222202131</v>
      </c>
      <c r="Z683" s="1" t="s">
        <v>112</v>
      </c>
      <c r="AA683" s="1" t="s">
        <v>4426</v>
      </c>
      <c r="AB683" s="1" t="str">
        <f>"***899289**"</f>
        <v>***899289**</v>
      </c>
      <c r="AC683" s="1"/>
      <c r="AD683" s="1"/>
      <c r="AE683" s="1"/>
      <c r="AF683" s="1">
        <v>-56.824167</v>
      </c>
      <c r="AG683" s="1">
        <v>-21.200833</v>
      </c>
      <c r="AH683" s="1" t="s">
        <v>4427</v>
      </c>
      <c r="AI683" s="1"/>
      <c r="AJ683" s="1" t="s">
        <v>1473</v>
      </c>
      <c r="AK683" s="1"/>
      <c r="AL683" s="1" t="s">
        <v>128</v>
      </c>
      <c r="AM683" s="1" t="s">
        <v>65</v>
      </c>
      <c r="AN683" s="1"/>
      <c r="AO683" s="2" t="s">
        <v>2918</v>
      </c>
      <c r="AP683" s="2" t="s">
        <v>4428</v>
      </c>
      <c r="AQ683" s="1" t="s">
        <v>132</v>
      </c>
      <c r="AR683" s="1" t="s">
        <v>693</v>
      </c>
      <c r="AS683" s="1"/>
      <c r="AT683" s="2" t="s">
        <v>70</v>
      </c>
    </row>
    <row r="684">
      <c r="A684" s="1">
        <v>2042664.0</v>
      </c>
      <c r="B684" s="1" t="s">
        <v>116</v>
      </c>
      <c r="C684" s="1" t="s">
        <v>117</v>
      </c>
      <c r="D684" s="1" t="s">
        <v>46</v>
      </c>
      <c r="E684" s="1" t="s">
        <v>4429</v>
      </c>
      <c r="F684" s="1"/>
      <c r="G684" s="1" t="s">
        <v>119</v>
      </c>
      <c r="H684" s="1" t="s">
        <v>50</v>
      </c>
      <c r="I684" s="1">
        <v>2600.0</v>
      </c>
      <c r="J684" s="1"/>
      <c r="K684" s="1"/>
      <c r="L684" s="1" t="s">
        <v>405</v>
      </c>
      <c r="M684" s="1" t="s">
        <v>4430</v>
      </c>
      <c r="N684" s="1" t="s">
        <v>53</v>
      </c>
      <c r="O684" s="1" t="s">
        <v>333</v>
      </c>
      <c r="P684" s="2" t="s">
        <v>4431</v>
      </c>
      <c r="Q684" s="1" t="s">
        <v>56</v>
      </c>
      <c r="R684" s="1"/>
      <c r="S684" s="1" t="s">
        <v>400</v>
      </c>
      <c r="T684" s="1">
        <v>4307005.0</v>
      </c>
      <c r="U684" s="1" t="s">
        <v>4432</v>
      </c>
      <c r="V684" s="1" t="s">
        <v>402</v>
      </c>
      <c r="W684" s="1" t="s">
        <v>78</v>
      </c>
      <c r="X684" s="1"/>
      <c r="Y684" s="1" t="str">
        <f>"02023000117202193"</f>
        <v>02023000117202193</v>
      </c>
      <c r="Z684" s="1" t="s">
        <v>223</v>
      </c>
      <c r="AA684" s="1" t="s">
        <v>4433</v>
      </c>
      <c r="AB684" s="1" t="str">
        <f>"19054917000105"</f>
        <v>19054917000105</v>
      </c>
      <c r="AC684" s="1"/>
      <c r="AD684" s="1"/>
      <c r="AE684" s="1"/>
      <c r="AF684" s="1">
        <v>-52.223028</v>
      </c>
      <c r="AG684" s="1">
        <v>-27.574556</v>
      </c>
      <c r="AH684" s="1" t="s">
        <v>4434</v>
      </c>
      <c r="AI684" s="1"/>
      <c r="AJ684" s="1" t="s">
        <v>405</v>
      </c>
      <c r="AK684" s="1"/>
      <c r="AL684" s="1" t="s">
        <v>128</v>
      </c>
      <c r="AM684" s="1" t="s">
        <v>65</v>
      </c>
      <c r="AN684" s="1" t="s">
        <v>83</v>
      </c>
      <c r="AO684" s="2" t="s">
        <v>4400</v>
      </c>
      <c r="AP684" s="2" t="s">
        <v>4435</v>
      </c>
      <c r="AQ684" s="1" t="s">
        <v>132</v>
      </c>
      <c r="AR684" s="1" t="s">
        <v>3975</v>
      </c>
      <c r="AS684" s="1"/>
      <c r="AT684" s="2" t="s">
        <v>70</v>
      </c>
    </row>
    <row r="685">
      <c r="A685" s="1">
        <v>2042894.0</v>
      </c>
      <c r="B685" s="1" t="s">
        <v>116</v>
      </c>
      <c r="C685" s="1" t="s">
        <v>117</v>
      </c>
      <c r="D685" s="1" t="s">
        <v>46</v>
      </c>
      <c r="E685" s="1" t="s">
        <v>4436</v>
      </c>
      <c r="F685" s="1"/>
      <c r="G685" s="1" t="s">
        <v>119</v>
      </c>
      <c r="H685" s="1" t="s">
        <v>72</v>
      </c>
      <c r="I685" s="1">
        <v>500.0</v>
      </c>
      <c r="J685" s="1"/>
      <c r="K685" s="1"/>
      <c r="L685" s="1" t="s">
        <v>120</v>
      </c>
      <c r="M685" s="1" t="s">
        <v>4437</v>
      </c>
      <c r="N685" s="1" t="s">
        <v>257</v>
      </c>
      <c r="O685" s="1" t="s">
        <v>258</v>
      </c>
      <c r="P685" s="2" t="s">
        <v>4431</v>
      </c>
      <c r="Q685" s="1" t="s">
        <v>56</v>
      </c>
      <c r="R685" s="1"/>
      <c r="S685" s="1" t="s">
        <v>169</v>
      </c>
      <c r="T685" s="1">
        <v>5300108.0</v>
      </c>
      <c r="U685" s="1" t="s">
        <v>304</v>
      </c>
      <c r="V685" s="1" t="s">
        <v>305</v>
      </c>
      <c r="W685" s="1" t="s">
        <v>172</v>
      </c>
      <c r="X685" s="1"/>
      <c r="Y685" s="1" t="str">
        <f>"02001001613202112"</f>
        <v>02001001613202112</v>
      </c>
      <c r="Z685" s="1" t="s">
        <v>260</v>
      </c>
      <c r="AA685" s="1" t="s">
        <v>4438</v>
      </c>
      <c r="AB685" s="1" t="str">
        <f>"***842891**"</f>
        <v>***842891**</v>
      </c>
      <c r="AC685" s="1"/>
      <c r="AD685" s="1"/>
      <c r="AE685" s="1"/>
      <c r="AF685" s="1">
        <v>-47.86</v>
      </c>
      <c r="AG685" s="1">
        <v>-15.765556</v>
      </c>
      <c r="AH685" s="1" t="s">
        <v>4060</v>
      </c>
      <c r="AI685" s="1"/>
      <c r="AJ685" s="1" t="s">
        <v>120</v>
      </c>
      <c r="AK685" s="1"/>
      <c r="AL685" s="1" t="s">
        <v>128</v>
      </c>
      <c r="AM685" s="1" t="s">
        <v>65</v>
      </c>
      <c r="AN685" s="1" t="s">
        <v>83</v>
      </c>
      <c r="AO685" s="2" t="s">
        <v>3968</v>
      </c>
      <c r="AP685" s="2" t="s">
        <v>4439</v>
      </c>
      <c r="AQ685" s="1" t="s">
        <v>132</v>
      </c>
      <c r="AR685" s="1" t="s">
        <v>4440</v>
      </c>
      <c r="AS685" s="1"/>
      <c r="AT685" s="2" t="s">
        <v>70</v>
      </c>
    </row>
    <row r="686">
      <c r="A686" s="1">
        <v>2042941.0</v>
      </c>
      <c r="B686" s="1" t="s">
        <v>116</v>
      </c>
      <c r="C686" s="1" t="s">
        <v>117</v>
      </c>
      <c r="D686" s="1" t="s">
        <v>46</v>
      </c>
      <c r="E686" s="1" t="s">
        <v>4441</v>
      </c>
      <c r="F686" s="1"/>
      <c r="G686" s="1" t="s">
        <v>119</v>
      </c>
      <c r="H686" s="1" t="s">
        <v>50</v>
      </c>
      <c r="I686" s="1">
        <v>1300.0</v>
      </c>
      <c r="J686" s="1"/>
      <c r="K686" s="1"/>
      <c r="L686" s="1" t="s">
        <v>226</v>
      </c>
      <c r="M686" s="1" t="s">
        <v>4442</v>
      </c>
      <c r="N686" s="1" t="s">
        <v>285</v>
      </c>
      <c r="O686" s="1" t="s">
        <v>286</v>
      </c>
      <c r="P686" s="2" t="s">
        <v>4431</v>
      </c>
      <c r="Q686" s="1" t="s">
        <v>56</v>
      </c>
      <c r="R686" s="1"/>
      <c r="S686" s="1" t="s">
        <v>784</v>
      </c>
      <c r="T686" s="1">
        <v>4205407.0</v>
      </c>
      <c r="U686" s="1" t="s">
        <v>2497</v>
      </c>
      <c r="V686" s="1" t="s">
        <v>222</v>
      </c>
      <c r="W686" s="1" t="s">
        <v>78</v>
      </c>
      <c r="X686" s="1"/>
      <c r="Y686" s="1"/>
      <c r="Z686" s="1" t="s">
        <v>292</v>
      </c>
      <c r="AA686" s="1" t="s">
        <v>4443</v>
      </c>
      <c r="AB686" s="1" t="str">
        <f t="shared" ref="AB686:AB689" si="46">"33337122007806"</f>
        <v>33337122007806</v>
      </c>
      <c r="AC686" s="1"/>
      <c r="AD686" s="1"/>
      <c r="AE686" s="1"/>
      <c r="AF686" s="1">
        <v>-48.557222</v>
      </c>
      <c r="AG686" s="1">
        <v>-27.594167</v>
      </c>
      <c r="AH686" s="1" t="s">
        <v>2588</v>
      </c>
      <c r="AI686" s="1"/>
      <c r="AJ686" s="1" t="s">
        <v>226</v>
      </c>
      <c r="AK686" s="1"/>
      <c r="AL686" s="1" t="s">
        <v>128</v>
      </c>
      <c r="AM686" s="1" t="s">
        <v>65</v>
      </c>
      <c r="AN686" s="1" t="s">
        <v>1419</v>
      </c>
      <c r="AO686" s="2" t="s">
        <v>3890</v>
      </c>
      <c r="AP686" s="2" t="s">
        <v>4444</v>
      </c>
      <c r="AQ686" s="1" t="s">
        <v>132</v>
      </c>
      <c r="AR686" s="1" t="s">
        <v>531</v>
      </c>
      <c r="AS686" s="1" t="s">
        <v>4445</v>
      </c>
      <c r="AT686" s="2" t="s">
        <v>70</v>
      </c>
    </row>
    <row r="687">
      <c r="A687" s="1">
        <v>2042942.0</v>
      </c>
      <c r="B687" s="1" t="s">
        <v>116</v>
      </c>
      <c r="C687" s="1" t="s">
        <v>117</v>
      </c>
      <c r="D687" s="1" t="s">
        <v>46</v>
      </c>
      <c r="E687" s="1" t="s">
        <v>4446</v>
      </c>
      <c r="F687" s="1"/>
      <c r="G687" s="1" t="s">
        <v>119</v>
      </c>
      <c r="H687" s="1" t="s">
        <v>50</v>
      </c>
      <c r="I687" s="1">
        <v>1300.0</v>
      </c>
      <c r="J687" s="1"/>
      <c r="K687" s="1"/>
      <c r="L687" s="1" t="s">
        <v>226</v>
      </c>
      <c r="M687" s="1" t="s">
        <v>4447</v>
      </c>
      <c r="N687" s="1" t="s">
        <v>285</v>
      </c>
      <c r="O687" s="1" t="s">
        <v>286</v>
      </c>
      <c r="P687" s="2" t="s">
        <v>4431</v>
      </c>
      <c r="Q687" s="1" t="s">
        <v>56</v>
      </c>
      <c r="R687" s="1"/>
      <c r="S687" s="1" t="s">
        <v>784</v>
      </c>
      <c r="T687" s="1">
        <v>4205407.0</v>
      </c>
      <c r="U687" s="1" t="s">
        <v>2497</v>
      </c>
      <c r="V687" s="1" t="s">
        <v>222</v>
      </c>
      <c r="W687" s="1" t="s">
        <v>78</v>
      </c>
      <c r="X687" s="1"/>
      <c r="Y687" s="1"/>
      <c r="Z687" s="1" t="s">
        <v>292</v>
      </c>
      <c r="AA687" s="1" t="s">
        <v>4443</v>
      </c>
      <c r="AB687" s="1" t="str">
        <f t="shared" si="46"/>
        <v>33337122007806</v>
      </c>
      <c r="AC687" s="1"/>
      <c r="AD687" s="1"/>
      <c r="AE687" s="1"/>
      <c r="AF687" s="1">
        <v>-48.557222</v>
      </c>
      <c r="AG687" s="1">
        <v>-27.594167</v>
      </c>
      <c r="AH687" s="1" t="s">
        <v>2588</v>
      </c>
      <c r="AI687" s="1"/>
      <c r="AJ687" s="1" t="s">
        <v>226</v>
      </c>
      <c r="AK687" s="1"/>
      <c r="AL687" s="1" t="s">
        <v>128</v>
      </c>
      <c r="AM687" s="1" t="s">
        <v>65</v>
      </c>
      <c r="AN687" s="1" t="s">
        <v>1419</v>
      </c>
      <c r="AO687" s="2" t="s">
        <v>3890</v>
      </c>
      <c r="AP687" s="2" t="s">
        <v>4448</v>
      </c>
      <c r="AQ687" s="1" t="s">
        <v>132</v>
      </c>
      <c r="AR687" s="1" t="s">
        <v>531</v>
      </c>
      <c r="AS687" s="1" t="s">
        <v>4449</v>
      </c>
      <c r="AT687" s="2" t="s">
        <v>70</v>
      </c>
    </row>
    <row r="688">
      <c r="A688" s="1">
        <v>2042943.0</v>
      </c>
      <c r="B688" s="1" t="s">
        <v>116</v>
      </c>
      <c r="C688" s="1" t="s">
        <v>117</v>
      </c>
      <c r="D688" s="1" t="s">
        <v>46</v>
      </c>
      <c r="E688" s="1" t="s">
        <v>4450</v>
      </c>
      <c r="F688" s="1"/>
      <c r="G688" s="1" t="s">
        <v>119</v>
      </c>
      <c r="H688" s="1" t="s">
        <v>50</v>
      </c>
      <c r="I688" s="1">
        <v>1300.0</v>
      </c>
      <c r="J688" s="1"/>
      <c r="K688" s="1"/>
      <c r="L688" s="1" t="s">
        <v>226</v>
      </c>
      <c r="M688" s="1" t="s">
        <v>4451</v>
      </c>
      <c r="N688" s="1" t="s">
        <v>285</v>
      </c>
      <c r="O688" s="1" t="s">
        <v>286</v>
      </c>
      <c r="P688" s="2" t="s">
        <v>4431</v>
      </c>
      <c r="Q688" s="1" t="s">
        <v>56</v>
      </c>
      <c r="R688" s="1"/>
      <c r="S688" s="1" t="s">
        <v>784</v>
      </c>
      <c r="T688" s="1">
        <v>4205407.0</v>
      </c>
      <c r="U688" s="1" t="s">
        <v>2497</v>
      </c>
      <c r="V688" s="1" t="s">
        <v>222</v>
      </c>
      <c r="W688" s="1" t="s">
        <v>78</v>
      </c>
      <c r="X688" s="1"/>
      <c r="Y688" s="1"/>
      <c r="Z688" s="1" t="s">
        <v>292</v>
      </c>
      <c r="AA688" s="1" t="s">
        <v>4443</v>
      </c>
      <c r="AB688" s="1" t="str">
        <f t="shared" si="46"/>
        <v>33337122007806</v>
      </c>
      <c r="AC688" s="1"/>
      <c r="AD688" s="1"/>
      <c r="AE688" s="1"/>
      <c r="AF688" s="1">
        <v>-48.557222</v>
      </c>
      <c r="AG688" s="1">
        <v>-27.594167</v>
      </c>
      <c r="AH688" s="1" t="s">
        <v>2588</v>
      </c>
      <c r="AI688" s="1"/>
      <c r="AJ688" s="1" t="s">
        <v>226</v>
      </c>
      <c r="AK688" s="1"/>
      <c r="AL688" s="1" t="s">
        <v>128</v>
      </c>
      <c r="AM688" s="1" t="s">
        <v>65</v>
      </c>
      <c r="AN688" s="1" t="s">
        <v>1419</v>
      </c>
      <c r="AO688" s="2" t="s">
        <v>3890</v>
      </c>
      <c r="AP688" s="2" t="s">
        <v>4452</v>
      </c>
      <c r="AQ688" s="1" t="s">
        <v>132</v>
      </c>
      <c r="AR688" s="1" t="s">
        <v>531</v>
      </c>
      <c r="AS688" s="1" t="s">
        <v>4453</v>
      </c>
      <c r="AT688" s="2" t="s">
        <v>70</v>
      </c>
    </row>
    <row r="689">
      <c r="A689" s="1">
        <v>2042944.0</v>
      </c>
      <c r="B689" s="1" t="s">
        <v>116</v>
      </c>
      <c r="C689" s="1" t="s">
        <v>117</v>
      </c>
      <c r="D689" s="1" t="s">
        <v>46</v>
      </c>
      <c r="E689" s="1" t="s">
        <v>4454</v>
      </c>
      <c r="F689" s="1"/>
      <c r="G689" s="1" t="s">
        <v>119</v>
      </c>
      <c r="H689" s="1" t="s">
        <v>50</v>
      </c>
      <c r="I689" s="1">
        <v>1300.0</v>
      </c>
      <c r="J689" s="1"/>
      <c r="K689" s="1"/>
      <c r="L689" s="1" t="s">
        <v>226</v>
      </c>
      <c r="M689" s="1" t="s">
        <v>4455</v>
      </c>
      <c r="N689" s="1" t="s">
        <v>285</v>
      </c>
      <c r="O689" s="1" t="s">
        <v>286</v>
      </c>
      <c r="P689" s="2" t="s">
        <v>4431</v>
      </c>
      <c r="Q689" s="1" t="s">
        <v>56</v>
      </c>
      <c r="R689" s="1"/>
      <c r="S689" s="1" t="s">
        <v>784</v>
      </c>
      <c r="T689" s="1">
        <v>4205407.0</v>
      </c>
      <c r="U689" s="1" t="s">
        <v>2497</v>
      </c>
      <c r="V689" s="1" t="s">
        <v>222</v>
      </c>
      <c r="W689" s="1" t="s">
        <v>78</v>
      </c>
      <c r="X689" s="1"/>
      <c r="Y689" s="1"/>
      <c r="Z689" s="1" t="s">
        <v>292</v>
      </c>
      <c r="AA689" s="1" t="s">
        <v>4443</v>
      </c>
      <c r="AB689" s="1" t="str">
        <f t="shared" si="46"/>
        <v>33337122007806</v>
      </c>
      <c r="AC689" s="1"/>
      <c r="AD689" s="1"/>
      <c r="AE689" s="1"/>
      <c r="AF689" s="1">
        <v>-48.557222</v>
      </c>
      <c r="AG689" s="1">
        <v>-27.594167</v>
      </c>
      <c r="AH689" s="1" t="s">
        <v>2588</v>
      </c>
      <c r="AI689" s="1"/>
      <c r="AJ689" s="1" t="s">
        <v>226</v>
      </c>
      <c r="AK689" s="1"/>
      <c r="AL689" s="1" t="s">
        <v>128</v>
      </c>
      <c r="AM689" s="1" t="s">
        <v>65</v>
      </c>
      <c r="AN689" s="1" t="s">
        <v>1419</v>
      </c>
      <c r="AO689" s="2" t="s">
        <v>3890</v>
      </c>
      <c r="AP689" s="2" t="s">
        <v>4456</v>
      </c>
      <c r="AQ689" s="1" t="s">
        <v>132</v>
      </c>
      <c r="AR689" s="1" t="s">
        <v>531</v>
      </c>
      <c r="AS689" s="1" t="s">
        <v>4449</v>
      </c>
      <c r="AT689" s="2" t="s">
        <v>70</v>
      </c>
    </row>
    <row r="690">
      <c r="A690" s="1">
        <v>2042662.0</v>
      </c>
      <c r="B690" s="1" t="s">
        <v>116</v>
      </c>
      <c r="C690" s="1" t="s">
        <v>117</v>
      </c>
      <c r="D690" s="1" t="s">
        <v>46</v>
      </c>
      <c r="E690" s="1" t="s">
        <v>4457</v>
      </c>
      <c r="F690" s="1"/>
      <c r="G690" s="1" t="s">
        <v>119</v>
      </c>
      <c r="H690" s="1" t="s">
        <v>50</v>
      </c>
      <c r="I690" s="1">
        <v>1200.0</v>
      </c>
      <c r="J690" s="1"/>
      <c r="K690" s="1"/>
      <c r="L690" s="1" t="s">
        <v>1336</v>
      </c>
      <c r="M690" s="1" t="s">
        <v>4458</v>
      </c>
      <c r="N690" s="1" t="s">
        <v>285</v>
      </c>
      <c r="O690" s="1" t="s">
        <v>286</v>
      </c>
      <c r="P690" s="2" t="s">
        <v>4459</v>
      </c>
      <c r="Q690" s="1" t="s">
        <v>56</v>
      </c>
      <c r="R690" s="2" t="s">
        <v>4460</v>
      </c>
      <c r="S690" s="1" t="s">
        <v>280</v>
      </c>
      <c r="T690" s="1">
        <v>3509502.0</v>
      </c>
      <c r="U690" s="1" t="s">
        <v>1339</v>
      </c>
      <c r="V690" s="1" t="s">
        <v>139</v>
      </c>
      <c r="W690" s="1" t="s">
        <v>78</v>
      </c>
      <c r="X690" s="1"/>
      <c r="Y690" s="1" t="str">
        <f>"02285000003202162"</f>
        <v>02285000003202162</v>
      </c>
      <c r="Z690" s="1" t="s">
        <v>292</v>
      </c>
      <c r="AA690" s="1" t="s">
        <v>4461</v>
      </c>
      <c r="AB690" s="1" t="str">
        <f>"42917146000146"</f>
        <v>42917146000146</v>
      </c>
      <c r="AC690" s="1"/>
      <c r="AD690" s="1"/>
      <c r="AE690" s="1"/>
      <c r="AF690" s="1">
        <v>-47.144167</v>
      </c>
      <c r="AG690" s="1">
        <v>-23.005833</v>
      </c>
      <c r="AH690" s="1" t="s">
        <v>4462</v>
      </c>
      <c r="AI690" s="1"/>
      <c r="AJ690" s="1" t="s">
        <v>1336</v>
      </c>
      <c r="AK690" s="1"/>
      <c r="AL690" s="1" t="s">
        <v>128</v>
      </c>
      <c r="AM690" s="1" t="s">
        <v>65</v>
      </c>
      <c r="AN690" s="1"/>
      <c r="AO690" s="2" t="s">
        <v>4463</v>
      </c>
      <c r="AP690" s="2" t="s">
        <v>4464</v>
      </c>
      <c r="AQ690" s="1" t="s">
        <v>132</v>
      </c>
      <c r="AR690" s="1" t="s">
        <v>531</v>
      </c>
      <c r="AS690" s="1"/>
      <c r="AT690" s="2" t="s">
        <v>70</v>
      </c>
    </row>
    <row r="691">
      <c r="A691" s="1">
        <v>2042940.0</v>
      </c>
      <c r="B691" s="1" t="s">
        <v>116</v>
      </c>
      <c r="C691" s="1" t="s">
        <v>117</v>
      </c>
      <c r="D691" s="1" t="s">
        <v>46</v>
      </c>
      <c r="E691" s="1" t="s">
        <v>4465</v>
      </c>
      <c r="F691" s="1"/>
      <c r="G691" s="1" t="s">
        <v>119</v>
      </c>
      <c r="H691" s="1" t="s">
        <v>50</v>
      </c>
      <c r="I691" s="1">
        <v>1300.0</v>
      </c>
      <c r="J691" s="1"/>
      <c r="K691" s="1"/>
      <c r="L691" s="1" t="s">
        <v>226</v>
      </c>
      <c r="M691" s="1" t="s">
        <v>4466</v>
      </c>
      <c r="N691" s="1" t="s">
        <v>285</v>
      </c>
      <c r="O691" s="1" t="s">
        <v>286</v>
      </c>
      <c r="P691" s="2" t="s">
        <v>4459</v>
      </c>
      <c r="Q691" s="1" t="s">
        <v>56</v>
      </c>
      <c r="R691" s="1"/>
      <c r="S691" s="1" t="s">
        <v>784</v>
      </c>
      <c r="T691" s="1">
        <v>4205407.0</v>
      </c>
      <c r="U691" s="1" t="s">
        <v>2497</v>
      </c>
      <c r="V691" s="1" t="s">
        <v>222</v>
      </c>
      <c r="W691" s="1" t="s">
        <v>78</v>
      </c>
      <c r="X691" s="1"/>
      <c r="Y691" s="1"/>
      <c r="Z691" s="1" t="s">
        <v>292</v>
      </c>
      <c r="AA691" s="1" t="s">
        <v>4443</v>
      </c>
      <c r="AB691" s="1" t="str">
        <f>"33337122007806"</f>
        <v>33337122007806</v>
      </c>
      <c r="AC691" s="1"/>
      <c r="AD691" s="1"/>
      <c r="AE691" s="1"/>
      <c r="AF691" s="1">
        <v>-48.557222</v>
      </c>
      <c r="AG691" s="1">
        <v>-27.594167</v>
      </c>
      <c r="AH691" s="1" t="s">
        <v>2588</v>
      </c>
      <c r="AI691" s="1"/>
      <c r="AJ691" s="1" t="s">
        <v>226</v>
      </c>
      <c r="AK691" s="1"/>
      <c r="AL691" s="1" t="s">
        <v>128</v>
      </c>
      <c r="AM691" s="1" t="s">
        <v>65</v>
      </c>
      <c r="AN691" s="1" t="s">
        <v>1419</v>
      </c>
      <c r="AO691" s="2" t="s">
        <v>3890</v>
      </c>
      <c r="AP691" s="2" t="s">
        <v>4467</v>
      </c>
      <c r="AQ691" s="1" t="s">
        <v>132</v>
      </c>
      <c r="AR691" s="1" t="s">
        <v>531</v>
      </c>
      <c r="AS691" s="1" t="s">
        <v>4468</v>
      </c>
      <c r="AT691" s="2" t="s">
        <v>70</v>
      </c>
    </row>
    <row r="692">
      <c r="A692" s="1">
        <v>2042893.0</v>
      </c>
      <c r="B692" s="1" t="s">
        <v>116</v>
      </c>
      <c r="C692" s="1" t="s">
        <v>117</v>
      </c>
      <c r="D692" s="1" t="s">
        <v>46</v>
      </c>
      <c r="E692" s="1" t="s">
        <v>4469</v>
      </c>
      <c r="F692" s="1"/>
      <c r="G692" s="1" t="s">
        <v>119</v>
      </c>
      <c r="H692" s="1" t="s">
        <v>72</v>
      </c>
      <c r="I692" s="1">
        <v>1000.0</v>
      </c>
      <c r="J692" s="1"/>
      <c r="K692" s="1"/>
      <c r="L692" s="1" t="s">
        <v>120</v>
      </c>
      <c r="M692" s="1" t="s">
        <v>4470</v>
      </c>
      <c r="N692" s="1" t="s">
        <v>257</v>
      </c>
      <c r="O692" s="1" t="s">
        <v>258</v>
      </c>
      <c r="P692" s="2" t="s">
        <v>4471</v>
      </c>
      <c r="Q692" s="1" t="s">
        <v>56</v>
      </c>
      <c r="R692" s="1"/>
      <c r="S692" s="1" t="s">
        <v>169</v>
      </c>
      <c r="T692" s="1">
        <v>5300108.0</v>
      </c>
      <c r="U692" s="1" t="s">
        <v>304</v>
      </c>
      <c r="V692" s="1" t="s">
        <v>305</v>
      </c>
      <c r="W692" s="1" t="s">
        <v>172</v>
      </c>
      <c r="X692" s="1"/>
      <c r="Y692" s="1" t="str">
        <f>"02001001612202178"</f>
        <v>02001001612202178</v>
      </c>
      <c r="Z692" s="1" t="s">
        <v>260</v>
      </c>
      <c r="AA692" s="1" t="s">
        <v>4472</v>
      </c>
      <c r="AB692" s="1" t="str">
        <f>"***067801**"</f>
        <v>***067801**</v>
      </c>
      <c r="AC692" s="1"/>
      <c r="AD692" s="1"/>
      <c r="AE692" s="1"/>
      <c r="AF692" s="1">
        <v>-47.86</v>
      </c>
      <c r="AG692" s="1">
        <v>-15.765556</v>
      </c>
      <c r="AH692" s="1" t="s">
        <v>4060</v>
      </c>
      <c r="AI692" s="1"/>
      <c r="AJ692" s="1" t="s">
        <v>120</v>
      </c>
      <c r="AK692" s="1"/>
      <c r="AL692" s="1" t="s">
        <v>128</v>
      </c>
      <c r="AM692" s="1" t="s">
        <v>65</v>
      </c>
      <c r="AN692" s="1" t="s">
        <v>83</v>
      </c>
      <c r="AO692" s="2" t="s">
        <v>3968</v>
      </c>
      <c r="AP692" s="2" t="s">
        <v>4473</v>
      </c>
      <c r="AQ692" s="1" t="s">
        <v>132</v>
      </c>
      <c r="AR692" s="1" t="s">
        <v>4440</v>
      </c>
      <c r="AS692" s="1"/>
      <c r="AT692" s="2" t="s">
        <v>70</v>
      </c>
    </row>
    <row r="693">
      <c r="A693" s="1">
        <v>2042665.0</v>
      </c>
      <c r="B693" s="1" t="s">
        <v>116</v>
      </c>
      <c r="C693" s="1" t="s">
        <v>117</v>
      </c>
      <c r="D693" s="1" t="s">
        <v>46</v>
      </c>
      <c r="E693" s="1" t="s">
        <v>4474</v>
      </c>
      <c r="F693" s="1"/>
      <c r="G693" s="1" t="s">
        <v>119</v>
      </c>
      <c r="H693" s="1" t="s">
        <v>50</v>
      </c>
      <c r="I693" s="1">
        <v>20500.0</v>
      </c>
      <c r="J693" s="1"/>
      <c r="K693" s="1"/>
      <c r="L693" s="1" t="s">
        <v>405</v>
      </c>
      <c r="M693" s="1" t="s">
        <v>4475</v>
      </c>
      <c r="N693" s="1" t="s">
        <v>53</v>
      </c>
      <c r="O693" s="1" t="s">
        <v>54</v>
      </c>
      <c r="P693" s="2" t="s">
        <v>4476</v>
      </c>
      <c r="Q693" s="1" t="s">
        <v>56</v>
      </c>
      <c r="R693" s="1"/>
      <c r="S693" s="1" t="s">
        <v>400</v>
      </c>
      <c r="T693" s="1">
        <v>4322400.0</v>
      </c>
      <c r="U693" s="1" t="s">
        <v>2757</v>
      </c>
      <c r="V693" s="1" t="s">
        <v>402</v>
      </c>
      <c r="W693" s="1" t="s">
        <v>314</v>
      </c>
      <c r="X693" s="1"/>
      <c r="Y693" s="1" t="str">
        <f>"02023000118202138"</f>
        <v>02023000118202138</v>
      </c>
      <c r="Z693" s="1" t="s">
        <v>223</v>
      </c>
      <c r="AA693" s="1" t="s">
        <v>4477</v>
      </c>
      <c r="AB693" s="1" t="str">
        <f>"***241021**"</f>
        <v>***241021**</v>
      </c>
      <c r="AC693" s="1"/>
      <c r="AD693" s="1"/>
      <c r="AE693" s="1"/>
      <c r="AF693" s="1">
        <v>-56.526917</v>
      </c>
      <c r="AG693" s="1">
        <v>-29.992111</v>
      </c>
      <c r="AH693" s="1" t="s">
        <v>4478</v>
      </c>
      <c r="AI693" s="1"/>
      <c r="AJ693" s="1" t="s">
        <v>405</v>
      </c>
      <c r="AK693" s="1"/>
      <c r="AL693" s="1" t="s">
        <v>128</v>
      </c>
      <c r="AM693" s="1" t="s">
        <v>65</v>
      </c>
      <c r="AN693" s="1" t="s">
        <v>83</v>
      </c>
      <c r="AO693" s="2" t="s">
        <v>4400</v>
      </c>
      <c r="AP693" s="2" t="s">
        <v>4479</v>
      </c>
      <c r="AQ693" s="1" t="s">
        <v>132</v>
      </c>
      <c r="AR693" s="1" t="s">
        <v>2761</v>
      </c>
      <c r="AS693" s="1"/>
      <c r="AT693" s="2" t="s">
        <v>70</v>
      </c>
    </row>
    <row r="694">
      <c r="A694" s="1">
        <v>2043144.0</v>
      </c>
      <c r="B694" s="1" t="s">
        <v>116</v>
      </c>
      <c r="C694" s="1" t="s">
        <v>117</v>
      </c>
      <c r="D694" s="1" t="s">
        <v>46</v>
      </c>
      <c r="E694" s="1" t="s">
        <v>4480</v>
      </c>
      <c r="F694" s="1"/>
      <c r="G694" s="1" t="s">
        <v>119</v>
      </c>
      <c r="H694" s="1" t="s">
        <v>50</v>
      </c>
      <c r="I694" s="1">
        <v>1000.0</v>
      </c>
      <c r="J694" s="1"/>
      <c r="K694" s="1"/>
      <c r="L694" s="1" t="s">
        <v>175</v>
      </c>
      <c r="M694" s="1" t="s">
        <v>4481</v>
      </c>
      <c r="N694" s="1" t="s">
        <v>285</v>
      </c>
      <c r="O694" s="1" t="s">
        <v>286</v>
      </c>
      <c r="P694" s="2" t="s">
        <v>4482</v>
      </c>
      <c r="Q694" s="1" t="s">
        <v>56</v>
      </c>
      <c r="R694" s="1"/>
      <c r="S694" s="1" t="s">
        <v>169</v>
      </c>
      <c r="T694" s="1">
        <v>5207253.0</v>
      </c>
      <c r="U694" s="1" t="s">
        <v>4483</v>
      </c>
      <c r="V694" s="1" t="s">
        <v>171</v>
      </c>
      <c r="W694" s="1" t="s">
        <v>172</v>
      </c>
      <c r="X694" s="1"/>
      <c r="Y694" s="1" t="str">
        <f>"02010000164202186"</f>
        <v>02010000164202186</v>
      </c>
      <c r="Z694" s="1" t="s">
        <v>292</v>
      </c>
      <c r="AA694" s="1" t="s">
        <v>4484</v>
      </c>
      <c r="AB694" s="1" t="str">
        <f>"01463324000129"</f>
        <v>01463324000129</v>
      </c>
      <c r="AC694" s="1"/>
      <c r="AD694" s="1"/>
      <c r="AE694" s="1"/>
      <c r="AF694" s="1">
        <v>-49.246667</v>
      </c>
      <c r="AG694" s="1">
        <v>-16.674167</v>
      </c>
      <c r="AH694" s="1" t="s">
        <v>4485</v>
      </c>
      <c r="AI694" s="1"/>
      <c r="AJ694" s="1" t="s">
        <v>175</v>
      </c>
      <c r="AK694" s="1"/>
      <c r="AL694" s="1" t="s">
        <v>128</v>
      </c>
      <c r="AM694" s="1" t="s">
        <v>65</v>
      </c>
      <c r="AN694" s="1" t="s">
        <v>296</v>
      </c>
      <c r="AO694" s="2" t="s">
        <v>3093</v>
      </c>
      <c r="AP694" s="2" t="s">
        <v>4486</v>
      </c>
      <c r="AQ694" s="1" t="s">
        <v>132</v>
      </c>
      <c r="AR694" s="1" t="s">
        <v>531</v>
      </c>
      <c r="AS694" s="1" t="s">
        <v>4487</v>
      </c>
      <c r="AT694" s="2" t="s">
        <v>70</v>
      </c>
    </row>
    <row r="695">
      <c r="A695" s="1">
        <v>2043145.0</v>
      </c>
      <c r="B695" s="1" t="s">
        <v>116</v>
      </c>
      <c r="C695" s="1" t="s">
        <v>117</v>
      </c>
      <c r="D695" s="1" t="s">
        <v>46</v>
      </c>
      <c r="E695" s="1" t="s">
        <v>4488</v>
      </c>
      <c r="F695" s="1"/>
      <c r="G695" s="1" t="s">
        <v>119</v>
      </c>
      <c r="H695" s="1" t="s">
        <v>50</v>
      </c>
      <c r="I695" s="1">
        <v>1000.0</v>
      </c>
      <c r="J695" s="1"/>
      <c r="K695" s="1"/>
      <c r="L695" s="1" t="s">
        <v>175</v>
      </c>
      <c r="M695" s="1" t="s">
        <v>4489</v>
      </c>
      <c r="N695" s="1" t="s">
        <v>285</v>
      </c>
      <c r="O695" s="1" t="s">
        <v>286</v>
      </c>
      <c r="P695" s="2" t="s">
        <v>4482</v>
      </c>
      <c r="Q695" s="1" t="s">
        <v>56</v>
      </c>
      <c r="R695" s="1"/>
      <c r="S695" s="1" t="s">
        <v>169</v>
      </c>
      <c r="T695" s="1">
        <v>5220504.0</v>
      </c>
      <c r="U695" s="1" t="s">
        <v>4490</v>
      </c>
      <c r="V695" s="1" t="s">
        <v>171</v>
      </c>
      <c r="W695" s="1" t="s">
        <v>172</v>
      </c>
      <c r="X695" s="1"/>
      <c r="Y695" s="1" t="str">
        <f>"02010000166202175"</f>
        <v>02010000166202175</v>
      </c>
      <c r="Z695" s="1" t="s">
        <v>292</v>
      </c>
      <c r="AA695" s="1" t="s">
        <v>4491</v>
      </c>
      <c r="AB695" s="1" t="str">
        <f>"01777937000130"</f>
        <v>01777937000130</v>
      </c>
      <c r="AC695" s="1"/>
      <c r="AD695" s="1"/>
      <c r="AE695" s="1"/>
      <c r="AF695" s="1">
        <v>-49.246667</v>
      </c>
      <c r="AG695" s="1">
        <v>-16.674167</v>
      </c>
      <c r="AH695" s="1" t="s">
        <v>4492</v>
      </c>
      <c r="AI695" s="1"/>
      <c r="AJ695" s="1" t="s">
        <v>175</v>
      </c>
      <c r="AK695" s="1"/>
      <c r="AL695" s="1" t="s">
        <v>128</v>
      </c>
      <c r="AM695" s="1" t="s">
        <v>65</v>
      </c>
      <c r="AN695" s="1" t="s">
        <v>296</v>
      </c>
      <c r="AO695" s="2" t="s">
        <v>3093</v>
      </c>
      <c r="AP695" s="2" t="s">
        <v>4493</v>
      </c>
      <c r="AQ695" s="1" t="s">
        <v>132</v>
      </c>
      <c r="AR695" s="1" t="s">
        <v>531</v>
      </c>
      <c r="AS695" s="1" t="s">
        <v>3460</v>
      </c>
      <c r="AT695" s="2" t="s">
        <v>70</v>
      </c>
    </row>
    <row r="696">
      <c r="A696" s="1">
        <v>2043153.0</v>
      </c>
      <c r="B696" s="1" t="s">
        <v>116</v>
      </c>
      <c r="C696" s="1" t="s">
        <v>117</v>
      </c>
      <c r="D696" s="1" t="s">
        <v>46</v>
      </c>
      <c r="E696" s="1" t="s">
        <v>4494</v>
      </c>
      <c r="F696" s="1"/>
      <c r="G696" s="1" t="s">
        <v>119</v>
      </c>
      <c r="H696" s="1" t="s">
        <v>50</v>
      </c>
      <c r="I696" s="1">
        <v>10000.0</v>
      </c>
      <c r="J696" s="1"/>
      <c r="K696" s="1"/>
      <c r="L696" s="1" t="s">
        <v>405</v>
      </c>
      <c r="M696" s="1" t="s">
        <v>4495</v>
      </c>
      <c r="N696" s="1" t="s">
        <v>53</v>
      </c>
      <c r="O696" s="1" t="s">
        <v>382</v>
      </c>
      <c r="P696" s="2" t="s">
        <v>4482</v>
      </c>
      <c r="Q696" s="1" t="s">
        <v>56</v>
      </c>
      <c r="R696" s="1"/>
      <c r="S696" s="1" t="s">
        <v>400</v>
      </c>
      <c r="T696" s="1">
        <v>4306601.0</v>
      </c>
      <c r="U696" s="1" t="s">
        <v>4496</v>
      </c>
      <c r="V696" s="1" t="s">
        <v>402</v>
      </c>
      <c r="W696" s="1" t="s">
        <v>314</v>
      </c>
      <c r="X696" s="1"/>
      <c r="Y696" s="1" t="str">
        <f>"02023000248202171"</f>
        <v>02023000248202171</v>
      </c>
      <c r="Z696" s="1" t="s">
        <v>384</v>
      </c>
      <c r="AA696" s="1" t="s">
        <v>4497</v>
      </c>
      <c r="AB696" s="1" t="str">
        <f>"***704460**"</f>
        <v>***704460**</v>
      </c>
      <c r="AC696" s="1"/>
      <c r="AD696" s="1"/>
      <c r="AE696" s="1"/>
      <c r="AF696" s="1">
        <v>-54.911111</v>
      </c>
      <c r="AG696" s="1">
        <v>-31.073611</v>
      </c>
      <c r="AH696" s="1" t="s">
        <v>4498</v>
      </c>
      <c r="AI696" s="1"/>
      <c r="AJ696" s="1" t="s">
        <v>405</v>
      </c>
      <c r="AK696" s="1"/>
      <c r="AL696" s="1" t="s">
        <v>128</v>
      </c>
      <c r="AM696" s="1" t="s">
        <v>65</v>
      </c>
      <c r="AN696" s="1" t="s">
        <v>83</v>
      </c>
      <c r="AO696" s="2" t="s">
        <v>2903</v>
      </c>
      <c r="AP696" s="2" t="s">
        <v>4499</v>
      </c>
      <c r="AQ696" s="1" t="s">
        <v>132</v>
      </c>
      <c r="AR696" s="1" t="s">
        <v>4500</v>
      </c>
      <c r="AS696" s="1"/>
      <c r="AT696" s="2" t="s">
        <v>70</v>
      </c>
    </row>
    <row r="697">
      <c r="A697" s="1"/>
      <c r="B697" s="1" t="s">
        <v>46</v>
      </c>
      <c r="C697" s="1" t="s">
        <v>47</v>
      </c>
      <c r="D697" s="1"/>
      <c r="E697" s="1" t="s">
        <v>4501</v>
      </c>
      <c r="F697" s="1"/>
      <c r="G697" s="1" t="s">
        <v>49</v>
      </c>
      <c r="H697" s="1" t="s">
        <v>50</v>
      </c>
      <c r="I697" s="1">
        <v>1000.0</v>
      </c>
      <c r="J697" s="1"/>
      <c r="K697" s="1" t="s">
        <v>51</v>
      </c>
      <c r="L697" s="1"/>
      <c r="M697" s="1" t="s">
        <v>4502</v>
      </c>
      <c r="N697" s="1" t="s">
        <v>285</v>
      </c>
      <c r="O697" s="1" t="s">
        <v>286</v>
      </c>
      <c r="P697" s="2" t="s">
        <v>4503</v>
      </c>
      <c r="Q697" s="1" t="s">
        <v>56</v>
      </c>
      <c r="R697" s="1"/>
      <c r="S697" s="1" t="s">
        <v>288</v>
      </c>
      <c r="T697" s="1">
        <v>2205706.0</v>
      </c>
      <c r="U697" s="1" t="s">
        <v>996</v>
      </c>
      <c r="V697" s="1" t="s">
        <v>290</v>
      </c>
      <c r="W697" s="1" t="s">
        <v>60</v>
      </c>
      <c r="X697" s="1"/>
      <c r="Y697" s="1"/>
      <c r="Z697" s="1" t="s">
        <v>292</v>
      </c>
      <c r="AA697" s="1" t="s">
        <v>4504</v>
      </c>
      <c r="AB697" s="1" t="str">
        <f t="shared" ref="AB697:AB699" si="47">"26234717000191"</f>
        <v>26234717000191</v>
      </c>
      <c r="AC697" s="1"/>
      <c r="AD697" s="1" t="s">
        <v>81</v>
      </c>
      <c r="AE697" s="1"/>
      <c r="AF697" s="1">
        <v>-41.574444</v>
      </c>
      <c r="AG697" s="1">
        <v>-2.905833</v>
      </c>
      <c r="AH697" s="1" t="s">
        <v>4505</v>
      </c>
      <c r="AI697" s="1"/>
      <c r="AJ697" s="1" t="s">
        <v>295</v>
      </c>
      <c r="AK697" s="1"/>
      <c r="AL697" s="1"/>
      <c r="AM697" s="1" t="s">
        <v>65</v>
      </c>
      <c r="AN697" s="1" t="s">
        <v>296</v>
      </c>
      <c r="AO697" s="1"/>
      <c r="AP697" s="2" t="s">
        <v>4506</v>
      </c>
      <c r="AQ697" s="1"/>
      <c r="AR697" s="1" t="s">
        <v>298</v>
      </c>
      <c r="AS697" s="1"/>
      <c r="AT697" s="2" t="s">
        <v>70</v>
      </c>
    </row>
    <row r="698">
      <c r="A698" s="1"/>
      <c r="B698" s="1" t="s">
        <v>46</v>
      </c>
      <c r="C698" s="1" t="s">
        <v>47</v>
      </c>
      <c r="D698" s="1"/>
      <c r="E698" s="1" t="s">
        <v>4507</v>
      </c>
      <c r="F698" s="1"/>
      <c r="G698" s="1" t="s">
        <v>49</v>
      </c>
      <c r="H698" s="1" t="s">
        <v>50</v>
      </c>
      <c r="I698" s="1">
        <v>1500.0</v>
      </c>
      <c r="J698" s="1"/>
      <c r="K698" s="1" t="s">
        <v>92</v>
      </c>
      <c r="L698" s="1"/>
      <c r="M698" s="1" t="s">
        <v>4508</v>
      </c>
      <c r="N698" s="1" t="s">
        <v>94</v>
      </c>
      <c r="O698" s="1" t="s">
        <v>95</v>
      </c>
      <c r="P698" s="2" t="s">
        <v>4509</v>
      </c>
      <c r="Q698" s="1" t="s">
        <v>56</v>
      </c>
      <c r="R698" s="1"/>
      <c r="S698" s="1" t="s">
        <v>288</v>
      </c>
      <c r="T698" s="1">
        <v>2205706.0</v>
      </c>
      <c r="U698" s="1" t="s">
        <v>996</v>
      </c>
      <c r="V698" s="1" t="s">
        <v>290</v>
      </c>
      <c r="W698" s="1" t="s">
        <v>60</v>
      </c>
      <c r="X698" s="1"/>
      <c r="Y698" s="1"/>
      <c r="Z698" s="1" t="s">
        <v>101</v>
      </c>
      <c r="AA698" s="1" t="s">
        <v>4504</v>
      </c>
      <c r="AB698" s="1" t="str">
        <f t="shared" si="47"/>
        <v>26234717000191</v>
      </c>
      <c r="AC698" s="1"/>
      <c r="AD698" s="1" t="s">
        <v>81</v>
      </c>
      <c r="AE698" s="1"/>
      <c r="AF698" s="1">
        <v>-41.574444</v>
      </c>
      <c r="AG698" s="1">
        <v>-2.905833</v>
      </c>
      <c r="AH698" s="1" t="s">
        <v>4505</v>
      </c>
      <c r="AI698" s="1"/>
      <c r="AJ698" s="1" t="s">
        <v>295</v>
      </c>
      <c r="AK698" s="1"/>
      <c r="AL698" s="1"/>
      <c r="AM698" s="1" t="s">
        <v>65</v>
      </c>
      <c r="AN698" s="1" t="s">
        <v>296</v>
      </c>
      <c r="AO698" s="1"/>
      <c r="AP698" s="2" t="s">
        <v>4510</v>
      </c>
      <c r="AQ698" s="1"/>
      <c r="AR698" s="1" t="s">
        <v>106</v>
      </c>
      <c r="AS698" s="1"/>
      <c r="AT698" s="2" t="s">
        <v>70</v>
      </c>
    </row>
    <row r="699">
      <c r="A699" s="1"/>
      <c r="B699" s="1" t="s">
        <v>46</v>
      </c>
      <c r="C699" s="1" t="s">
        <v>47</v>
      </c>
      <c r="D699" s="1"/>
      <c r="E699" s="1" t="s">
        <v>4511</v>
      </c>
      <c r="F699" s="1"/>
      <c r="G699" s="1" t="s">
        <v>49</v>
      </c>
      <c r="H699" s="1" t="s">
        <v>50</v>
      </c>
      <c r="I699" s="1">
        <v>1000.0</v>
      </c>
      <c r="J699" s="1"/>
      <c r="K699" s="1" t="s">
        <v>51</v>
      </c>
      <c r="L699" s="1"/>
      <c r="M699" s="1" t="s">
        <v>4512</v>
      </c>
      <c r="N699" s="1" t="s">
        <v>285</v>
      </c>
      <c r="O699" s="1" t="s">
        <v>286</v>
      </c>
      <c r="P699" s="2" t="s">
        <v>4513</v>
      </c>
      <c r="Q699" s="1" t="s">
        <v>56</v>
      </c>
      <c r="R699" s="1"/>
      <c r="S699" s="1" t="s">
        <v>288</v>
      </c>
      <c r="T699" s="1">
        <v>2205706.0</v>
      </c>
      <c r="U699" s="1" t="s">
        <v>996</v>
      </c>
      <c r="V699" s="1" t="s">
        <v>290</v>
      </c>
      <c r="W699" s="1" t="s">
        <v>60</v>
      </c>
      <c r="X699" s="1"/>
      <c r="Y699" s="1"/>
      <c r="Z699" s="1" t="s">
        <v>292</v>
      </c>
      <c r="AA699" s="1" t="s">
        <v>4504</v>
      </c>
      <c r="AB699" s="1" t="str">
        <f t="shared" si="47"/>
        <v>26234717000191</v>
      </c>
      <c r="AC699" s="1"/>
      <c r="AD699" s="1" t="s">
        <v>81</v>
      </c>
      <c r="AE699" s="1"/>
      <c r="AF699" s="1">
        <v>-41.574444</v>
      </c>
      <c r="AG699" s="1">
        <v>-2.905833</v>
      </c>
      <c r="AH699" s="1" t="s">
        <v>4514</v>
      </c>
      <c r="AI699" s="1"/>
      <c r="AJ699" s="1" t="s">
        <v>295</v>
      </c>
      <c r="AK699" s="1"/>
      <c r="AL699" s="1"/>
      <c r="AM699" s="1" t="s">
        <v>65</v>
      </c>
      <c r="AN699" s="1" t="s">
        <v>296</v>
      </c>
      <c r="AO699" s="1"/>
      <c r="AP699" s="2" t="s">
        <v>4515</v>
      </c>
      <c r="AQ699" s="1"/>
      <c r="AR699" s="1" t="s">
        <v>298</v>
      </c>
      <c r="AS699" s="1"/>
      <c r="AT699" s="2" t="s">
        <v>70</v>
      </c>
    </row>
    <row r="700">
      <c r="A700" s="1">
        <v>2042666.0</v>
      </c>
      <c r="B700" s="1" t="s">
        <v>116</v>
      </c>
      <c r="C700" s="1" t="s">
        <v>117</v>
      </c>
      <c r="D700" s="1" t="s">
        <v>46</v>
      </c>
      <c r="E700" s="1" t="s">
        <v>4516</v>
      </c>
      <c r="F700" s="1"/>
      <c r="G700" s="1" t="s">
        <v>119</v>
      </c>
      <c r="H700" s="1" t="s">
        <v>50</v>
      </c>
      <c r="I700" s="1">
        <v>2500.0</v>
      </c>
      <c r="J700" s="1"/>
      <c r="K700" s="1"/>
      <c r="L700" s="1" t="s">
        <v>405</v>
      </c>
      <c r="M700" s="1" t="s">
        <v>4517</v>
      </c>
      <c r="N700" s="1" t="s">
        <v>53</v>
      </c>
      <c r="O700" s="1" t="s">
        <v>382</v>
      </c>
      <c r="P700" s="2" t="s">
        <v>4518</v>
      </c>
      <c r="Q700" s="1" t="s">
        <v>56</v>
      </c>
      <c r="R700" s="1"/>
      <c r="S700" s="1" t="s">
        <v>400</v>
      </c>
      <c r="T700" s="1">
        <v>4306601.0</v>
      </c>
      <c r="U700" s="1" t="s">
        <v>4496</v>
      </c>
      <c r="V700" s="1" t="s">
        <v>402</v>
      </c>
      <c r="W700" s="1" t="s">
        <v>314</v>
      </c>
      <c r="X700" s="1"/>
      <c r="Y700" s="1" t="str">
        <f>"02023000119202182"</f>
        <v>02023000119202182</v>
      </c>
      <c r="Z700" s="1" t="s">
        <v>384</v>
      </c>
      <c r="AA700" s="1" t="s">
        <v>4497</v>
      </c>
      <c r="AB700" s="1" t="str">
        <f>"***704460**"</f>
        <v>***704460**</v>
      </c>
      <c r="AC700" s="1"/>
      <c r="AD700" s="1"/>
      <c r="AE700" s="1"/>
      <c r="AF700" s="1">
        <v>-54.911111</v>
      </c>
      <c r="AG700" s="1">
        <v>-31.073611</v>
      </c>
      <c r="AH700" s="1" t="s">
        <v>4498</v>
      </c>
      <c r="AI700" s="1"/>
      <c r="AJ700" s="1" t="s">
        <v>405</v>
      </c>
      <c r="AK700" s="1"/>
      <c r="AL700" s="1" t="s">
        <v>128</v>
      </c>
      <c r="AM700" s="1" t="s">
        <v>65</v>
      </c>
      <c r="AN700" s="1" t="s">
        <v>83</v>
      </c>
      <c r="AO700" s="2" t="s">
        <v>4400</v>
      </c>
      <c r="AP700" s="2" t="s">
        <v>4519</v>
      </c>
      <c r="AQ700" s="1" t="s">
        <v>132</v>
      </c>
      <c r="AR700" s="1" t="s">
        <v>2761</v>
      </c>
      <c r="AS700" s="1" t="s">
        <v>4520</v>
      </c>
      <c r="AT700" s="2" t="s">
        <v>70</v>
      </c>
    </row>
    <row r="701">
      <c r="A701" s="1">
        <v>2042874.0</v>
      </c>
      <c r="B701" s="1" t="s">
        <v>116</v>
      </c>
      <c r="C701" s="1" t="s">
        <v>117</v>
      </c>
      <c r="D701" s="1" t="s">
        <v>46</v>
      </c>
      <c r="E701" s="1" t="s">
        <v>4521</v>
      </c>
      <c r="F701" s="1"/>
      <c r="G701" s="1" t="s">
        <v>119</v>
      </c>
      <c r="H701" s="1" t="s">
        <v>50</v>
      </c>
      <c r="I701" s="1">
        <v>20500.0</v>
      </c>
      <c r="J701" s="1"/>
      <c r="K701" s="1"/>
      <c r="L701" s="1" t="s">
        <v>405</v>
      </c>
      <c r="M701" s="1" t="s">
        <v>4522</v>
      </c>
      <c r="N701" s="1" t="s">
        <v>53</v>
      </c>
      <c r="O701" s="1" t="s">
        <v>382</v>
      </c>
      <c r="P701" s="2" t="s">
        <v>4518</v>
      </c>
      <c r="Q701" s="1" t="s">
        <v>56</v>
      </c>
      <c r="R701" s="1"/>
      <c r="S701" s="1" t="s">
        <v>220</v>
      </c>
      <c r="T701" s="1">
        <v>4322400.0</v>
      </c>
      <c r="U701" s="1" t="s">
        <v>2757</v>
      </c>
      <c r="V701" s="1" t="s">
        <v>402</v>
      </c>
      <c r="W701" s="1" t="s">
        <v>314</v>
      </c>
      <c r="X701" s="1"/>
      <c r="Y701" s="1" t="str">
        <f>"02023000161202101"</f>
        <v>02023000161202101</v>
      </c>
      <c r="Z701" s="1" t="s">
        <v>384</v>
      </c>
      <c r="AA701" s="1" t="s">
        <v>4523</v>
      </c>
      <c r="AB701" s="1" t="str">
        <f>"***376610**"</f>
        <v>***376610**</v>
      </c>
      <c r="AC701" s="1"/>
      <c r="AD701" s="1"/>
      <c r="AE701" s="1"/>
      <c r="AF701" s="1">
        <v>-56.515833</v>
      </c>
      <c r="AG701" s="1">
        <v>-29.560556</v>
      </c>
      <c r="AH701" s="1" t="s">
        <v>4524</v>
      </c>
      <c r="AI701" s="1"/>
      <c r="AJ701" s="1" t="s">
        <v>405</v>
      </c>
      <c r="AK701" s="1"/>
      <c r="AL701" s="1" t="s">
        <v>128</v>
      </c>
      <c r="AM701" s="1" t="s">
        <v>65</v>
      </c>
      <c r="AN701" s="1" t="s">
        <v>159</v>
      </c>
      <c r="AO701" s="2" t="s">
        <v>4081</v>
      </c>
      <c r="AP701" s="2" t="s">
        <v>4525</v>
      </c>
      <c r="AQ701" s="1" t="s">
        <v>132</v>
      </c>
      <c r="AR701" s="1" t="s">
        <v>2761</v>
      </c>
      <c r="AS701" s="1" t="s">
        <v>4526</v>
      </c>
      <c r="AT701" s="2" t="s">
        <v>70</v>
      </c>
    </row>
    <row r="702">
      <c r="A702" s="1">
        <v>2043207.0</v>
      </c>
      <c r="B702" s="1" t="s">
        <v>116</v>
      </c>
      <c r="C702" s="1" t="s">
        <v>117</v>
      </c>
      <c r="D702" s="1" t="s">
        <v>46</v>
      </c>
      <c r="E702" s="1" t="s">
        <v>4527</v>
      </c>
      <c r="F702" s="1"/>
      <c r="G702" s="1" t="s">
        <v>119</v>
      </c>
      <c r="H702" s="1" t="s">
        <v>50</v>
      </c>
      <c r="I702" s="1">
        <v>1000.0</v>
      </c>
      <c r="J702" s="1"/>
      <c r="K702" s="1"/>
      <c r="L702" s="1" t="s">
        <v>175</v>
      </c>
      <c r="M702" s="1" t="s">
        <v>4528</v>
      </c>
      <c r="N702" s="1" t="s">
        <v>285</v>
      </c>
      <c r="O702" s="1" t="s">
        <v>286</v>
      </c>
      <c r="P702" s="2" t="s">
        <v>4529</v>
      </c>
      <c r="Q702" s="1" t="s">
        <v>56</v>
      </c>
      <c r="R702" s="1"/>
      <c r="S702" s="1" t="s">
        <v>169</v>
      </c>
      <c r="T702" s="1">
        <v>5208004.0</v>
      </c>
      <c r="U702" s="1" t="s">
        <v>4530</v>
      </c>
      <c r="V702" s="1" t="s">
        <v>171</v>
      </c>
      <c r="W702" s="1" t="s">
        <v>172</v>
      </c>
      <c r="X702" s="1"/>
      <c r="Y702" s="1" t="str">
        <f>"02010000177202155"</f>
        <v>02010000177202155</v>
      </c>
      <c r="Z702" s="1" t="s">
        <v>292</v>
      </c>
      <c r="AA702" s="1" t="s">
        <v>4531</v>
      </c>
      <c r="AB702" s="1" t="str">
        <f>"09115224000113"</f>
        <v>09115224000113</v>
      </c>
      <c r="AC702" s="1"/>
      <c r="AD702" s="1"/>
      <c r="AE702" s="1"/>
      <c r="AF702" s="1">
        <v>-49.246667</v>
      </c>
      <c r="AG702" s="1">
        <v>-16.674167</v>
      </c>
      <c r="AH702" s="1" t="s">
        <v>4532</v>
      </c>
      <c r="AI702" s="1"/>
      <c r="AJ702" s="1" t="s">
        <v>175</v>
      </c>
      <c r="AK702" s="1"/>
      <c r="AL702" s="1" t="s">
        <v>128</v>
      </c>
      <c r="AM702" s="1" t="s">
        <v>65</v>
      </c>
      <c r="AN702" s="1" t="s">
        <v>296</v>
      </c>
      <c r="AO702" s="2" t="s">
        <v>2903</v>
      </c>
      <c r="AP702" s="2" t="s">
        <v>4533</v>
      </c>
      <c r="AQ702" s="1" t="s">
        <v>132</v>
      </c>
      <c r="AR702" s="1" t="s">
        <v>531</v>
      </c>
      <c r="AS702" s="1" t="s">
        <v>3460</v>
      </c>
      <c r="AT702" s="2" t="s">
        <v>70</v>
      </c>
    </row>
    <row r="703">
      <c r="A703" s="1"/>
      <c r="B703" s="1" t="s">
        <v>46</v>
      </c>
      <c r="C703" s="1" t="s">
        <v>47</v>
      </c>
      <c r="D703" s="1"/>
      <c r="E703" s="1" t="s">
        <v>4534</v>
      </c>
      <c r="F703" s="1"/>
      <c r="G703" s="1" t="s">
        <v>49</v>
      </c>
      <c r="H703" s="1" t="s">
        <v>72</v>
      </c>
      <c r="I703" s="1">
        <v>500.0</v>
      </c>
      <c r="J703" s="1"/>
      <c r="K703" s="1"/>
      <c r="L703" s="1"/>
      <c r="M703" s="1" t="s">
        <v>4535</v>
      </c>
      <c r="N703" s="1" t="s">
        <v>257</v>
      </c>
      <c r="O703" s="1" t="s">
        <v>258</v>
      </c>
      <c r="P703" s="2" t="s">
        <v>4536</v>
      </c>
      <c r="Q703" s="1" t="s">
        <v>77</v>
      </c>
      <c r="R703" s="1"/>
      <c r="S703" s="1" t="s">
        <v>475</v>
      </c>
      <c r="T703" s="1">
        <v>3136702.0</v>
      </c>
      <c r="U703" s="1" t="s">
        <v>476</v>
      </c>
      <c r="V703" s="1" t="s">
        <v>477</v>
      </c>
      <c r="W703" s="1" t="s">
        <v>78</v>
      </c>
      <c r="X703" s="1"/>
      <c r="Y703" s="1"/>
      <c r="Z703" s="1" t="s">
        <v>260</v>
      </c>
      <c r="AA703" s="1" t="s">
        <v>4537</v>
      </c>
      <c r="AB703" s="1" t="str">
        <f>"***930868**"</f>
        <v>***930868**</v>
      </c>
      <c r="AC703" s="1"/>
      <c r="AD703" s="1" t="s">
        <v>62</v>
      </c>
      <c r="AE703" s="1"/>
      <c r="AF703" s="1">
        <v>-43.349444</v>
      </c>
      <c r="AG703" s="1">
        <v>-21.763333</v>
      </c>
      <c r="AH703" s="1" t="s">
        <v>4538</v>
      </c>
      <c r="AI703" s="1"/>
      <c r="AJ703" s="1" t="s">
        <v>1763</v>
      </c>
      <c r="AK703" s="1"/>
      <c r="AL703" s="1"/>
      <c r="AM703" s="1" t="s">
        <v>65</v>
      </c>
      <c r="AN703" s="1"/>
      <c r="AO703" s="1"/>
      <c r="AP703" s="2" t="s">
        <v>4539</v>
      </c>
      <c r="AQ703" s="1"/>
      <c r="AR703" s="1" t="s">
        <v>817</v>
      </c>
      <c r="AS703" s="1"/>
      <c r="AT703" s="2" t="s">
        <v>70</v>
      </c>
    </row>
    <row r="704">
      <c r="A704" s="1">
        <v>2043163.0</v>
      </c>
      <c r="B704" s="1" t="s">
        <v>116</v>
      </c>
      <c r="C704" s="1" t="s">
        <v>117</v>
      </c>
      <c r="D704" s="1" t="s">
        <v>46</v>
      </c>
      <c r="E704" s="1" t="s">
        <v>4540</v>
      </c>
      <c r="F704" s="1"/>
      <c r="G704" s="1" t="s">
        <v>119</v>
      </c>
      <c r="H704" s="1" t="s">
        <v>72</v>
      </c>
      <c r="I704" s="1">
        <v>25800.0</v>
      </c>
      <c r="J704" s="1"/>
      <c r="K704" s="1"/>
      <c r="L704" s="1" t="s">
        <v>442</v>
      </c>
      <c r="M704" s="1" t="s">
        <v>4541</v>
      </c>
      <c r="N704" s="1" t="s">
        <v>109</v>
      </c>
      <c r="O704" s="1" t="s">
        <v>110</v>
      </c>
      <c r="P704" s="2" t="s">
        <v>4542</v>
      </c>
      <c r="Q704" s="1" t="s">
        <v>56</v>
      </c>
      <c r="R704" s="1"/>
      <c r="S704" s="1" t="s">
        <v>437</v>
      </c>
      <c r="T704" s="1">
        <v>2307304.0</v>
      </c>
      <c r="U704" s="1" t="s">
        <v>4543</v>
      </c>
      <c r="V704" s="1" t="s">
        <v>439</v>
      </c>
      <c r="W704" s="1" t="s">
        <v>291</v>
      </c>
      <c r="X704" s="1"/>
      <c r="Y704" s="1" t="str">
        <f>"02007000342202128"</f>
        <v>02007000342202128</v>
      </c>
      <c r="Z704" s="1" t="s">
        <v>112</v>
      </c>
      <c r="AA704" s="1" t="s">
        <v>4544</v>
      </c>
      <c r="AB704" s="1" t="str">
        <f>"11196007000147"</f>
        <v>11196007000147</v>
      </c>
      <c r="AC704" s="1"/>
      <c r="AD704" s="1"/>
      <c r="AE704" s="1"/>
      <c r="AF704" s="1">
        <v>-39.3145</v>
      </c>
      <c r="AG704" s="1">
        <v>-7.218306</v>
      </c>
      <c r="AH704" s="1" t="s">
        <v>4545</v>
      </c>
      <c r="AI704" s="1"/>
      <c r="AJ704" s="1" t="s">
        <v>442</v>
      </c>
      <c r="AK704" s="1"/>
      <c r="AL704" s="1" t="s">
        <v>128</v>
      </c>
      <c r="AM704" s="1" t="s">
        <v>65</v>
      </c>
      <c r="AN704" s="1" t="s">
        <v>3504</v>
      </c>
      <c r="AO704" s="2" t="s">
        <v>2903</v>
      </c>
      <c r="AP704" s="2" t="s">
        <v>4546</v>
      </c>
      <c r="AQ704" s="1" t="s">
        <v>132</v>
      </c>
      <c r="AR704" s="1" t="s">
        <v>1236</v>
      </c>
      <c r="AS704" s="1"/>
      <c r="AT704" s="2" t="s">
        <v>70</v>
      </c>
    </row>
    <row r="705">
      <c r="A705" s="1">
        <v>2043164.0</v>
      </c>
      <c r="B705" s="1" t="s">
        <v>116</v>
      </c>
      <c r="C705" s="1" t="s">
        <v>117</v>
      </c>
      <c r="D705" s="1" t="s">
        <v>46</v>
      </c>
      <c r="E705" s="1" t="s">
        <v>4547</v>
      </c>
      <c r="F705" s="1"/>
      <c r="G705" s="1" t="s">
        <v>119</v>
      </c>
      <c r="H705" s="1" t="s">
        <v>72</v>
      </c>
      <c r="I705" s="1">
        <v>3300.0</v>
      </c>
      <c r="J705" s="1"/>
      <c r="K705" s="1"/>
      <c r="L705" s="1" t="s">
        <v>442</v>
      </c>
      <c r="M705" s="1" t="s">
        <v>4548</v>
      </c>
      <c r="N705" s="1" t="s">
        <v>109</v>
      </c>
      <c r="O705" s="1" t="s">
        <v>110</v>
      </c>
      <c r="P705" s="2" t="s">
        <v>4542</v>
      </c>
      <c r="Q705" s="1" t="s">
        <v>56</v>
      </c>
      <c r="R705" s="1"/>
      <c r="S705" s="1" t="s">
        <v>437</v>
      </c>
      <c r="T705" s="1">
        <v>2307809.0</v>
      </c>
      <c r="U705" s="1" t="s">
        <v>4549</v>
      </c>
      <c r="V705" s="1" t="s">
        <v>439</v>
      </c>
      <c r="W705" s="1" t="s">
        <v>291</v>
      </c>
      <c r="X705" s="1"/>
      <c r="Y705" s="1" t="str">
        <f>"02007000343202172"</f>
        <v>02007000343202172</v>
      </c>
      <c r="Z705" s="1" t="s">
        <v>112</v>
      </c>
      <c r="AA705" s="1" t="s">
        <v>4550</v>
      </c>
      <c r="AB705" s="1" t="str">
        <f>"08974018000104"</f>
        <v>08974018000104</v>
      </c>
      <c r="AC705" s="1"/>
      <c r="AD705" s="1"/>
      <c r="AE705" s="1"/>
      <c r="AF705" s="1">
        <v>-40.15</v>
      </c>
      <c r="AG705" s="1">
        <v>-3.121667</v>
      </c>
      <c r="AH705" s="1" t="s">
        <v>4551</v>
      </c>
      <c r="AI705" s="1"/>
      <c r="AJ705" s="1" t="s">
        <v>442</v>
      </c>
      <c r="AK705" s="1"/>
      <c r="AL705" s="1" t="s">
        <v>128</v>
      </c>
      <c r="AM705" s="1" t="s">
        <v>65</v>
      </c>
      <c r="AN705" s="1" t="s">
        <v>3504</v>
      </c>
      <c r="AO705" s="2" t="s">
        <v>2903</v>
      </c>
      <c r="AP705" s="2" t="s">
        <v>4552</v>
      </c>
      <c r="AQ705" s="1" t="s">
        <v>132</v>
      </c>
      <c r="AR705" s="1" t="s">
        <v>1236</v>
      </c>
      <c r="AS705" s="1"/>
      <c r="AT705" s="2" t="s">
        <v>70</v>
      </c>
    </row>
    <row r="706">
      <c r="A706" s="1"/>
      <c r="B706" s="1" t="s">
        <v>46</v>
      </c>
      <c r="C706" s="1" t="s">
        <v>47</v>
      </c>
      <c r="D706" s="1"/>
      <c r="E706" s="1" t="s">
        <v>4553</v>
      </c>
      <c r="F706" s="1"/>
      <c r="G706" s="1" t="s">
        <v>49</v>
      </c>
      <c r="H706" s="1" t="s">
        <v>72</v>
      </c>
      <c r="I706" s="1">
        <v>12600.0</v>
      </c>
      <c r="J706" s="1"/>
      <c r="K706" s="1"/>
      <c r="L706" s="1"/>
      <c r="M706" s="1" t="s">
        <v>4554</v>
      </c>
      <c r="N706" s="1" t="s">
        <v>109</v>
      </c>
      <c r="O706" s="1" t="s">
        <v>110</v>
      </c>
      <c r="P706" s="2" t="s">
        <v>4555</v>
      </c>
      <c r="Q706" s="1" t="s">
        <v>56</v>
      </c>
      <c r="R706" s="1"/>
      <c r="S706" s="1" t="s">
        <v>437</v>
      </c>
      <c r="T706" s="1">
        <v>2308708.0</v>
      </c>
      <c r="U706" s="1" t="s">
        <v>4556</v>
      </c>
      <c r="V706" s="1" t="s">
        <v>439</v>
      </c>
      <c r="W706" s="1" t="s">
        <v>291</v>
      </c>
      <c r="X706" s="1"/>
      <c r="Y706" s="1"/>
      <c r="Z706" s="1" t="s">
        <v>112</v>
      </c>
      <c r="AA706" s="1" t="s">
        <v>4557</v>
      </c>
      <c r="AB706" s="1" t="str">
        <f>"05927839000193"</f>
        <v>05927839000193</v>
      </c>
      <c r="AC706" s="1"/>
      <c r="AD706" s="1" t="s">
        <v>62</v>
      </c>
      <c r="AE706" s="1"/>
      <c r="AF706" s="1">
        <v>-38.371528</v>
      </c>
      <c r="AG706" s="1">
        <v>-5.152917</v>
      </c>
      <c r="AH706" s="1" t="s">
        <v>4558</v>
      </c>
      <c r="AI706" s="1"/>
      <c r="AJ706" s="1" t="s">
        <v>442</v>
      </c>
      <c r="AK706" s="1"/>
      <c r="AL706" s="1"/>
      <c r="AM706" s="1" t="s">
        <v>65</v>
      </c>
      <c r="AN706" s="1" t="s">
        <v>3504</v>
      </c>
      <c r="AO706" s="1"/>
      <c r="AP706" s="2" t="s">
        <v>4559</v>
      </c>
      <c r="AQ706" s="1"/>
      <c r="AR706" s="1" t="s">
        <v>1143</v>
      </c>
      <c r="AS706" s="1"/>
      <c r="AT706" s="2" t="s">
        <v>70</v>
      </c>
    </row>
    <row r="707">
      <c r="A707" s="1"/>
      <c r="B707" s="1" t="s">
        <v>46</v>
      </c>
      <c r="C707" s="1" t="s">
        <v>47</v>
      </c>
      <c r="D707" s="1"/>
      <c r="E707" s="1" t="s">
        <v>4560</v>
      </c>
      <c r="F707" s="1"/>
      <c r="G707" s="1" t="s">
        <v>49</v>
      </c>
      <c r="H707" s="1" t="s">
        <v>72</v>
      </c>
      <c r="I707" s="1">
        <v>4800.0</v>
      </c>
      <c r="J707" s="1"/>
      <c r="K707" s="1"/>
      <c r="L707" s="1"/>
      <c r="M707" s="1" t="s">
        <v>4561</v>
      </c>
      <c r="N707" s="1" t="s">
        <v>109</v>
      </c>
      <c r="O707" s="1" t="s">
        <v>110</v>
      </c>
      <c r="P707" s="2" t="s">
        <v>4562</v>
      </c>
      <c r="Q707" s="1" t="s">
        <v>56</v>
      </c>
      <c r="R707" s="1"/>
      <c r="S707" s="1" t="s">
        <v>437</v>
      </c>
      <c r="T707" s="1">
        <v>2311959.0</v>
      </c>
      <c r="U707" s="1" t="s">
        <v>4563</v>
      </c>
      <c r="V707" s="1" t="s">
        <v>439</v>
      </c>
      <c r="W707" s="1" t="s">
        <v>291</v>
      </c>
      <c r="X707" s="1"/>
      <c r="Y707" s="1"/>
      <c r="Z707" s="1" t="s">
        <v>112</v>
      </c>
      <c r="AA707" s="1" t="s">
        <v>4564</v>
      </c>
      <c r="AB707" s="1" t="str">
        <f>"09319631000142"</f>
        <v>09319631000142</v>
      </c>
      <c r="AC707" s="1"/>
      <c r="AD707" s="1" t="s">
        <v>62</v>
      </c>
      <c r="AE707" s="1"/>
      <c r="AF707" s="1">
        <v>-40.461667</v>
      </c>
      <c r="AG707" s="1">
        <v>-7.283361</v>
      </c>
      <c r="AH707" s="1" t="s">
        <v>4565</v>
      </c>
      <c r="AI707" s="1"/>
      <c r="AJ707" s="1" t="s">
        <v>442</v>
      </c>
      <c r="AK707" s="1"/>
      <c r="AL707" s="1"/>
      <c r="AM707" s="1" t="s">
        <v>65</v>
      </c>
      <c r="AN707" s="1" t="s">
        <v>3734</v>
      </c>
      <c r="AO707" s="1"/>
      <c r="AP707" s="2" t="s">
        <v>4566</v>
      </c>
      <c r="AQ707" s="1"/>
      <c r="AR707" s="1" t="s">
        <v>1143</v>
      </c>
      <c r="AS707" s="1"/>
      <c r="AT707" s="2" t="s">
        <v>70</v>
      </c>
    </row>
    <row r="708">
      <c r="A708" s="1"/>
      <c r="B708" s="1" t="s">
        <v>46</v>
      </c>
      <c r="C708" s="1" t="s">
        <v>47</v>
      </c>
      <c r="D708" s="1"/>
      <c r="E708" s="1" t="s">
        <v>4567</v>
      </c>
      <c r="F708" s="1"/>
      <c r="G708" s="1" t="s">
        <v>49</v>
      </c>
      <c r="H708" s="1" t="s">
        <v>72</v>
      </c>
      <c r="I708" s="1">
        <v>6900.0</v>
      </c>
      <c r="J708" s="1"/>
      <c r="K708" s="1"/>
      <c r="L708" s="1"/>
      <c r="M708" s="1" t="s">
        <v>4568</v>
      </c>
      <c r="N708" s="1" t="s">
        <v>109</v>
      </c>
      <c r="O708" s="1" t="s">
        <v>110</v>
      </c>
      <c r="P708" s="2" t="s">
        <v>4569</v>
      </c>
      <c r="Q708" s="1" t="s">
        <v>56</v>
      </c>
      <c r="R708" s="1"/>
      <c r="S708" s="1" t="s">
        <v>437</v>
      </c>
      <c r="T708" s="1">
        <v>2314003.0</v>
      </c>
      <c r="U708" s="1" t="s">
        <v>4570</v>
      </c>
      <c r="V708" s="1" t="s">
        <v>439</v>
      </c>
      <c r="W708" s="1" t="s">
        <v>291</v>
      </c>
      <c r="X708" s="1"/>
      <c r="Y708" s="1"/>
      <c r="Z708" s="1" t="s">
        <v>112</v>
      </c>
      <c r="AA708" s="1" t="s">
        <v>4571</v>
      </c>
      <c r="AB708" s="1" t="str">
        <f>"08378022000100"</f>
        <v>08378022000100</v>
      </c>
      <c r="AC708" s="1"/>
      <c r="AD708" s="1" t="s">
        <v>62</v>
      </c>
      <c r="AE708" s="1"/>
      <c r="AF708" s="1">
        <v>-39.288889</v>
      </c>
      <c r="AG708" s="1">
        <v>-6.783333</v>
      </c>
      <c r="AH708" s="1" t="s">
        <v>4572</v>
      </c>
      <c r="AI708" s="1"/>
      <c r="AJ708" s="1" t="s">
        <v>442</v>
      </c>
      <c r="AK708" s="1"/>
      <c r="AL708" s="1"/>
      <c r="AM708" s="1" t="s">
        <v>65</v>
      </c>
      <c r="AN708" s="1" t="s">
        <v>3734</v>
      </c>
      <c r="AO708" s="1"/>
      <c r="AP708" s="2" t="s">
        <v>4573</v>
      </c>
      <c r="AQ708" s="1"/>
      <c r="AR708" s="1" t="s">
        <v>1143</v>
      </c>
      <c r="AS708" s="1"/>
      <c r="AT708" s="2" t="s">
        <v>70</v>
      </c>
    </row>
    <row r="709">
      <c r="A709" s="1"/>
      <c r="B709" s="1" t="s">
        <v>46</v>
      </c>
      <c r="C709" s="1" t="s">
        <v>47</v>
      </c>
      <c r="D709" s="1"/>
      <c r="E709" s="1" t="s">
        <v>4574</v>
      </c>
      <c r="F709" s="1"/>
      <c r="G709" s="1" t="s">
        <v>49</v>
      </c>
      <c r="H709" s="1" t="s">
        <v>72</v>
      </c>
      <c r="I709" s="1">
        <v>6600.0</v>
      </c>
      <c r="J709" s="1"/>
      <c r="K709" s="1"/>
      <c r="L709" s="1"/>
      <c r="M709" s="1" t="s">
        <v>4575</v>
      </c>
      <c r="N709" s="1" t="s">
        <v>109</v>
      </c>
      <c r="O709" s="1" t="s">
        <v>110</v>
      </c>
      <c r="P709" s="2" t="s">
        <v>4576</v>
      </c>
      <c r="Q709" s="1" t="s">
        <v>56</v>
      </c>
      <c r="R709" s="1"/>
      <c r="S709" s="1" t="s">
        <v>437</v>
      </c>
      <c r="T709" s="1">
        <v>2307403.0</v>
      </c>
      <c r="U709" s="1" t="s">
        <v>4577</v>
      </c>
      <c r="V709" s="1" t="s">
        <v>439</v>
      </c>
      <c r="W709" s="1" t="s">
        <v>291</v>
      </c>
      <c r="X709" s="1"/>
      <c r="Y709" s="1"/>
      <c r="Z709" s="1" t="s">
        <v>112</v>
      </c>
      <c r="AA709" s="1" t="s">
        <v>4578</v>
      </c>
      <c r="AB709" s="1" t="str">
        <f>"09372501000173"</f>
        <v>09372501000173</v>
      </c>
      <c r="AC709" s="1"/>
      <c r="AD709" s="1" t="s">
        <v>62</v>
      </c>
      <c r="AE709" s="1"/>
      <c r="AF709" s="1">
        <v>-39.528028</v>
      </c>
      <c r="AG709" s="1">
        <v>-6.520972</v>
      </c>
      <c r="AH709" s="1" t="s">
        <v>4579</v>
      </c>
      <c r="AI709" s="1"/>
      <c r="AJ709" s="1" t="s">
        <v>442</v>
      </c>
      <c r="AK709" s="1"/>
      <c r="AL709" s="1"/>
      <c r="AM709" s="1" t="s">
        <v>65</v>
      </c>
      <c r="AN709" s="1" t="s">
        <v>3734</v>
      </c>
      <c r="AO709" s="1"/>
      <c r="AP709" s="2" t="s">
        <v>4580</v>
      </c>
      <c r="AQ709" s="1"/>
      <c r="AR709" s="1" t="s">
        <v>1143</v>
      </c>
      <c r="AS709" s="1"/>
      <c r="AT709" s="2" t="s">
        <v>70</v>
      </c>
    </row>
    <row r="710">
      <c r="A710" s="1"/>
      <c r="B710" s="1" t="s">
        <v>46</v>
      </c>
      <c r="C710" s="1" t="s">
        <v>47</v>
      </c>
      <c r="D710" s="1"/>
      <c r="E710" s="1" t="s">
        <v>4581</v>
      </c>
      <c r="F710" s="1"/>
      <c r="G710" s="1" t="s">
        <v>49</v>
      </c>
      <c r="H710" s="1" t="s">
        <v>72</v>
      </c>
      <c r="I710" s="1">
        <v>7500.0</v>
      </c>
      <c r="J710" s="1"/>
      <c r="K710" s="1"/>
      <c r="L710" s="1"/>
      <c r="M710" s="1" t="s">
        <v>4582</v>
      </c>
      <c r="N710" s="1" t="s">
        <v>109</v>
      </c>
      <c r="O710" s="1" t="s">
        <v>110</v>
      </c>
      <c r="P710" s="2" t="s">
        <v>4583</v>
      </c>
      <c r="Q710" s="1" t="s">
        <v>56</v>
      </c>
      <c r="R710" s="1"/>
      <c r="S710" s="1" t="s">
        <v>437</v>
      </c>
      <c r="T710" s="1">
        <v>2312304.0</v>
      </c>
      <c r="U710" s="1" t="s">
        <v>4584</v>
      </c>
      <c r="V710" s="1" t="s">
        <v>439</v>
      </c>
      <c r="W710" s="1" t="s">
        <v>291</v>
      </c>
      <c r="X710" s="1"/>
      <c r="Y710" s="1"/>
      <c r="Z710" s="1" t="s">
        <v>112</v>
      </c>
      <c r="AA710" s="1" t="s">
        <v>4585</v>
      </c>
      <c r="AB710" s="1" t="str">
        <f>"05618099000103"</f>
        <v>05618099000103</v>
      </c>
      <c r="AC710" s="1"/>
      <c r="AD710" s="1" t="s">
        <v>62</v>
      </c>
      <c r="AE710" s="1"/>
      <c r="AF710" s="1">
        <v>-40.8635</v>
      </c>
      <c r="AG710" s="1">
        <v>-4.045833</v>
      </c>
      <c r="AH710" s="1" t="s">
        <v>4586</v>
      </c>
      <c r="AI710" s="1"/>
      <c r="AJ710" s="1" t="s">
        <v>442</v>
      </c>
      <c r="AK710" s="1"/>
      <c r="AL710" s="1"/>
      <c r="AM710" s="1" t="s">
        <v>65</v>
      </c>
      <c r="AN710" s="1" t="s">
        <v>3734</v>
      </c>
      <c r="AO710" s="1"/>
      <c r="AP710" s="2" t="s">
        <v>4587</v>
      </c>
      <c r="AQ710" s="1"/>
      <c r="AR710" s="1" t="s">
        <v>1143</v>
      </c>
      <c r="AS710" s="1"/>
      <c r="AT710" s="2" t="s">
        <v>70</v>
      </c>
    </row>
    <row r="711">
      <c r="A711" s="1"/>
      <c r="B711" s="1" t="s">
        <v>46</v>
      </c>
      <c r="C711" s="1" t="s">
        <v>47</v>
      </c>
      <c r="D711" s="1"/>
      <c r="E711" s="1" t="s">
        <v>4588</v>
      </c>
      <c r="F711" s="1"/>
      <c r="G711" s="1" t="s">
        <v>49</v>
      </c>
      <c r="H711" s="1" t="s">
        <v>72</v>
      </c>
      <c r="I711" s="1">
        <v>59700.0</v>
      </c>
      <c r="J711" s="1"/>
      <c r="K711" s="1"/>
      <c r="L711" s="1"/>
      <c r="M711" s="1" t="s">
        <v>4589</v>
      </c>
      <c r="N711" s="1" t="s">
        <v>109</v>
      </c>
      <c r="O711" s="1" t="s">
        <v>110</v>
      </c>
      <c r="P711" s="2" t="s">
        <v>4590</v>
      </c>
      <c r="Q711" s="1" t="s">
        <v>56</v>
      </c>
      <c r="R711" s="1"/>
      <c r="S711" s="1" t="s">
        <v>437</v>
      </c>
      <c r="T711" s="1">
        <v>2304202.0</v>
      </c>
      <c r="U711" s="1" t="s">
        <v>4591</v>
      </c>
      <c r="V711" s="1" t="s">
        <v>439</v>
      </c>
      <c r="W711" s="1" t="s">
        <v>291</v>
      </c>
      <c r="X711" s="1"/>
      <c r="Y711" s="1"/>
      <c r="Z711" s="1" t="s">
        <v>112</v>
      </c>
      <c r="AA711" s="1" t="s">
        <v>4592</v>
      </c>
      <c r="AB711" s="1" t="str">
        <f>"07194699000117"</f>
        <v>07194699000117</v>
      </c>
      <c r="AC711" s="1"/>
      <c r="AD711" s="1" t="s">
        <v>62</v>
      </c>
      <c r="AE711" s="1"/>
      <c r="AF711" s="1">
        <v>-39.383611</v>
      </c>
      <c r="AG711" s="1">
        <v>-7.230278</v>
      </c>
      <c r="AH711" s="1" t="s">
        <v>4593</v>
      </c>
      <c r="AI711" s="1"/>
      <c r="AJ711" s="1" t="s">
        <v>442</v>
      </c>
      <c r="AK711" s="1"/>
      <c r="AL711" s="1"/>
      <c r="AM711" s="1" t="s">
        <v>65</v>
      </c>
      <c r="AN711" s="1" t="s">
        <v>3734</v>
      </c>
      <c r="AO711" s="1"/>
      <c r="AP711" s="2" t="s">
        <v>4594</v>
      </c>
      <c r="AQ711" s="1"/>
      <c r="AR711" s="1" t="s">
        <v>1143</v>
      </c>
      <c r="AS711" s="1"/>
      <c r="AT711" s="2" t="s">
        <v>70</v>
      </c>
    </row>
    <row r="712">
      <c r="A712" s="1"/>
      <c r="B712" s="1" t="s">
        <v>46</v>
      </c>
      <c r="C712" s="1" t="s">
        <v>47</v>
      </c>
      <c r="D712" s="1"/>
      <c r="E712" s="1" t="s">
        <v>4595</v>
      </c>
      <c r="F712" s="1"/>
      <c r="G712" s="1" t="s">
        <v>49</v>
      </c>
      <c r="H712" s="1" t="s">
        <v>72</v>
      </c>
      <c r="I712" s="1">
        <v>32700.0</v>
      </c>
      <c r="J712" s="1"/>
      <c r="K712" s="1"/>
      <c r="L712" s="1"/>
      <c r="M712" s="1" t="s">
        <v>4596</v>
      </c>
      <c r="N712" s="1" t="s">
        <v>109</v>
      </c>
      <c r="O712" s="1" t="s">
        <v>110</v>
      </c>
      <c r="P712" s="2" t="s">
        <v>4597</v>
      </c>
      <c r="Q712" s="1" t="s">
        <v>56</v>
      </c>
      <c r="R712" s="1"/>
      <c r="S712" s="1" t="s">
        <v>437</v>
      </c>
      <c r="T712" s="1">
        <v>2301901.0</v>
      </c>
      <c r="U712" s="1" t="s">
        <v>4598</v>
      </c>
      <c r="V712" s="1" t="s">
        <v>439</v>
      </c>
      <c r="W712" s="1" t="s">
        <v>291</v>
      </c>
      <c r="X712" s="1"/>
      <c r="Y712" s="1"/>
      <c r="Z712" s="1" t="s">
        <v>112</v>
      </c>
      <c r="AA712" s="1" t="s">
        <v>4599</v>
      </c>
      <c r="AB712" s="1" t="str">
        <f>"19845472000173"</f>
        <v>19845472000173</v>
      </c>
      <c r="AC712" s="1"/>
      <c r="AD712" s="1" t="s">
        <v>62</v>
      </c>
      <c r="AE712" s="1"/>
      <c r="AF712" s="1">
        <v>-39.304167</v>
      </c>
      <c r="AG712" s="1">
        <v>-7.311111</v>
      </c>
      <c r="AH712" s="1" t="s">
        <v>4600</v>
      </c>
      <c r="AI712" s="1"/>
      <c r="AJ712" s="1" t="s">
        <v>442</v>
      </c>
      <c r="AK712" s="1"/>
      <c r="AL712" s="1"/>
      <c r="AM712" s="1" t="s">
        <v>65</v>
      </c>
      <c r="AN712" s="1" t="s">
        <v>3734</v>
      </c>
      <c r="AO712" s="1"/>
      <c r="AP712" s="2" t="s">
        <v>4601</v>
      </c>
      <c r="AQ712" s="1"/>
      <c r="AR712" s="1" t="s">
        <v>1143</v>
      </c>
      <c r="AS712" s="1"/>
      <c r="AT712" s="2" t="s">
        <v>70</v>
      </c>
    </row>
    <row r="713">
      <c r="A713" s="1"/>
      <c r="B713" s="1" t="s">
        <v>46</v>
      </c>
      <c r="C713" s="1" t="s">
        <v>47</v>
      </c>
      <c r="D713" s="1"/>
      <c r="E713" s="1" t="s">
        <v>4602</v>
      </c>
      <c r="F713" s="1"/>
      <c r="G713" s="1" t="s">
        <v>49</v>
      </c>
      <c r="H713" s="1" t="s">
        <v>72</v>
      </c>
      <c r="I713" s="1">
        <v>10000.0</v>
      </c>
      <c r="J713" s="1"/>
      <c r="K713" s="1"/>
      <c r="L713" s="1"/>
      <c r="M713" s="1" t="s">
        <v>4603</v>
      </c>
      <c r="N713" s="1" t="s">
        <v>257</v>
      </c>
      <c r="O713" s="1" t="s">
        <v>258</v>
      </c>
      <c r="P713" s="2" t="s">
        <v>4604</v>
      </c>
      <c r="Q713" s="1" t="s">
        <v>56</v>
      </c>
      <c r="R713" s="1"/>
      <c r="S713" s="1" t="s">
        <v>475</v>
      </c>
      <c r="T713" s="1">
        <v>3170206.0</v>
      </c>
      <c r="U713" s="1" t="s">
        <v>1099</v>
      </c>
      <c r="V713" s="1" t="s">
        <v>477</v>
      </c>
      <c r="W713" s="1" t="s">
        <v>172</v>
      </c>
      <c r="X713" s="1"/>
      <c r="Y713" s="1"/>
      <c r="Z713" s="1" t="s">
        <v>260</v>
      </c>
      <c r="AA713" s="1" t="s">
        <v>4605</v>
      </c>
      <c r="AB713" s="1" t="str">
        <f>"***179766**"</f>
        <v>***179766**</v>
      </c>
      <c r="AC713" s="1"/>
      <c r="AD713" s="1" t="s">
        <v>81</v>
      </c>
      <c r="AE713" s="1"/>
      <c r="AF713" s="1">
        <v>-48.156667</v>
      </c>
      <c r="AG713" s="1">
        <v>-18.897222</v>
      </c>
      <c r="AH713" s="1" t="s">
        <v>4606</v>
      </c>
      <c r="AI713" s="1"/>
      <c r="AJ713" s="1" t="s">
        <v>1096</v>
      </c>
      <c r="AK713" s="1"/>
      <c r="AL713" s="1"/>
      <c r="AM713" s="1" t="s">
        <v>65</v>
      </c>
      <c r="AN713" s="1"/>
      <c r="AO713" s="1"/>
      <c r="AP713" s="2" t="s">
        <v>4607</v>
      </c>
      <c r="AQ713" s="1"/>
      <c r="AR713" s="1" t="s">
        <v>4608</v>
      </c>
      <c r="AS713" s="1"/>
      <c r="AT713" s="2" t="s">
        <v>70</v>
      </c>
    </row>
    <row r="714">
      <c r="A714" s="1">
        <v>2042939.0</v>
      </c>
      <c r="B714" s="1" t="s">
        <v>116</v>
      </c>
      <c r="C714" s="1" t="s">
        <v>117</v>
      </c>
      <c r="D714" s="1" t="s">
        <v>46</v>
      </c>
      <c r="E714" s="1" t="s">
        <v>4609</v>
      </c>
      <c r="F714" s="1"/>
      <c r="G714" s="1" t="s">
        <v>119</v>
      </c>
      <c r="H714" s="1" t="s">
        <v>72</v>
      </c>
      <c r="I714" s="1">
        <v>9000.0</v>
      </c>
      <c r="J714" s="1"/>
      <c r="K714" s="1"/>
      <c r="L714" s="1" t="s">
        <v>226</v>
      </c>
      <c r="M714" s="1" t="s">
        <v>4610</v>
      </c>
      <c r="N714" s="1" t="s">
        <v>285</v>
      </c>
      <c r="O714" s="1" t="s">
        <v>286</v>
      </c>
      <c r="P714" s="2" t="s">
        <v>4611</v>
      </c>
      <c r="Q714" s="1" t="s">
        <v>56</v>
      </c>
      <c r="R714" s="1"/>
      <c r="S714" s="1" t="s">
        <v>784</v>
      </c>
      <c r="T714" s="1">
        <v>4205407.0</v>
      </c>
      <c r="U714" s="1" t="s">
        <v>2497</v>
      </c>
      <c r="V714" s="1" t="s">
        <v>222</v>
      </c>
      <c r="W714" s="1" t="s">
        <v>78</v>
      </c>
      <c r="X714" s="1"/>
      <c r="Y714" s="1"/>
      <c r="Z714" s="1" t="s">
        <v>292</v>
      </c>
      <c r="AA714" s="1" t="s">
        <v>4443</v>
      </c>
      <c r="AB714" s="1" t="str">
        <f>"33337122007806"</f>
        <v>33337122007806</v>
      </c>
      <c r="AC714" s="1"/>
      <c r="AD714" s="1"/>
      <c r="AE714" s="1"/>
      <c r="AF714" s="1">
        <v>-48.55722</v>
      </c>
      <c r="AG714" s="1">
        <v>-27.594168</v>
      </c>
      <c r="AH714" s="1" t="s">
        <v>2588</v>
      </c>
      <c r="AI714" s="1"/>
      <c r="AJ714" s="1" t="s">
        <v>226</v>
      </c>
      <c r="AK714" s="1"/>
      <c r="AL714" s="1" t="s">
        <v>128</v>
      </c>
      <c r="AM714" s="1" t="s">
        <v>65</v>
      </c>
      <c r="AN714" s="1" t="s">
        <v>1462</v>
      </c>
      <c r="AO714" s="2" t="s">
        <v>3890</v>
      </c>
      <c r="AP714" s="2" t="s">
        <v>4612</v>
      </c>
      <c r="AQ714" s="1" t="s">
        <v>132</v>
      </c>
      <c r="AR714" s="1" t="s">
        <v>952</v>
      </c>
      <c r="AS714" s="1"/>
      <c r="AT714" s="2" t="s">
        <v>70</v>
      </c>
    </row>
    <row r="715">
      <c r="A715" s="1">
        <v>2042614.0</v>
      </c>
      <c r="B715" s="1" t="s">
        <v>116</v>
      </c>
      <c r="C715" s="1" t="s">
        <v>117</v>
      </c>
      <c r="D715" s="1" t="s">
        <v>46</v>
      </c>
      <c r="E715" s="1" t="s">
        <v>4613</v>
      </c>
      <c r="F715" s="1"/>
      <c r="G715" s="1" t="s">
        <v>119</v>
      </c>
      <c r="H715" s="1" t="s">
        <v>50</v>
      </c>
      <c r="I715" s="1">
        <v>1100.0</v>
      </c>
      <c r="J715" s="1"/>
      <c r="K715" s="1"/>
      <c r="L715" s="1" t="s">
        <v>295</v>
      </c>
      <c r="M715" s="1" t="s">
        <v>4614</v>
      </c>
      <c r="N715" s="1" t="s">
        <v>285</v>
      </c>
      <c r="O715" s="1" t="s">
        <v>286</v>
      </c>
      <c r="P715" s="2" t="s">
        <v>4615</v>
      </c>
      <c r="Q715" s="1" t="s">
        <v>56</v>
      </c>
      <c r="R715" s="2" t="s">
        <v>4616</v>
      </c>
      <c r="S715" s="1" t="s">
        <v>288</v>
      </c>
      <c r="T715" s="1">
        <v>2207306.0</v>
      </c>
      <c r="U715" s="1" t="s">
        <v>4617</v>
      </c>
      <c r="V715" s="1" t="s">
        <v>290</v>
      </c>
      <c r="W715" s="1" t="s">
        <v>291</v>
      </c>
      <c r="X715" s="1"/>
      <c r="Y715" s="1" t="str">
        <f>"02020000077202118"</f>
        <v>02020000077202118</v>
      </c>
      <c r="Z715" s="1" t="s">
        <v>292</v>
      </c>
      <c r="AA715" s="1" t="s">
        <v>4618</v>
      </c>
      <c r="AB715" s="1" t="str">
        <f>"69606275000170"</f>
        <v>69606275000170</v>
      </c>
      <c r="AC715" s="1"/>
      <c r="AD715" s="1"/>
      <c r="AE715" s="1"/>
      <c r="AF715" s="1">
        <v>-42.78389</v>
      </c>
      <c r="AG715" s="1">
        <v>-5.065</v>
      </c>
      <c r="AH715" s="1" t="s">
        <v>4619</v>
      </c>
      <c r="AI715" s="1"/>
      <c r="AJ715" s="1" t="s">
        <v>295</v>
      </c>
      <c r="AK715" s="1"/>
      <c r="AL715" s="1" t="s">
        <v>128</v>
      </c>
      <c r="AM715" s="1" t="s">
        <v>65</v>
      </c>
      <c r="AN715" s="1" t="s">
        <v>296</v>
      </c>
      <c r="AO715" s="2" t="s">
        <v>4620</v>
      </c>
      <c r="AP715" s="2" t="s">
        <v>4621</v>
      </c>
      <c r="AQ715" s="1" t="s">
        <v>132</v>
      </c>
      <c r="AR715" s="1" t="s">
        <v>531</v>
      </c>
      <c r="AS715" s="1"/>
      <c r="AT715" s="2" t="s">
        <v>70</v>
      </c>
    </row>
    <row r="716">
      <c r="A716" s="1">
        <v>2042615.0</v>
      </c>
      <c r="B716" s="1" t="s">
        <v>116</v>
      </c>
      <c r="C716" s="1" t="s">
        <v>117</v>
      </c>
      <c r="D716" s="1" t="s">
        <v>46</v>
      </c>
      <c r="E716" s="1" t="s">
        <v>4622</v>
      </c>
      <c r="F716" s="1"/>
      <c r="G716" s="1" t="s">
        <v>119</v>
      </c>
      <c r="H716" s="1" t="s">
        <v>50</v>
      </c>
      <c r="I716" s="1">
        <v>5000.0</v>
      </c>
      <c r="J716" s="1"/>
      <c r="K716" s="1"/>
      <c r="L716" s="1" t="s">
        <v>295</v>
      </c>
      <c r="M716" s="1" t="s">
        <v>4623</v>
      </c>
      <c r="N716" s="1" t="s">
        <v>186</v>
      </c>
      <c r="O716" s="1" t="s">
        <v>95</v>
      </c>
      <c r="P716" s="2" t="s">
        <v>4615</v>
      </c>
      <c r="Q716" s="1" t="s">
        <v>56</v>
      </c>
      <c r="R716" s="2" t="s">
        <v>4616</v>
      </c>
      <c r="S716" s="1" t="s">
        <v>288</v>
      </c>
      <c r="T716" s="1">
        <v>2211001.0</v>
      </c>
      <c r="U716" s="1" t="s">
        <v>527</v>
      </c>
      <c r="V716" s="1" t="s">
        <v>290</v>
      </c>
      <c r="W716" s="1" t="s">
        <v>172</v>
      </c>
      <c r="X716" s="1"/>
      <c r="Y716" s="1" t="str">
        <f>"02020000078202154"</f>
        <v>02020000078202154</v>
      </c>
      <c r="Z716" s="1" t="s">
        <v>101</v>
      </c>
      <c r="AA716" s="1" t="s">
        <v>4624</v>
      </c>
      <c r="AB716" s="1" t="str">
        <f>"34966127000181"</f>
        <v>34966127000181</v>
      </c>
      <c r="AC716" s="1"/>
      <c r="AD716" s="1"/>
      <c r="AE716" s="1"/>
      <c r="AF716" s="1">
        <v>-42.78389</v>
      </c>
      <c r="AG716" s="1">
        <v>-5.064723</v>
      </c>
      <c r="AH716" s="1" t="s">
        <v>354</v>
      </c>
      <c r="AI716" s="1"/>
      <c r="AJ716" s="1" t="s">
        <v>295</v>
      </c>
      <c r="AK716" s="1"/>
      <c r="AL716" s="1" t="s">
        <v>128</v>
      </c>
      <c r="AM716" s="1" t="s">
        <v>65</v>
      </c>
      <c r="AN716" s="1" t="s">
        <v>296</v>
      </c>
      <c r="AO716" s="2" t="s">
        <v>4620</v>
      </c>
      <c r="AP716" s="2" t="s">
        <v>4625</v>
      </c>
      <c r="AQ716" s="1" t="s">
        <v>132</v>
      </c>
      <c r="AR716" s="1" t="s">
        <v>531</v>
      </c>
      <c r="AS716" s="1"/>
      <c r="AT716" s="2" t="s">
        <v>70</v>
      </c>
    </row>
    <row r="717">
      <c r="A717" s="1">
        <v>2042616.0</v>
      </c>
      <c r="B717" s="1" t="s">
        <v>116</v>
      </c>
      <c r="C717" s="1" t="s">
        <v>117</v>
      </c>
      <c r="D717" s="1" t="s">
        <v>46</v>
      </c>
      <c r="E717" s="1" t="s">
        <v>4626</v>
      </c>
      <c r="F717" s="1"/>
      <c r="G717" s="1" t="s">
        <v>119</v>
      </c>
      <c r="H717" s="1" t="s">
        <v>50</v>
      </c>
      <c r="I717" s="1">
        <v>1100.0</v>
      </c>
      <c r="J717" s="1"/>
      <c r="K717" s="1"/>
      <c r="L717" s="1" t="s">
        <v>295</v>
      </c>
      <c r="M717" s="1" t="s">
        <v>4627</v>
      </c>
      <c r="N717" s="1" t="s">
        <v>285</v>
      </c>
      <c r="O717" s="1" t="s">
        <v>286</v>
      </c>
      <c r="P717" s="2" t="s">
        <v>4615</v>
      </c>
      <c r="Q717" s="1" t="s">
        <v>56</v>
      </c>
      <c r="R717" s="2" t="s">
        <v>4616</v>
      </c>
      <c r="S717" s="1" t="s">
        <v>288</v>
      </c>
      <c r="T717" s="1">
        <v>2210003.0</v>
      </c>
      <c r="U717" s="1" t="s">
        <v>4628</v>
      </c>
      <c r="V717" s="1" t="s">
        <v>290</v>
      </c>
      <c r="W717" s="1" t="s">
        <v>291</v>
      </c>
      <c r="X717" s="1"/>
      <c r="Y717" s="1" t="str">
        <f>"02020000079202107"</f>
        <v>02020000079202107</v>
      </c>
      <c r="Z717" s="1" t="s">
        <v>292</v>
      </c>
      <c r="AA717" s="1" t="s">
        <v>4629</v>
      </c>
      <c r="AB717" s="1" t="str">
        <f>"14916246000112"</f>
        <v>14916246000112</v>
      </c>
      <c r="AC717" s="1"/>
      <c r="AD717" s="1"/>
      <c r="AE717" s="1"/>
      <c r="AF717" s="1">
        <v>-42.78389</v>
      </c>
      <c r="AG717" s="1">
        <v>-5.065</v>
      </c>
      <c r="AH717" s="1" t="s">
        <v>4630</v>
      </c>
      <c r="AI717" s="1"/>
      <c r="AJ717" s="1" t="s">
        <v>295</v>
      </c>
      <c r="AK717" s="1"/>
      <c r="AL717" s="1" t="s">
        <v>128</v>
      </c>
      <c r="AM717" s="1" t="s">
        <v>65</v>
      </c>
      <c r="AN717" s="1" t="s">
        <v>296</v>
      </c>
      <c r="AO717" s="2" t="s">
        <v>4620</v>
      </c>
      <c r="AP717" s="2" t="s">
        <v>4631</v>
      </c>
      <c r="AQ717" s="1" t="s">
        <v>132</v>
      </c>
      <c r="AR717" s="1" t="s">
        <v>531</v>
      </c>
      <c r="AS717" s="1"/>
      <c r="AT717" s="2" t="s">
        <v>70</v>
      </c>
    </row>
    <row r="718">
      <c r="A718" s="1">
        <v>2042601.0</v>
      </c>
      <c r="B718" s="1" t="s">
        <v>116</v>
      </c>
      <c r="C718" s="1" t="s">
        <v>117</v>
      </c>
      <c r="D718" s="1" t="s">
        <v>46</v>
      </c>
      <c r="E718" s="1" t="s">
        <v>4632</v>
      </c>
      <c r="F718" s="1"/>
      <c r="G718" s="1" t="s">
        <v>119</v>
      </c>
      <c r="H718" s="1" t="s">
        <v>50</v>
      </c>
      <c r="I718" s="1">
        <v>1100.0</v>
      </c>
      <c r="J718" s="1"/>
      <c r="K718" s="1"/>
      <c r="L718" s="1" t="s">
        <v>295</v>
      </c>
      <c r="M718" s="1" t="s">
        <v>4633</v>
      </c>
      <c r="N718" s="1" t="s">
        <v>285</v>
      </c>
      <c r="O718" s="1" t="s">
        <v>286</v>
      </c>
      <c r="P718" s="2" t="s">
        <v>4634</v>
      </c>
      <c r="Q718" s="1" t="s">
        <v>56</v>
      </c>
      <c r="R718" s="2" t="s">
        <v>4616</v>
      </c>
      <c r="S718" s="1" t="s">
        <v>288</v>
      </c>
      <c r="T718" s="1">
        <v>2210706.0</v>
      </c>
      <c r="U718" s="1" t="s">
        <v>4397</v>
      </c>
      <c r="V718" s="1" t="s">
        <v>290</v>
      </c>
      <c r="W718" s="1" t="s">
        <v>291</v>
      </c>
      <c r="X718" s="1"/>
      <c r="Y718" s="1" t="str">
        <f>"02020000074202176"</f>
        <v>02020000074202176</v>
      </c>
      <c r="Z718" s="1" t="s">
        <v>292</v>
      </c>
      <c r="AA718" s="1" t="s">
        <v>4635</v>
      </c>
      <c r="AB718" s="1" t="str">
        <f>"01161004000114"</f>
        <v>01161004000114</v>
      </c>
      <c r="AC718" s="1"/>
      <c r="AD718" s="1"/>
      <c r="AE718" s="1"/>
      <c r="AF718" s="1">
        <v>-42.784164</v>
      </c>
      <c r="AG718" s="1">
        <v>-5.065</v>
      </c>
      <c r="AH718" s="1" t="s">
        <v>4636</v>
      </c>
      <c r="AI718" s="1"/>
      <c r="AJ718" s="1" t="s">
        <v>295</v>
      </c>
      <c r="AK718" s="1"/>
      <c r="AL718" s="1" t="s">
        <v>128</v>
      </c>
      <c r="AM718" s="1" t="s">
        <v>65</v>
      </c>
      <c r="AN718" s="1" t="s">
        <v>296</v>
      </c>
      <c r="AO718" s="2" t="s">
        <v>4637</v>
      </c>
      <c r="AP718" s="2" t="s">
        <v>4638</v>
      </c>
      <c r="AQ718" s="1" t="s">
        <v>132</v>
      </c>
      <c r="AR718" s="1" t="s">
        <v>531</v>
      </c>
      <c r="AS718" s="1"/>
      <c r="AT718" s="2" t="s">
        <v>70</v>
      </c>
    </row>
    <row r="719">
      <c r="A719" s="1">
        <v>2042669.0</v>
      </c>
      <c r="B719" s="1" t="s">
        <v>116</v>
      </c>
      <c r="C719" s="1" t="s">
        <v>117</v>
      </c>
      <c r="D719" s="1" t="s">
        <v>46</v>
      </c>
      <c r="E719" s="1" t="s">
        <v>4639</v>
      </c>
      <c r="F719" s="1"/>
      <c r="G719" s="1" t="s">
        <v>119</v>
      </c>
      <c r="H719" s="1" t="s">
        <v>50</v>
      </c>
      <c r="I719" s="1">
        <v>11500.0</v>
      </c>
      <c r="J719" s="1"/>
      <c r="K719" s="1"/>
      <c r="L719" s="1" t="s">
        <v>587</v>
      </c>
      <c r="M719" s="1" t="s">
        <v>4640</v>
      </c>
      <c r="N719" s="1" t="s">
        <v>109</v>
      </c>
      <c r="O719" s="1" t="s">
        <v>110</v>
      </c>
      <c r="P719" s="2" t="s">
        <v>4641</v>
      </c>
      <c r="Q719" s="1" t="s">
        <v>77</v>
      </c>
      <c r="R719" s="2" t="s">
        <v>4616</v>
      </c>
      <c r="S719" s="1" t="s">
        <v>582</v>
      </c>
      <c r="T719" s="1">
        <v>1400100.0</v>
      </c>
      <c r="U719" s="1" t="s">
        <v>1123</v>
      </c>
      <c r="V719" s="1" t="s">
        <v>584</v>
      </c>
      <c r="W719" s="1" t="s">
        <v>100</v>
      </c>
      <c r="X719" s="1"/>
      <c r="Y719" s="1" t="str">
        <f>"02025000056202144"</f>
        <v>02025000056202144</v>
      </c>
      <c r="Z719" s="1" t="s">
        <v>112</v>
      </c>
      <c r="AA719" s="1" t="s">
        <v>4642</v>
      </c>
      <c r="AB719" s="1" t="str">
        <f>"***201822**"</f>
        <v>***201822**</v>
      </c>
      <c r="AC719" s="1"/>
      <c r="AD719" s="1"/>
      <c r="AE719" s="1"/>
      <c r="AF719" s="1">
        <v>-60.696945</v>
      </c>
      <c r="AG719" s="1">
        <v>2.828055</v>
      </c>
      <c r="AH719" s="1" t="s">
        <v>4643</v>
      </c>
      <c r="AI719" s="1"/>
      <c r="AJ719" s="1" t="s">
        <v>587</v>
      </c>
      <c r="AK719" s="1"/>
      <c r="AL719" s="1" t="s">
        <v>128</v>
      </c>
      <c r="AM719" s="1" t="s">
        <v>65</v>
      </c>
      <c r="AN719" s="1"/>
      <c r="AO719" s="2" t="s">
        <v>4400</v>
      </c>
      <c r="AP719" s="2" t="s">
        <v>4644</v>
      </c>
      <c r="AQ719" s="1" t="s">
        <v>132</v>
      </c>
      <c r="AR719" s="1" t="s">
        <v>247</v>
      </c>
      <c r="AS719" s="1"/>
      <c r="AT719" s="2" t="s">
        <v>70</v>
      </c>
    </row>
    <row r="720">
      <c r="A720" s="1">
        <v>2042714.0</v>
      </c>
      <c r="B720" s="1" t="s">
        <v>116</v>
      </c>
      <c r="C720" s="1" t="s">
        <v>117</v>
      </c>
      <c r="D720" s="1" t="s">
        <v>46</v>
      </c>
      <c r="E720" s="1" t="s">
        <v>4645</v>
      </c>
      <c r="F720" s="1"/>
      <c r="G720" s="1" t="s">
        <v>119</v>
      </c>
      <c r="H720" s="1" t="s">
        <v>72</v>
      </c>
      <c r="I720" s="1">
        <v>16200.0</v>
      </c>
      <c r="J720" s="1"/>
      <c r="K720" s="1"/>
      <c r="L720" s="1" t="s">
        <v>142</v>
      </c>
      <c r="M720" s="1" t="s">
        <v>4646</v>
      </c>
      <c r="N720" s="1" t="s">
        <v>53</v>
      </c>
      <c r="O720" s="1" t="s">
        <v>333</v>
      </c>
      <c r="P720" s="2" t="s">
        <v>4641</v>
      </c>
      <c r="Q720" s="1" t="s">
        <v>137</v>
      </c>
      <c r="R720" s="1"/>
      <c r="S720" s="1" t="s">
        <v>220</v>
      </c>
      <c r="T720" s="1">
        <v>3548500.0</v>
      </c>
      <c r="U720" s="1" t="s">
        <v>360</v>
      </c>
      <c r="V720" s="1" t="s">
        <v>139</v>
      </c>
      <c r="W720" s="1" t="s">
        <v>100</v>
      </c>
      <c r="X720" s="1"/>
      <c r="Y720" s="1"/>
      <c r="Z720" s="1" t="s">
        <v>223</v>
      </c>
      <c r="AA720" s="1" t="s">
        <v>893</v>
      </c>
      <c r="AB720" s="1" t="str">
        <f>"20334805000189"</f>
        <v>20334805000189</v>
      </c>
      <c r="AC720" s="1"/>
      <c r="AD720" s="1"/>
      <c r="AE720" s="1"/>
      <c r="AF720" s="1">
        <v>-46.313611</v>
      </c>
      <c r="AG720" s="1">
        <v>-23.917111</v>
      </c>
      <c r="AH720" s="1" t="s">
        <v>4647</v>
      </c>
      <c r="AI720" s="1"/>
      <c r="AJ720" s="1" t="s">
        <v>142</v>
      </c>
      <c r="AK720" s="1"/>
      <c r="AL720" s="1" t="s">
        <v>128</v>
      </c>
      <c r="AM720" s="1" t="s">
        <v>65</v>
      </c>
      <c r="AN720" s="1" t="s">
        <v>4648</v>
      </c>
      <c r="AO720" s="2" t="s">
        <v>4649</v>
      </c>
      <c r="AP720" s="2" t="s">
        <v>4650</v>
      </c>
      <c r="AQ720" s="1" t="s">
        <v>132</v>
      </c>
      <c r="AR720" s="1" t="s">
        <v>1236</v>
      </c>
      <c r="AS720" s="1" t="s">
        <v>4651</v>
      </c>
      <c r="AT720" s="2" t="s">
        <v>70</v>
      </c>
    </row>
    <row r="721">
      <c r="A721" s="1">
        <v>2042670.0</v>
      </c>
      <c r="B721" s="1" t="s">
        <v>116</v>
      </c>
      <c r="C721" s="1" t="s">
        <v>117</v>
      </c>
      <c r="D721" s="1" t="s">
        <v>46</v>
      </c>
      <c r="E721" s="1" t="s">
        <v>4652</v>
      </c>
      <c r="F721" s="1"/>
      <c r="G721" s="1" t="s">
        <v>119</v>
      </c>
      <c r="H721" s="1" t="s">
        <v>50</v>
      </c>
      <c r="I721" s="1">
        <v>21500.0</v>
      </c>
      <c r="J721" s="1"/>
      <c r="K721" s="1"/>
      <c r="L721" s="1" t="s">
        <v>587</v>
      </c>
      <c r="M721" s="1" t="s">
        <v>4653</v>
      </c>
      <c r="N721" s="1" t="s">
        <v>109</v>
      </c>
      <c r="O721" s="1" t="s">
        <v>110</v>
      </c>
      <c r="P721" s="2" t="s">
        <v>4654</v>
      </c>
      <c r="Q721" s="1" t="s">
        <v>56</v>
      </c>
      <c r="R721" s="2" t="s">
        <v>4616</v>
      </c>
      <c r="S721" s="1" t="s">
        <v>582</v>
      </c>
      <c r="T721" s="1">
        <v>1400472.0</v>
      </c>
      <c r="U721" s="1" t="s">
        <v>4655</v>
      </c>
      <c r="V721" s="1" t="s">
        <v>584</v>
      </c>
      <c r="W721" s="1" t="s">
        <v>100</v>
      </c>
      <c r="X721" s="1"/>
      <c r="Y721" s="1" t="str">
        <f>"02025000057202199"</f>
        <v>02025000057202199</v>
      </c>
      <c r="Z721" s="1" t="s">
        <v>112</v>
      </c>
      <c r="AA721" s="1" t="s">
        <v>4656</v>
      </c>
      <c r="AB721" s="1" t="str">
        <f>"***140042**"</f>
        <v>***140042**</v>
      </c>
      <c r="AC721" s="1"/>
      <c r="AD721" s="1"/>
      <c r="AE721" s="1"/>
      <c r="AF721" s="1">
        <v>-60.696945</v>
      </c>
      <c r="AG721" s="1">
        <v>2.828055</v>
      </c>
      <c r="AH721" s="1" t="s">
        <v>4657</v>
      </c>
      <c r="AI721" s="1"/>
      <c r="AJ721" s="1" t="s">
        <v>587</v>
      </c>
      <c r="AK721" s="1"/>
      <c r="AL721" s="1" t="s">
        <v>128</v>
      </c>
      <c r="AM721" s="1" t="s">
        <v>65</v>
      </c>
      <c r="AN721" s="1"/>
      <c r="AO721" s="2" t="s">
        <v>4400</v>
      </c>
      <c r="AP721" s="2" t="s">
        <v>4658</v>
      </c>
      <c r="AQ721" s="1" t="s">
        <v>132</v>
      </c>
      <c r="AR721" s="1" t="s">
        <v>247</v>
      </c>
      <c r="AS721" s="1"/>
      <c r="AT721" s="2" t="s">
        <v>70</v>
      </c>
    </row>
    <row r="722">
      <c r="A722" s="1">
        <v>2042796.0</v>
      </c>
      <c r="B722" s="1" t="s">
        <v>116</v>
      </c>
      <c r="C722" s="1" t="s">
        <v>117</v>
      </c>
      <c r="D722" s="1" t="s">
        <v>46</v>
      </c>
      <c r="E722" s="1" t="s">
        <v>4659</v>
      </c>
      <c r="F722" s="1"/>
      <c r="G722" s="1" t="s">
        <v>119</v>
      </c>
      <c r="H722" s="1" t="s">
        <v>72</v>
      </c>
      <c r="I722" s="1">
        <v>1500.0</v>
      </c>
      <c r="J722" s="1"/>
      <c r="K722" s="1"/>
      <c r="L722" s="1" t="s">
        <v>485</v>
      </c>
      <c r="M722" s="1" t="s">
        <v>4660</v>
      </c>
      <c r="N722" s="1" t="s">
        <v>109</v>
      </c>
      <c r="O722" s="1" t="s">
        <v>110</v>
      </c>
      <c r="P722" s="2" t="s">
        <v>4661</v>
      </c>
      <c r="Q722" s="1" t="s">
        <v>56</v>
      </c>
      <c r="R722" s="2" t="s">
        <v>4616</v>
      </c>
      <c r="S722" s="1" t="s">
        <v>488</v>
      </c>
      <c r="T722" s="1">
        <v>1721000.0</v>
      </c>
      <c r="U722" s="1" t="s">
        <v>886</v>
      </c>
      <c r="V722" s="1" t="s">
        <v>490</v>
      </c>
      <c r="W722" s="1" t="s">
        <v>172</v>
      </c>
      <c r="X722" s="1"/>
      <c r="Y722" s="1" t="str">
        <f>"02029000064202151"</f>
        <v>02029000064202151</v>
      </c>
      <c r="Z722" s="1" t="s">
        <v>112</v>
      </c>
      <c r="AA722" s="1" t="s">
        <v>4662</v>
      </c>
      <c r="AB722" s="1" t="str">
        <f>"25029864000167"</f>
        <v>25029864000167</v>
      </c>
      <c r="AC722" s="1"/>
      <c r="AD722" s="1"/>
      <c r="AE722" s="1"/>
      <c r="AF722" s="1">
        <v>-48.334444</v>
      </c>
      <c r="AG722" s="1">
        <v>-10.176389</v>
      </c>
      <c r="AH722" s="1" t="s">
        <v>4663</v>
      </c>
      <c r="AI722" s="1"/>
      <c r="AJ722" s="1" t="s">
        <v>485</v>
      </c>
      <c r="AK722" s="1"/>
      <c r="AL722" s="1" t="s">
        <v>128</v>
      </c>
      <c r="AM722" s="1" t="s">
        <v>65</v>
      </c>
      <c r="AN722" s="1" t="s">
        <v>4664</v>
      </c>
      <c r="AO722" s="2" t="s">
        <v>4275</v>
      </c>
      <c r="AP722" s="2" t="s">
        <v>4665</v>
      </c>
      <c r="AQ722" s="1" t="s">
        <v>132</v>
      </c>
      <c r="AR722" s="1" t="s">
        <v>133</v>
      </c>
      <c r="AS722" s="1" t="s">
        <v>4666</v>
      </c>
      <c r="AT722" s="2" t="s">
        <v>70</v>
      </c>
    </row>
    <row r="723">
      <c r="A723" s="1">
        <v>2042598.0</v>
      </c>
      <c r="B723" s="1" t="s">
        <v>116</v>
      </c>
      <c r="C723" s="1" t="s">
        <v>117</v>
      </c>
      <c r="D723" s="1" t="s">
        <v>46</v>
      </c>
      <c r="E723" s="1" t="s">
        <v>4667</v>
      </c>
      <c r="F723" s="1"/>
      <c r="G723" s="1" t="s">
        <v>119</v>
      </c>
      <c r="H723" s="1" t="s">
        <v>50</v>
      </c>
      <c r="I723" s="1">
        <v>5000.0</v>
      </c>
      <c r="J723" s="1"/>
      <c r="K723" s="1"/>
      <c r="L723" s="1" t="s">
        <v>295</v>
      </c>
      <c r="M723" s="1" t="s">
        <v>4623</v>
      </c>
      <c r="N723" s="1" t="s">
        <v>186</v>
      </c>
      <c r="O723" s="1" t="s">
        <v>95</v>
      </c>
      <c r="P723" s="2" t="s">
        <v>4668</v>
      </c>
      <c r="Q723" s="1" t="s">
        <v>56</v>
      </c>
      <c r="R723" s="2" t="s">
        <v>4669</v>
      </c>
      <c r="S723" s="1" t="s">
        <v>288</v>
      </c>
      <c r="T723" s="1">
        <v>2203354.0</v>
      </c>
      <c r="U723" s="1" t="s">
        <v>4670</v>
      </c>
      <c r="V723" s="1" t="s">
        <v>290</v>
      </c>
      <c r="W723" s="1" t="s">
        <v>172</v>
      </c>
      <c r="X723" s="1"/>
      <c r="Y723" s="1" t="str">
        <f>"02020000070202198"</f>
        <v>02020000070202198</v>
      </c>
      <c r="Z723" s="1" t="s">
        <v>101</v>
      </c>
      <c r="AA723" s="1" t="s">
        <v>4671</v>
      </c>
      <c r="AB723" s="1" t="str">
        <f>"04847874000300"</f>
        <v>04847874000300</v>
      </c>
      <c r="AC723" s="1"/>
      <c r="AD723" s="1"/>
      <c r="AE723" s="1"/>
      <c r="AF723" s="1">
        <v>-42.78389</v>
      </c>
      <c r="AG723" s="1">
        <v>-5.064723</v>
      </c>
      <c r="AH723" s="1" t="s">
        <v>1162</v>
      </c>
      <c r="AI723" s="1"/>
      <c r="AJ723" s="1" t="s">
        <v>295</v>
      </c>
      <c r="AK723" s="1"/>
      <c r="AL723" s="1" t="s">
        <v>128</v>
      </c>
      <c r="AM723" s="1" t="s">
        <v>65</v>
      </c>
      <c r="AN723" s="1" t="s">
        <v>296</v>
      </c>
      <c r="AO723" s="2" t="s">
        <v>4637</v>
      </c>
      <c r="AP723" s="2" t="s">
        <v>4672</v>
      </c>
      <c r="AQ723" s="1" t="s">
        <v>132</v>
      </c>
      <c r="AR723" s="1" t="s">
        <v>531</v>
      </c>
      <c r="AS723" s="1"/>
      <c r="AT723" s="2" t="s">
        <v>70</v>
      </c>
    </row>
    <row r="724">
      <c r="A724" s="1">
        <v>2042600.0</v>
      </c>
      <c r="B724" s="1" t="s">
        <v>116</v>
      </c>
      <c r="C724" s="1" t="s">
        <v>117</v>
      </c>
      <c r="D724" s="1" t="s">
        <v>46</v>
      </c>
      <c r="E724" s="1" t="s">
        <v>4673</v>
      </c>
      <c r="F724" s="1"/>
      <c r="G724" s="1" t="s">
        <v>119</v>
      </c>
      <c r="H724" s="1" t="s">
        <v>50</v>
      </c>
      <c r="I724" s="1">
        <v>201000.0</v>
      </c>
      <c r="J724" s="1"/>
      <c r="K724" s="1"/>
      <c r="L724" s="1" t="s">
        <v>4674</v>
      </c>
      <c r="M724" s="1" t="s">
        <v>4675</v>
      </c>
      <c r="N724" s="1" t="s">
        <v>186</v>
      </c>
      <c r="O724" s="1" t="s">
        <v>95</v>
      </c>
      <c r="P724" s="2" t="s">
        <v>4676</v>
      </c>
      <c r="Q724" s="1" t="s">
        <v>56</v>
      </c>
      <c r="R724" s="2" t="s">
        <v>4669</v>
      </c>
      <c r="S724" s="1" t="s">
        <v>915</v>
      </c>
      <c r="T724" s="1">
        <v>1506807.0</v>
      </c>
      <c r="U724" s="1" t="s">
        <v>4677</v>
      </c>
      <c r="V724" s="1" t="s">
        <v>917</v>
      </c>
      <c r="W724" s="1" t="s">
        <v>100</v>
      </c>
      <c r="X724" s="1"/>
      <c r="Y724" s="1" t="str">
        <f>"02048000007202143"</f>
        <v>02048000007202143</v>
      </c>
      <c r="Z724" s="1" t="s">
        <v>101</v>
      </c>
      <c r="AA724" s="1" t="s">
        <v>4678</v>
      </c>
      <c r="AB724" s="1" t="str">
        <f>"***040531**"</f>
        <v>***040531**</v>
      </c>
      <c r="AC724" s="1"/>
      <c r="AD724" s="1"/>
      <c r="AE724" s="1"/>
      <c r="AF724" s="1">
        <v>-54.732502</v>
      </c>
      <c r="AG724" s="1">
        <v>-2.419722</v>
      </c>
      <c r="AH724" s="1" t="s">
        <v>4679</v>
      </c>
      <c r="AI724" s="1"/>
      <c r="AJ724" s="1" t="s">
        <v>4674</v>
      </c>
      <c r="AK724" s="1"/>
      <c r="AL724" s="1" t="s">
        <v>128</v>
      </c>
      <c r="AM724" s="1" t="s">
        <v>65</v>
      </c>
      <c r="AN724" s="1" t="s">
        <v>4680</v>
      </c>
      <c r="AO724" s="2" t="s">
        <v>4637</v>
      </c>
      <c r="AP724" s="2" t="s">
        <v>4681</v>
      </c>
      <c r="AQ724" s="1" t="s">
        <v>132</v>
      </c>
      <c r="AR724" s="1" t="s">
        <v>693</v>
      </c>
      <c r="AS724" s="1"/>
      <c r="AT724" s="2" t="s">
        <v>70</v>
      </c>
    </row>
    <row r="725">
      <c r="A725" s="1">
        <v>2042878.0</v>
      </c>
      <c r="B725" s="1" t="s">
        <v>116</v>
      </c>
      <c r="C725" s="1" t="s">
        <v>117</v>
      </c>
      <c r="D725" s="1" t="s">
        <v>46</v>
      </c>
      <c r="E725" s="1" t="s">
        <v>4682</v>
      </c>
      <c r="F725" s="1"/>
      <c r="G725" s="1" t="s">
        <v>119</v>
      </c>
      <c r="H725" s="1" t="s">
        <v>50</v>
      </c>
      <c r="I725" s="1">
        <v>161500.0</v>
      </c>
      <c r="J725" s="1"/>
      <c r="K725" s="1"/>
      <c r="L725" s="1" t="s">
        <v>327</v>
      </c>
      <c r="M725" s="1" t="s">
        <v>4683</v>
      </c>
      <c r="N725" s="1" t="s">
        <v>186</v>
      </c>
      <c r="O725" s="1" t="s">
        <v>95</v>
      </c>
      <c r="P725" s="2" t="s">
        <v>4684</v>
      </c>
      <c r="Q725" s="1" t="s">
        <v>77</v>
      </c>
      <c r="R725" s="2" t="s">
        <v>4669</v>
      </c>
      <c r="S725" s="1" t="s">
        <v>1613</v>
      </c>
      <c r="T725" s="1">
        <v>5103403.0</v>
      </c>
      <c r="U725" s="1" t="s">
        <v>4685</v>
      </c>
      <c r="V725" s="1" t="s">
        <v>323</v>
      </c>
      <c r="W725" s="1" t="s">
        <v>100</v>
      </c>
      <c r="X725" s="1"/>
      <c r="Y725" s="1" t="str">
        <f>"02013000157202154"</f>
        <v>02013000157202154</v>
      </c>
      <c r="Z725" s="1" t="s">
        <v>101</v>
      </c>
      <c r="AA725" s="1" t="s">
        <v>4686</v>
      </c>
      <c r="AB725" s="1" t="str">
        <f>"04227782000157"</f>
        <v>04227782000157</v>
      </c>
      <c r="AC725" s="1"/>
      <c r="AD725" s="1"/>
      <c r="AE725" s="1"/>
      <c r="AF725" s="1">
        <v>-47.933056</v>
      </c>
      <c r="AG725" s="1">
        <v>-15.83</v>
      </c>
      <c r="AH725" s="1" t="s">
        <v>4687</v>
      </c>
      <c r="AI725" s="1"/>
      <c r="AJ725" s="1" t="s">
        <v>327</v>
      </c>
      <c r="AK725" s="1"/>
      <c r="AL725" s="1" t="s">
        <v>128</v>
      </c>
      <c r="AM725" s="1" t="s">
        <v>65</v>
      </c>
      <c r="AN725" s="1" t="s">
        <v>4688</v>
      </c>
      <c r="AO725" s="2" t="s">
        <v>4081</v>
      </c>
      <c r="AP725" s="2" t="s">
        <v>4689</v>
      </c>
      <c r="AQ725" s="1" t="s">
        <v>132</v>
      </c>
      <c r="AR725" s="1" t="s">
        <v>247</v>
      </c>
      <c r="AS725" s="1"/>
      <c r="AT725" s="2" t="s">
        <v>70</v>
      </c>
    </row>
    <row r="726">
      <c r="A726" s="1">
        <v>2042879.0</v>
      </c>
      <c r="B726" s="1" t="s">
        <v>116</v>
      </c>
      <c r="C726" s="1" t="s">
        <v>117</v>
      </c>
      <c r="D726" s="1" t="s">
        <v>46</v>
      </c>
      <c r="E726" s="1" t="s">
        <v>4690</v>
      </c>
      <c r="F726" s="1"/>
      <c r="G726" s="1" t="s">
        <v>119</v>
      </c>
      <c r="H726" s="1" t="s">
        <v>50</v>
      </c>
      <c r="I726" s="1">
        <v>101500.0</v>
      </c>
      <c r="J726" s="1"/>
      <c r="K726" s="1"/>
      <c r="L726" s="1" t="s">
        <v>327</v>
      </c>
      <c r="M726" s="1" t="s">
        <v>4691</v>
      </c>
      <c r="N726" s="1" t="s">
        <v>109</v>
      </c>
      <c r="O726" s="1" t="s">
        <v>110</v>
      </c>
      <c r="P726" s="2" t="s">
        <v>4692</v>
      </c>
      <c r="Q726" s="1" t="s">
        <v>56</v>
      </c>
      <c r="R726" s="2" t="s">
        <v>4616</v>
      </c>
      <c r="S726" s="1" t="s">
        <v>220</v>
      </c>
      <c r="T726" s="1">
        <v>5105150.0</v>
      </c>
      <c r="U726" s="1" t="s">
        <v>4693</v>
      </c>
      <c r="V726" s="1" t="s">
        <v>323</v>
      </c>
      <c r="W726" s="1" t="s">
        <v>100</v>
      </c>
      <c r="X726" s="1"/>
      <c r="Y726" s="1" t="str">
        <f>"02013000159202143"</f>
        <v>02013000159202143</v>
      </c>
      <c r="Z726" s="1" t="s">
        <v>112</v>
      </c>
      <c r="AA726" s="1" t="s">
        <v>4694</v>
      </c>
      <c r="AB726" s="1" t="str">
        <f>"08765557000125"</f>
        <v>08765557000125</v>
      </c>
      <c r="AC726" s="1"/>
      <c r="AD726" s="1"/>
      <c r="AE726" s="1"/>
      <c r="AF726" s="1">
        <v>-58.767498</v>
      </c>
      <c r="AG726" s="1">
        <v>-11.436666</v>
      </c>
      <c r="AH726" s="1" t="s">
        <v>4695</v>
      </c>
      <c r="AI726" s="1"/>
      <c r="AJ726" s="1" t="s">
        <v>327</v>
      </c>
      <c r="AK726" s="1"/>
      <c r="AL726" s="1" t="s">
        <v>128</v>
      </c>
      <c r="AM726" s="1" t="s">
        <v>65</v>
      </c>
      <c r="AN726" s="1" t="s">
        <v>4688</v>
      </c>
      <c r="AO726" s="2" t="s">
        <v>4081</v>
      </c>
      <c r="AP726" s="2" t="s">
        <v>4696</v>
      </c>
      <c r="AQ726" s="1" t="s">
        <v>132</v>
      </c>
      <c r="AR726" s="1" t="s">
        <v>247</v>
      </c>
      <c r="AS726" s="1"/>
      <c r="AT726" s="2" t="s">
        <v>70</v>
      </c>
    </row>
    <row r="727">
      <c r="A727" s="1">
        <v>2042880.0</v>
      </c>
      <c r="B727" s="1" t="s">
        <v>116</v>
      </c>
      <c r="C727" s="1" t="s">
        <v>117</v>
      </c>
      <c r="D727" s="1" t="s">
        <v>46</v>
      </c>
      <c r="E727" s="1" t="s">
        <v>4697</v>
      </c>
      <c r="F727" s="1"/>
      <c r="G727" s="1" t="s">
        <v>119</v>
      </c>
      <c r="H727" s="1" t="s">
        <v>72</v>
      </c>
      <c r="I727" s="1">
        <v>354755.94</v>
      </c>
      <c r="J727" s="1"/>
      <c r="K727" s="1"/>
      <c r="L727" s="1" t="s">
        <v>327</v>
      </c>
      <c r="M727" s="1" t="s">
        <v>4698</v>
      </c>
      <c r="N727" s="1" t="s">
        <v>109</v>
      </c>
      <c r="O727" s="1" t="s">
        <v>110</v>
      </c>
      <c r="P727" s="2" t="s">
        <v>4692</v>
      </c>
      <c r="Q727" s="1" t="s">
        <v>137</v>
      </c>
      <c r="R727" s="1"/>
      <c r="S727" s="1" t="s">
        <v>1639</v>
      </c>
      <c r="T727" s="1">
        <v>5103403.0</v>
      </c>
      <c r="U727" s="1" t="s">
        <v>4685</v>
      </c>
      <c r="V727" s="1" t="s">
        <v>323</v>
      </c>
      <c r="W727" s="1" t="s">
        <v>100</v>
      </c>
      <c r="X727" s="1"/>
      <c r="Y727" s="1" t="str">
        <f>"02013000160202178"</f>
        <v>02013000160202178</v>
      </c>
      <c r="Z727" s="1" t="s">
        <v>112</v>
      </c>
      <c r="AA727" s="1" t="s">
        <v>4686</v>
      </c>
      <c r="AB727" s="1" t="str">
        <f>"04227782000157"</f>
        <v>04227782000157</v>
      </c>
      <c r="AC727" s="1"/>
      <c r="AD727" s="1"/>
      <c r="AE727" s="1"/>
      <c r="AF727" s="1">
        <v>-47.933056</v>
      </c>
      <c r="AG727" s="1">
        <v>-15.83</v>
      </c>
      <c r="AH727" s="1" t="s">
        <v>4687</v>
      </c>
      <c r="AI727" s="1"/>
      <c r="AJ727" s="1" t="s">
        <v>327</v>
      </c>
      <c r="AK727" s="1"/>
      <c r="AL727" s="1" t="s">
        <v>128</v>
      </c>
      <c r="AM727" s="1" t="s">
        <v>65</v>
      </c>
      <c r="AN727" s="1" t="s">
        <v>4688</v>
      </c>
      <c r="AO727" s="2" t="s">
        <v>4081</v>
      </c>
      <c r="AP727" s="2" t="s">
        <v>4699</v>
      </c>
      <c r="AQ727" s="1" t="s">
        <v>132</v>
      </c>
      <c r="AR727" s="1" t="s">
        <v>133</v>
      </c>
      <c r="AS727" s="1"/>
      <c r="AT727" s="2" t="s">
        <v>70</v>
      </c>
    </row>
    <row r="728">
      <c r="A728" s="1">
        <v>2043015.0</v>
      </c>
      <c r="B728" s="1" t="s">
        <v>116</v>
      </c>
      <c r="C728" s="1" t="s">
        <v>117</v>
      </c>
      <c r="D728" s="1" t="s">
        <v>46</v>
      </c>
      <c r="E728" s="1" t="s">
        <v>4700</v>
      </c>
      <c r="F728" s="1"/>
      <c r="G728" s="1" t="s">
        <v>119</v>
      </c>
      <c r="H728" s="1" t="s">
        <v>72</v>
      </c>
      <c r="I728" s="1">
        <v>405000.0</v>
      </c>
      <c r="J728" s="1"/>
      <c r="K728" s="1"/>
      <c r="L728" s="1" t="s">
        <v>104</v>
      </c>
      <c r="M728" s="1" t="s">
        <v>4701</v>
      </c>
      <c r="N728" s="1" t="s">
        <v>109</v>
      </c>
      <c r="O728" s="1" t="s">
        <v>110</v>
      </c>
      <c r="P728" s="2" t="s">
        <v>4702</v>
      </c>
      <c r="Q728" s="1" t="s">
        <v>56</v>
      </c>
      <c r="R728" s="2" t="s">
        <v>4703</v>
      </c>
      <c r="S728" s="1" t="s">
        <v>97</v>
      </c>
      <c r="T728" s="1">
        <v>1302702.0</v>
      </c>
      <c r="U728" s="1" t="s">
        <v>4704</v>
      </c>
      <c r="V728" s="1" t="s">
        <v>99</v>
      </c>
      <c r="W728" s="1" t="s">
        <v>100</v>
      </c>
      <c r="X728" s="1"/>
      <c r="Y728" s="1" t="str">
        <f>"02005000182202137"</f>
        <v>02005000182202137</v>
      </c>
      <c r="Z728" s="1" t="s">
        <v>112</v>
      </c>
      <c r="AA728" s="1" t="s">
        <v>4705</v>
      </c>
      <c r="AB728" s="1" t="str">
        <f>"***400935**"</f>
        <v>***400935**</v>
      </c>
      <c r="AC728" s="1"/>
      <c r="AD728" s="1"/>
      <c r="AE728" s="1"/>
      <c r="AF728" s="1">
        <v>-61.790554</v>
      </c>
      <c r="AG728" s="1">
        <v>-7.951666</v>
      </c>
      <c r="AH728" s="1" t="s">
        <v>4706</v>
      </c>
      <c r="AI728" s="1"/>
      <c r="AJ728" s="1" t="s">
        <v>104</v>
      </c>
      <c r="AK728" s="1"/>
      <c r="AL728" s="1" t="s">
        <v>128</v>
      </c>
      <c r="AM728" s="1" t="s">
        <v>65</v>
      </c>
      <c r="AN728" s="1"/>
      <c r="AO728" s="2" t="s">
        <v>3930</v>
      </c>
      <c r="AP728" s="2" t="s">
        <v>4707</v>
      </c>
      <c r="AQ728" s="1" t="s">
        <v>132</v>
      </c>
      <c r="AR728" s="1" t="s">
        <v>4708</v>
      </c>
      <c r="AS728" s="1"/>
      <c r="AT728" s="2" t="s">
        <v>70</v>
      </c>
    </row>
    <row r="729">
      <c r="A729" s="1">
        <v>2042597.0</v>
      </c>
      <c r="B729" s="1" t="s">
        <v>116</v>
      </c>
      <c r="C729" s="1" t="s">
        <v>117</v>
      </c>
      <c r="D729" s="1" t="s">
        <v>46</v>
      </c>
      <c r="E729" s="1" t="s">
        <v>4709</v>
      </c>
      <c r="F729" s="1"/>
      <c r="G729" s="1" t="s">
        <v>119</v>
      </c>
      <c r="H729" s="1" t="s">
        <v>50</v>
      </c>
      <c r="I729" s="1">
        <v>4000.0</v>
      </c>
      <c r="J729" s="1"/>
      <c r="K729" s="1"/>
      <c r="L729" s="1" t="s">
        <v>295</v>
      </c>
      <c r="M729" s="1" t="s">
        <v>4710</v>
      </c>
      <c r="N729" s="1" t="s">
        <v>186</v>
      </c>
      <c r="O729" s="1" t="s">
        <v>95</v>
      </c>
      <c r="P729" s="2" t="s">
        <v>4711</v>
      </c>
      <c r="Q729" s="1" t="s">
        <v>56</v>
      </c>
      <c r="R729" s="2" t="s">
        <v>4712</v>
      </c>
      <c r="S729" s="1" t="s">
        <v>288</v>
      </c>
      <c r="T729" s="1">
        <v>2203909.0</v>
      </c>
      <c r="U729" s="1" t="s">
        <v>3999</v>
      </c>
      <c r="V729" s="1" t="s">
        <v>290</v>
      </c>
      <c r="W729" s="1" t="s">
        <v>172</v>
      </c>
      <c r="X729" s="1"/>
      <c r="Y729" s="1" t="str">
        <f>"02020000069202163"</f>
        <v>02020000069202163</v>
      </c>
      <c r="Z729" s="1" t="s">
        <v>101</v>
      </c>
      <c r="AA729" s="1" t="s">
        <v>4713</v>
      </c>
      <c r="AB729" s="1" t="str">
        <f>"05231881000256"</f>
        <v>05231881000256</v>
      </c>
      <c r="AC729" s="1"/>
      <c r="AD729" s="1"/>
      <c r="AE729" s="1"/>
      <c r="AF729" s="1">
        <v>-42.78389</v>
      </c>
      <c r="AG729" s="1">
        <v>-5.064723</v>
      </c>
      <c r="AH729" s="1" t="s">
        <v>1550</v>
      </c>
      <c r="AI729" s="1"/>
      <c r="AJ729" s="1" t="s">
        <v>295</v>
      </c>
      <c r="AK729" s="1"/>
      <c r="AL729" s="1" t="s">
        <v>128</v>
      </c>
      <c r="AM729" s="1" t="s">
        <v>65</v>
      </c>
      <c r="AN729" s="1" t="s">
        <v>296</v>
      </c>
      <c r="AO729" s="2" t="s">
        <v>4637</v>
      </c>
      <c r="AP729" s="2" t="s">
        <v>4714</v>
      </c>
      <c r="AQ729" s="1" t="s">
        <v>132</v>
      </c>
      <c r="AR729" s="1" t="s">
        <v>531</v>
      </c>
      <c r="AS729" s="1"/>
      <c r="AT729" s="2" t="s">
        <v>70</v>
      </c>
    </row>
    <row r="730">
      <c r="A730" s="1"/>
      <c r="B730" s="1" t="s">
        <v>46</v>
      </c>
      <c r="C730" s="1" t="s">
        <v>571</v>
      </c>
      <c r="D730" s="1" t="s">
        <v>116</v>
      </c>
      <c r="E730" s="1" t="s">
        <v>4715</v>
      </c>
      <c r="F730" s="1"/>
      <c r="G730" s="1" t="s">
        <v>49</v>
      </c>
      <c r="H730" s="1" t="s">
        <v>50</v>
      </c>
      <c r="I730" s="1">
        <v>5800.0</v>
      </c>
      <c r="J730" s="1"/>
      <c r="K730" s="1" t="s">
        <v>51</v>
      </c>
      <c r="L730" s="1"/>
      <c r="M730" s="1" t="s">
        <v>4716</v>
      </c>
      <c r="N730" s="1" t="s">
        <v>74</v>
      </c>
      <c r="O730" s="1" t="s">
        <v>75</v>
      </c>
      <c r="P730" s="2" t="s">
        <v>4717</v>
      </c>
      <c r="Q730" s="1" t="s">
        <v>56</v>
      </c>
      <c r="R730" s="1"/>
      <c r="S730" s="1" t="s">
        <v>359</v>
      </c>
      <c r="T730" s="1">
        <v>3548500.0</v>
      </c>
      <c r="U730" s="1" t="s">
        <v>360</v>
      </c>
      <c r="V730" s="1" t="s">
        <v>139</v>
      </c>
      <c r="W730" s="1" t="s">
        <v>60</v>
      </c>
      <c r="X730" s="1"/>
      <c r="Y730" s="1"/>
      <c r="Z730" s="1" t="s">
        <v>79</v>
      </c>
      <c r="AA730" s="1" t="s">
        <v>4718</v>
      </c>
      <c r="AB730" s="1" t="str">
        <f t="shared" ref="AB730:AB731" si="48">"***552247**"</f>
        <v>***552247**</v>
      </c>
      <c r="AC730" s="1"/>
      <c r="AD730" s="1" t="s">
        <v>81</v>
      </c>
      <c r="AE730" s="1"/>
      <c r="AF730" s="1">
        <v>-44.382774</v>
      </c>
      <c r="AG730" s="1">
        <v>-24.355</v>
      </c>
      <c r="AH730" s="1" t="s">
        <v>4719</v>
      </c>
      <c r="AI730" s="1"/>
      <c r="AJ730" s="1" t="s">
        <v>142</v>
      </c>
      <c r="AK730" s="1"/>
      <c r="AL730" s="1"/>
      <c r="AM730" s="1" t="s">
        <v>65</v>
      </c>
      <c r="AN730" s="1" t="s">
        <v>4648</v>
      </c>
      <c r="AO730" s="1"/>
      <c r="AP730" s="2" t="s">
        <v>4720</v>
      </c>
      <c r="AQ730" s="1"/>
      <c r="AR730" s="1" t="s">
        <v>4721</v>
      </c>
      <c r="AS730" s="1" t="s">
        <v>4722</v>
      </c>
      <c r="AT730" s="2" t="s">
        <v>70</v>
      </c>
    </row>
    <row r="731">
      <c r="A731" s="1"/>
      <c r="B731" s="1" t="s">
        <v>46</v>
      </c>
      <c r="C731" s="1" t="s">
        <v>571</v>
      </c>
      <c r="D731" s="1" t="s">
        <v>116</v>
      </c>
      <c r="E731" s="1" t="s">
        <v>4723</v>
      </c>
      <c r="F731" s="1"/>
      <c r="G731" s="1" t="s">
        <v>49</v>
      </c>
      <c r="H731" s="1" t="s">
        <v>50</v>
      </c>
      <c r="I731" s="1">
        <v>5800.0</v>
      </c>
      <c r="J731" s="1"/>
      <c r="K731" s="1" t="s">
        <v>51</v>
      </c>
      <c r="L731" s="1"/>
      <c r="M731" s="1" t="s">
        <v>4724</v>
      </c>
      <c r="N731" s="1" t="s">
        <v>74</v>
      </c>
      <c r="O731" s="1" t="s">
        <v>75</v>
      </c>
      <c r="P731" s="2" t="s">
        <v>4725</v>
      </c>
      <c r="Q731" s="1" t="s">
        <v>56</v>
      </c>
      <c r="R731" s="1"/>
      <c r="S731" s="1" t="s">
        <v>280</v>
      </c>
      <c r="T731" s="1">
        <v>3548500.0</v>
      </c>
      <c r="U731" s="1" t="s">
        <v>360</v>
      </c>
      <c r="V731" s="1" t="s">
        <v>139</v>
      </c>
      <c r="W731" s="1" t="s">
        <v>60</v>
      </c>
      <c r="X731" s="1"/>
      <c r="Y731" s="1"/>
      <c r="Z731" s="1" t="s">
        <v>79</v>
      </c>
      <c r="AA731" s="1" t="s">
        <v>4718</v>
      </c>
      <c r="AB731" s="1" t="str">
        <f t="shared" si="48"/>
        <v>***552247**</v>
      </c>
      <c r="AC731" s="1"/>
      <c r="AD731" s="1" t="s">
        <v>81</v>
      </c>
      <c r="AE731" s="1"/>
      <c r="AF731" s="1">
        <v>-45.253887</v>
      </c>
      <c r="AG731" s="1">
        <v>-25.265556</v>
      </c>
      <c r="AH731" s="1" t="s">
        <v>4726</v>
      </c>
      <c r="AI731" s="1"/>
      <c r="AJ731" s="1" t="s">
        <v>142</v>
      </c>
      <c r="AK731" s="1"/>
      <c r="AL731" s="1"/>
      <c r="AM731" s="1" t="s">
        <v>65</v>
      </c>
      <c r="AN731" s="1" t="s">
        <v>4648</v>
      </c>
      <c r="AO731" s="1"/>
      <c r="AP731" s="2" t="s">
        <v>4727</v>
      </c>
      <c r="AQ731" s="1"/>
      <c r="AR731" s="1" t="s">
        <v>4721</v>
      </c>
      <c r="AS731" s="1" t="s">
        <v>4728</v>
      </c>
      <c r="AT731" s="2" t="s">
        <v>70</v>
      </c>
    </row>
    <row r="732">
      <c r="A732" s="1">
        <v>2042647.0</v>
      </c>
      <c r="B732" s="1" t="s">
        <v>116</v>
      </c>
      <c r="C732" s="1" t="s">
        <v>117</v>
      </c>
      <c r="D732" s="1" t="s">
        <v>46</v>
      </c>
      <c r="E732" s="1" t="s">
        <v>4729</v>
      </c>
      <c r="F732" s="1"/>
      <c r="G732" s="1" t="s">
        <v>119</v>
      </c>
      <c r="H732" s="1" t="s">
        <v>50</v>
      </c>
      <c r="I732" s="1">
        <v>30000.0</v>
      </c>
      <c r="J732" s="1"/>
      <c r="K732" s="1"/>
      <c r="L732" s="1" t="s">
        <v>142</v>
      </c>
      <c r="M732" s="1" t="s">
        <v>4730</v>
      </c>
      <c r="N732" s="1" t="s">
        <v>53</v>
      </c>
      <c r="O732" s="1" t="s">
        <v>54</v>
      </c>
      <c r="P732" s="2" t="s">
        <v>4731</v>
      </c>
      <c r="Q732" s="1" t="s">
        <v>56</v>
      </c>
      <c r="R732" s="1"/>
      <c r="S732" s="1" t="s">
        <v>280</v>
      </c>
      <c r="T732" s="1">
        <v>3548500.0</v>
      </c>
      <c r="U732" s="1" t="s">
        <v>360</v>
      </c>
      <c r="V732" s="1" t="s">
        <v>139</v>
      </c>
      <c r="W732" s="1" t="s">
        <v>60</v>
      </c>
      <c r="X732" s="1"/>
      <c r="Y732" s="1" t="str">
        <f>"02027000487202191"</f>
        <v>02027000487202191</v>
      </c>
      <c r="Z732" s="1" t="s">
        <v>223</v>
      </c>
      <c r="AA732" s="1" t="s">
        <v>61</v>
      </c>
      <c r="AB732" s="1" t="str">
        <f>"33000167000101"</f>
        <v>33000167000101</v>
      </c>
      <c r="AC732" s="1"/>
      <c r="AD732" s="1"/>
      <c r="AE732" s="1"/>
      <c r="AF732" s="1">
        <v>-43.438335</v>
      </c>
      <c r="AG732" s="1">
        <v>-25.528055</v>
      </c>
      <c r="AH732" s="1" t="s">
        <v>4732</v>
      </c>
      <c r="AI732" s="1"/>
      <c r="AJ732" s="1" t="s">
        <v>142</v>
      </c>
      <c r="AK732" s="1"/>
      <c r="AL732" s="1" t="s">
        <v>128</v>
      </c>
      <c r="AM732" s="1" t="s">
        <v>65</v>
      </c>
      <c r="AN732" s="1" t="s">
        <v>4648</v>
      </c>
      <c r="AO732" s="2" t="s">
        <v>4463</v>
      </c>
      <c r="AP732" s="2" t="s">
        <v>4733</v>
      </c>
      <c r="AQ732" s="1" t="s">
        <v>132</v>
      </c>
      <c r="AR732" s="1" t="s">
        <v>4500</v>
      </c>
      <c r="AS732" s="1"/>
      <c r="AT732" s="2" t="s">
        <v>70</v>
      </c>
    </row>
    <row r="733">
      <c r="A733" s="1">
        <v>2042987.0</v>
      </c>
      <c r="B733" s="1" t="s">
        <v>116</v>
      </c>
      <c r="C733" s="1" t="s">
        <v>117</v>
      </c>
      <c r="D733" s="1" t="s">
        <v>46</v>
      </c>
      <c r="E733" s="1" t="s">
        <v>4734</v>
      </c>
      <c r="F733" s="1"/>
      <c r="G733" s="1" t="s">
        <v>119</v>
      </c>
      <c r="H733" s="1" t="s">
        <v>50</v>
      </c>
      <c r="I733" s="1">
        <v>60000.0</v>
      </c>
      <c r="J733" s="1"/>
      <c r="K733" s="1"/>
      <c r="L733" s="1" t="s">
        <v>142</v>
      </c>
      <c r="M733" s="1" t="s">
        <v>4735</v>
      </c>
      <c r="N733" s="1" t="s">
        <v>53</v>
      </c>
      <c r="O733" s="1" t="s">
        <v>54</v>
      </c>
      <c r="P733" s="2" t="s">
        <v>4731</v>
      </c>
      <c r="Q733" s="1" t="s">
        <v>137</v>
      </c>
      <c r="R733" s="1"/>
      <c r="S733" s="1"/>
      <c r="T733" s="1">
        <v>3548500.0</v>
      </c>
      <c r="U733" s="1" t="s">
        <v>360</v>
      </c>
      <c r="V733" s="1" t="s">
        <v>139</v>
      </c>
      <c r="W733" s="1" t="s">
        <v>60</v>
      </c>
      <c r="X733" s="1"/>
      <c r="Y733" s="1" t="str">
        <f>"02027000516202114"</f>
        <v>02027000516202114</v>
      </c>
      <c r="Z733" s="1" t="s">
        <v>223</v>
      </c>
      <c r="AA733" s="1" t="s">
        <v>4736</v>
      </c>
      <c r="AB733" s="1" t="str">
        <f>"60498706000157"</f>
        <v>60498706000157</v>
      </c>
      <c r="AC733" s="1"/>
      <c r="AD733" s="1" t="s">
        <v>325</v>
      </c>
      <c r="AE733" s="1"/>
      <c r="AF733" s="1">
        <v>-46.200556</v>
      </c>
      <c r="AG733" s="1">
        <v>-24.209722</v>
      </c>
      <c r="AH733" s="1" t="s">
        <v>4737</v>
      </c>
      <c r="AI733" s="1"/>
      <c r="AJ733" s="1" t="s">
        <v>142</v>
      </c>
      <c r="AK733" s="1" t="s">
        <v>4648</v>
      </c>
      <c r="AL733" s="1" t="s">
        <v>128</v>
      </c>
      <c r="AM733" s="1" t="s">
        <v>65</v>
      </c>
      <c r="AN733" s="1" t="s">
        <v>4648</v>
      </c>
      <c r="AO733" s="2" t="s">
        <v>3930</v>
      </c>
      <c r="AP733" s="2" t="s">
        <v>4738</v>
      </c>
      <c r="AQ733" s="1" t="s">
        <v>132</v>
      </c>
      <c r="AR733" s="1" t="s">
        <v>4739</v>
      </c>
      <c r="AS733" s="1" t="s">
        <v>4740</v>
      </c>
      <c r="AT733" s="2" t="s">
        <v>70</v>
      </c>
    </row>
    <row r="734">
      <c r="A734" s="1">
        <v>2043531.0</v>
      </c>
      <c r="B734" s="1" t="s">
        <v>116</v>
      </c>
      <c r="C734" s="1" t="s">
        <v>117</v>
      </c>
      <c r="D734" s="1" t="s">
        <v>46</v>
      </c>
      <c r="E734" s="1" t="s">
        <v>4741</v>
      </c>
      <c r="F734" s="1"/>
      <c r="G734" s="1" t="s">
        <v>119</v>
      </c>
      <c r="H734" s="1" t="s">
        <v>72</v>
      </c>
      <c r="I734" s="1">
        <v>340000.0</v>
      </c>
      <c r="J734" s="1"/>
      <c r="K734" s="1"/>
      <c r="L734" s="1" t="s">
        <v>2299</v>
      </c>
      <c r="M734" s="1" t="s">
        <v>4742</v>
      </c>
      <c r="N734" s="1" t="s">
        <v>109</v>
      </c>
      <c r="O734" s="1" t="s">
        <v>110</v>
      </c>
      <c r="P734" s="2" t="s">
        <v>4743</v>
      </c>
      <c r="Q734" s="1" t="s">
        <v>56</v>
      </c>
      <c r="R734" s="2" t="s">
        <v>4744</v>
      </c>
      <c r="S734" s="1" t="s">
        <v>1349</v>
      </c>
      <c r="T734" s="1">
        <v>1501576.0</v>
      </c>
      <c r="U734" s="1" t="s">
        <v>4745</v>
      </c>
      <c r="V734" s="1" t="s">
        <v>917</v>
      </c>
      <c r="W734" s="1" t="s">
        <v>100</v>
      </c>
      <c r="X734" s="1"/>
      <c r="Y734" s="1"/>
      <c r="Z734" s="1" t="s">
        <v>112</v>
      </c>
      <c r="AA734" s="1" t="s">
        <v>4746</v>
      </c>
      <c r="AB734" s="1" t="str">
        <f>"***639202**"</f>
        <v>***639202**</v>
      </c>
      <c r="AC734" s="1"/>
      <c r="AD734" s="1"/>
      <c r="AE734" s="1"/>
      <c r="AF734" s="1">
        <v>-48.66275</v>
      </c>
      <c r="AG734" s="1">
        <v>-4.885427</v>
      </c>
      <c r="AH734" s="1" t="s">
        <v>4747</v>
      </c>
      <c r="AI734" s="1"/>
      <c r="AJ734" s="1" t="s">
        <v>2299</v>
      </c>
      <c r="AK734" s="1"/>
      <c r="AL734" s="1" t="s">
        <v>128</v>
      </c>
      <c r="AM734" s="1" t="s">
        <v>65</v>
      </c>
      <c r="AN734" s="1" t="s">
        <v>4748</v>
      </c>
      <c r="AO734" s="2" t="s">
        <v>1643</v>
      </c>
      <c r="AP734" s="2" t="s">
        <v>4749</v>
      </c>
      <c r="AQ734" s="1" t="s">
        <v>132</v>
      </c>
      <c r="AR734" s="1" t="s">
        <v>2068</v>
      </c>
      <c r="AS734" s="1"/>
      <c r="AT734" s="2" t="s">
        <v>70</v>
      </c>
    </row>
    <row r="735">
      <c r="A735" s="1">
        <v>2042732.0</v>
      </c>
      <c r="B735" s="1" t="s">
        <v>116</v>
      </c>
      <c r="C735" s="1" t="s">
        <v>117</v>
      </c>
      <c r="D735" s="1" t="s">
        <v>46</v>
      </c>
      <c r="E735" s="1" t="s">
        <v>4750</v>
      </c>
      <c r="F735" s="1"/>
      <c r="G735" s="1" t="s">
        <v>119</v>
      </c>
      <c r="H735" s="1" t="s">
        <v>50</v>
      </c>
      <c r="I735" s="1">
        <v>1000.0</v>
      </c>
      <c r="J735" s="1"/>
      <c r="K735" s="1"/>
      <c r="L735" s="1" t="s">
        <v>442</v>
      </c>
      <c r="M735" s="1" t="s">
        <v>4751</v>
      </c>
      <c r="N735" s="1" t="s">
        <v>53</v>
      </c>
      <c r="O735" s="1" t="s">
        <v>333</v>
      </c>
      <c r="P735" s="2" t="s">
        <v>4752</v>
      </c>
      <c r="Q735" s="1" t="s">
        <v>56</v>
      </c>
      <c r="R735" s="2" t="s">
        <v>4753</v>
      </c>
      <c r="S735" s="1" t="s">
        <v>220</v>
      </c>
      <c r="T735" s="1">
        <v>2304400.0</v>
      </c>
      <c r="U735" s="1" t="s">
        <v>592</v>
      </c>
      <c r="V735" s="1" t="s">
        <v>439</v>
      </c>
      <c r="W735" s="1" t="s">
        <v>60</v>
      </c>
      <c r="X735" s="1"/>
      <c r="Y735" s="1" t="str">
        <f>"02007000212202195"</f>
        <v>02007000212202195</v>
      </c>
      <c r="Z735" s="1" t="s">
        <v>223</v>
      </c>
      <c r="AA735" s="1" t="s">
        <v>4754</v>
      </c>
      <c r="AB735" s="1" t="str">
        <f>"***769183**"</f>
        <v>***769183**</v>
      </c>
      <c r="AC735" s="1"/>
      <c r="AD735" s="1"/>
      <c r="AE735" s="1"/>
      <c r="AF735" s="1">
        <v>-38.542221</v>
      </c>
      <c r="AG735" s="1">
        <v>-3.764722</v>
      </c>
      <c r="AH735" s="1" t="s">
        <v>4755</v>
      </c>
      <c r="AI735" s="1"/>
      <c r="AJ735" s="1" t="s">
        <v>442</v>
      </c>
      <c r="AK735" s="1"/>
      <c r="AL735" s="1" t="s">
        <v>128</v>
      </c>
      <c r="AM735" s="1" t="s">
        <v>65</v>
      </c>
      <c r="AN735" s="1" t="s">
        <v>3734</v>
      </c>
      <c r="AO735" s="2" t="s">
        <v>4649</v>
      </c>
      <c r="AP735" s="2" t="s">
        <v>4756</v>
      </c>
      <c r="AQ735" s="1" t="s">
        <v>132</v>
      </c>
      <c r="AR735" s="1" t="s">
        <v>693</v>
      </c>
      <c r="AS735" s="1"/>
      <c r="AT735" s="2" t="s">
        <v>70</v>
      </c>
    </row>
    <row r="736">
      <c r="A736" s="1">
        <v>2042876.0</v>
      </c>
      <c r="B736" s="1" t="s">
        <v>116</v>
      </c>
      <c r="C736" s="1" t="s">
        <v>117</v>
      </c>
      <c r="D736" s="1" t="s">
        <v>46</v>
      </c>
      <c r="E736" s="1" t="s">
        <v>4757</v>
      </c>
      <c r="F736" s="1"/>
      <c r="G736" s="1" t="s">
        <v>119</v>
      </c>
      <c r="H736" s="1" t="s">
        <v>72</v>
      </c>
      <c r="I736" s="1">
        <v>10000.0</v>
      </c>
      <c r="J736" s="1"/>
      <c r="K736" s="1"/>
      <c r="L736" s="1" t="s">
        <v>295</v>
      </c>
      <c r="M736" s="1" t="s">
        <v>4758</v>
      </c>
      <c r="N736" s="1" t="s">
        <v>109</v>
      </c>
      <c r="O736" s="1" t="s">
        <v>110</v>
      </c>
      <c r="P736" s="2" t="s">
        <v>4759</v>
      </c>
      <c r="Q736" s="1" t="s">
        <v>77</v>
      </c>
      <c r="R736" s="2" t="s">
        <v>4753</v>
      </c>
      <c r="S736" s="1" t="s">
        <v>220</v>
      </c>
      <c r="T736" s="1">
        <v>2201408.0</v>
      </c>
      <c r="U736" s="1" t="s">
        <v>4760</v>
      </c>
      <c r="V736" s="1" t="s">
        <v>290</v>
      </c>
      <c r="W736" s="1" t="s">
        <v>291</v>
      </c>
      <c r="X736" s="1"/>
      <c r="Y736" s="1" t="str">
        <f>"02020000139202183"</f>
        <v>02020000139202183</v>
      </c>
      <c r="Z736" s="1" t="s">
        <v>112</v>
      </c>
      <c r="AA736" s="1" t="s">
        <v>4761</v>
      </c>
      <c r="AB736" s="1" t="str">
        <f>"***326643**"</f>
        <v>***326643**</v>
      </c>
      <c r="AC736" s="1"/>
      <c r="AD736" s="1"/>
      <c r="AE736" s="1"/>
      <c r="AF736" s="1">
        <v>-42.551998</v>
      </c>
      <c r="AG736" s="1">
        <v>-5.748</v>
      </c>
      <c r="AH736" s="1" t="s">
        <v>4762</v>
      </c>
      <c r="AI736" s="1"/>
      <c r="AJ736" s="1" t="s">
        <v>295</v>
      </c>
      <c r="AK736" s="1"/>
      <c r="AL736" s="1" t="s">
        <v>128</v>
      </c>
      <c r="AM736" s="1" t="s">
        <v>65</v>
      </c>
      <c r="AN736" s="1" t="s">
        <v>4763</v>
      </c>
      <c r="AO736" s="2" t="s">
        <v>4081</v>
      </c>
      <c r="AP736" s="2" t="s">
        <v>4764</v>
      </c>
      <c r="AQ736" s="1" t="s">
        <v>132</v>
      </c>
      <c r="AR736" s="1" t="s">
        <v>1207</v>
      </c>
      <c r="AS736" s="1"/>
      <c r="AT736" s="2" t="s">
        <v>70</v>
      </c>
    </row>
    <row r="737">
      <c r="A737" s="1">
        <v>2042522.0</v>
      </c>
      <c r="B737" s="1" t="s">
        <v>116</v>
      </c>
      <c r="C737" s="1" t="s">
        <v>117</v>
      </c>
      <c r="D737" s="1" t="s">
        <v>46</v>
      </c>
      <c r="E737" s="1" t="s">
        <v>4765</v>
      </c>
      <c r="F737" s="1"/>
      <c r="G737" s="1" t="s">
        <v>119</v>
      </c>
      <c r="H737" s="1" t="s">
        <v>50</v>
      </c>
      <c r="I737" s="1">
        <v>5000.0</v>
      </c>
      <c r="J737" s="1"/>
      <c r="K737" s="1"/>
      <c r="L737" s="1" t="s">
        <v>295</v>
      </c>
      <c r="M737" s="1" t="s">
        <v>4766</v>
      </c>
      <c r="N737" s="1" t="s">
        <v>53</v>
      </c>
      <c r="O737" s="1" t="s">
        <v>187</v>
      </c>
      <c r="P737" s="2" t="s">
        <v>4767</v>
      </c>
      <c r="Q737" s="1" t="s">
        <v>56</v>
      </c>
      <c r="R737" s="1"/>
      <c r="S737" s="1" t="s">
        <v>220</v>
      </c>
      <c r="T737" s="1">
        <v>2209955.0</v>
      </c>
      <c r="U737" s="1" t="s">
        <v>4768</v>
      </c>
      <c r="V737" s="1" t="s">
        <v>290</v>
      </c>
      <c r="W737" s="1" t="s">
        <v>291</v>
      </c>
      <c r="X737" s="1"/>
      <c r="Y737" s="1" t="str">
        <f>"02020000044202160"</f>
        <v>02020000044202160</v>
      </c>
      <c r="Z737" s="1" t="s">
        <v>223</v>
      </c>
      <c r="AA737" s="1" t="s">
        <v>4769</v>
      </c>
      <c r="AB737" s="1" t="str">
        <f>"***272993**"</f>
        <v>***272993**</v>
      </c>
      <c r="AC737" s="1"/>
      <c r="AD737" s="1"/>
      <c r="AE737" s="1"/>
      <c r="AF737" s="1">
        <v>-41.856667</v>
      </c>
      <c r="AG737" s="1">
        <v>-6.921944</v>
      </c>
      <c r="AH737" s="1" t="s">
        <v>4770</v>
      </c>
      <c r="AI737" s="1"/>
      <c r="AJ737" s="1" t="s">
        <v>295</v>
      </c>
      <c r="AK737" s="1"/>
      <c r="AL737" s="1" t="s">
        <v>128</v>
      </c>
      <c r="AM737" s="1" t="s">
        <v>65</v>
      </c>
      <c r="AN737" s="1" t="s">
        <v>4763</v>
      </c>
      <c r="AO737" s="2" t="s">
        <v>4771</v>
      </c>
      <c r="AP737" s="2" t="s">
        <v>4772</v>
      </c>
      <c r="AQ737" s="1" t="s">
        <v>132</v>
      </c>
      <c r="AR737" s="1" t="s">
        <v>1242</v>
      </c>
      <c r="AS737" s="1"/>
      <c r="AT737" s="2" t="s">
        <v>70</v>
      </c>
    </row>
    <row r="738">
      <c r="A738" s="1"/>
      <c r="B738" s="1" t="s">
        <v>46</v>
      </c>
      <c r="C738" s="1" t="s">
        <v>571</v>
      </c>
      <c r="D738" s="1" t="s">
        <v>116</v>
      </c>
      <c r="E738" s="1" t="s">
        <v>4773</v>
      </c>
      <c r="F738" s="1"/>
      <c r="G738" s="1" t="s">
        <v>49</v>
      </c>
      <c r="H738" s="1" t="s">
        <v>72</v>
      </c>
      <c r="I738" s="1">
        <v>435000.0</v>
      </c>
      <c r="J738" s="1"/>
      <c r="K738" s="1"/>
      <c r="L738" s="1"/>
      <c r="M738" s="1" t="s">
        <v>4774</v>
      </c>
      <c r="N738" s="1" t="s">
        <v>109</v>
      </c>
      <c r="O738" s="1" t="s">
        <v>110</v>
      </c>
      <c r="P738" s="2" t="s">
        <v>4775</v>
      </c>
      <c r="Q738" s="1" t="s">
        <v>77</v>
      </c>
      <c r="R738" s="1"/>
      <c r="S738" s="1" t="s">
        <v>1349</v>
      </c>
      <c r="T738" s="1">
        <v>1501576.0</v>
      </c>
      <c r="U738" s="1" t="s">
        <v>4745</v>
      </c>
      <c r="V738" s="1" t="s">
        <v>917</v>
      </c>
      <c r="W738" s="1" t="s">
        <v>100</v>
      </c>
      <c r="X738" s="1"/>
      <c r="Y738" s="1"/>
      <c r="Z738" s="1" t="s">
        <v>112</v>
      </c>
      <c r="AA738" s="1" t="s">
        <v>4746</v>
      </c>
      <c r="AB738" s="1" t="str">
        <f>"***639202**"</f>
        <v>***639202**</v>
      </c>
      <c r="AC738" s="1"/>
      <c r="AD738" s="1" t="s">
        <v>325</v>
      </c>
      <c r="AE738" s="1"/>
      <c r="AF738" s="1">
        <v>-48.675835</v>
      </c>
      <c r="AG738" s="1">
        <v>-4.881</v>
      </c>
      <c r="AH738" s="1" t="s">
        <v>4776</v>
      </c>
      <c r="AI738" s="1"/>
      <c r="AJ738" s="1" t="s">
        <v>2299</v>
      </c>
      <c r="AK738" s="1"/>
      <c r="AL738" s="1"/>
      <c r="AM738" s="1" t="s">
        <v>65</v>
      </c>
      <c r="AN738" s="1" t="s">
        <v>4748</v>
      </c>
      <c r="AO738" s="1"/>
      <c r="AP738" s="2" t="s">
        <v>4777</v>
      </c>
      <c r="AQ738" s="1"/>
      <c r="AR738" s="1" t="s">
        <v>991</v>
      </c>
      <c r="AS738" s="1"/>
      <c r="AT738" s="2" t="s">
        <v>70</v>
      </c>
    </row>
    <row r="739">
      <c r="A739" s="1"/>
      <c r="B739" s="1" t="s">
        <v>46</v>
      </c>
      <c r="C739" s="1" t="s">
        <v>47</v>
      </c>
      <c r="D739" s="1"/>
      <c r="E739" s="1" t="s">
        <v>4778</v>
      </c>
      <c r="F739" s="1"/>
      <c r="G739" s="1" t="s">
        <v>49</v>
      </c>
      <c r="H739" s="1" t="s">
        <v>72</v>
      </c>
      <c r="I739" s="1">
        <v>1000.0</v>
      </c>
      <c r="J739" s="1"/>
      <c r="K739" s="1"/>
      <c r="L739" s="1"/>
      <c r="M739" s="1" t="s">
        <v>4779</v>
      </c>
      <c r="N739" s="1" t="s">
        <v>257</v>
      </c>
      <c r="O739" s="1" t="s">
        <v>258</v>
      </c>
      <c r="P739" s="2" t="s">
        <v>4780</v>
      </c>
      <c r="Q739" s="1" t="s">
        <v>77</v>
      </c>
      <c r="R739" s="1"/>
      <c r="S739" s="1" t="s">
        <v>2859</v>
      </c>
      <c r="T739" s="1">
        <v>2400109.0</v>
      </c>
      <c r="U739" s="1" t="s">
        <v>4781</v>
      </c>
      <c r="V739" s="1" t="s">
        <v>1084</v>
      </c>
      <c r="W739" s="1" t="s">
        <v>291</v>
      </c>
      <c r="X739" s="1"/>
      <c r="Y739" s="1"/>
      <c r="Z739" s="1" t="s">
        <v>260</v>
      </c>
      <c r="AA739" s="1" t="s">
        <v>4782</v>
      </c>
      <c r="AB739" s="1" t="str">
        <f>"***858044**"</f>
        <v>***858044**</v>
      </c>
      <c r="AC739" s="1"/>
      <c r="AD739" s="1" t="s">
        <v>81</v>
      </c>
      <c r="AE739" s="1"/>
      <c r="AF739" s="1">
        <v>-36.125832</v>
      </c>
      <c r="AG739" s="1">
        <v>-6.985</v>
      </c>
      <c r="AH739" s="1" t="s">
        <v>4783</v>
      </c>
      <c r="AI739" s="1"/>
      <c r="AJ739" s="1" t="s">
        <v>2856</v>
      </c>
      <c r="AK739" s="1"/>
      <c r="AL739" s="1"/>
      <c r="AM739" s="1" t="s">
        <v>65</v>
      </c>
      <c r="AN739" s="1"/>
      <c r="AO739" s="1"/>
      <c r="AP739" s="2" t="s">
        <v>4784</v>
      </c>
      <c r="AQ739" s="1"/>
      <c r="AR739" s="1" t="s">
        <v>4785</v>
      </c>
      <c r="AS739" s="1"/>
      <c r="AT739" s="2" t="s">
        <v>70</v>
      </c>
    </row>
    <row r="740">
      <c r="A740" s="1">
        <v>2042530.0</v>
      </c>
      <c r="B740" s="1" t="s">
        <v>116</v>
      </c>
      <c r="C740" s="1" t="s">
        <v>117</v>
      </c>
      <c r="D740" s="1" t="s">
        <v>46</v>
      </c>
      <c r="E740" s="1" t="s">
        <v>4786</v>
      </c>
      <c r="F740" s="1"/>
      <c r="G740" s="1" t="s">
        <v>119</v>
      </c>
      <c r="H740" s="1" t="s">
        <v>72</v>
      </c>
      <c r="I740" s="1">
        <v>500.0</v>
      </c>
      <c r="J740" s="1"/>
      <c r="K740" s="1"/>
      <c r="L740" s="1" t="s">
        <v>587</v>
      </c>
      <c r="M740" s="1" t="s">
        <v>4787</v>
      </c>
      <c r="N740" s="1" t="s">
        <v>257</v>
      </c>
      <c r="O740" s="1" t="s">
        <v>258</v>
      </c>
      <c r="P740" s="2" t="s">
        <v>4788</v>
      </c>
      <c r="Q740" s="1" t="s">
        <v>56</v>
      </c>
      <c r="R740" s="2" t="s">
        <v>4789</v>
      </c>
      <c r="S740" s="1" t="s">
        <v>220</v>
      </c>
      <c r="T740" s="1">
        <v>1400472.0</v>
      </c>
      <c r="U740" s="1" t="s">
        <v>4655</v>
      </c>
      <c r="V740" s="1" t="s">
        <v>584</v>
      </c>
      <c r="W740" s="1" t="s">
        <v>100</v>
      </c>
      <c r="X740" s="1"/>
      <c r="Y740" s="1" t="str">
        <f>"02025000018202191"</f>
        <v>02025000018202191</v>
      </c>
      <c r="Z740" s="1" t="s">
        <v>260</v>
      </c>
      <c r="AA740" s="1" t="s">
        <v>4790</v>
      </c>
      <c r="AB740" s="1" t="str">
        <f>"***655902**"</f>
        <v>***655902**</v>
      </c>
      <c r="AC740" s="1"/>
      <c r="AD740" s="1"/>
      <c r="AE740" s="1"/>
      <c r="AF740" s="1">
        <v>-60.696945</v>
      </c>
      <c r="AG740" s="1">
        <v>2.827778</v>
      </c>
      <c r="AH740" s="1" t="s">
        <v>4791</v>
      </c>
      <c r="AI740" s="1"/>
      <c r="AJ740" s="1" t="s">
        <v>587</v>
      </c>
      <c r="AK740" s="1"/>
      <c r="AL740" s="1" t="s">
        <v>128</v>
      </c>
      <c r="AM740" s="1" t="s">
        <v>65</v>
      </c>
      <c r="AN740" s="1"/>
      <c r="AO740" s="2" t="s">
        <v>4771</v>
      </c>
      <c r="AP740" s="2" t="s">
        <v>4792</v>
      </c>
      <c r="AQ740" s="1" t="s">
        <v>132</v>
      </c>
      <c r="AR740" s="1" t="s">
        <v>1168</v>
      </c>
      <c r="AS740" s="1"/>
      <c r="AT740" s="2" t="s">
        <v>70</v>
      </c>
    </row>
    <row r="741">
      <c r="A741" s="1">
        <v>2043307.0</v>
      </c>
      <c r="B741" s="1" t="s">
        <v>116</v>
      </c>
      <c r="C741" s="1" t="s">
        <v>117</v>
      </c>
      <c r="D741" s="1" t="s">
        <v>46</v>
      </c>
      <c r="E741" s="1" t="s">
        <v>4793</v>
      </c>
      <c r="F741" s="1"/>
      <c r="G741" s="1" t="s">
        <v>119</v>
      </c>
      <c r="H741" s="1" t="s">
        <v>50</v>
      </c>
      <c r="I741" s="1">
        <v>411500.0</v>
      </c>
      <c r="J741" s="1"/>
      <c r="K741" s="1"/>
      <c r="L741" s="1" t="s">
        <v>327</v>
      </c>
      <c r="M741" s="1" t="s">
        <v>4794</v>
      </c>
      <c r="N741" s="1" t="s">
        <v>186</v>
      </c>
      <c r="O741" s="1" t="s">
        <v>95</v>
      </c>
      <c r="P741" s="2" t="s">
        <v>4788</v>
      </c>
      <c r="Q741" s="1" t="s">
        <v>56</v>
      </c>
      <c r="R741" s="2" t="s">
        <v>4789</v>
      </c>
      <c r="S741" s="1" t="s">
        <v>1613</v>
      </c>
      <c r="T741" s="1">
        <v>5103403.0</v>
      </c>
      <c r="U741" s="1" t="s">
        <v>4685</v>
      </c>
      <c r="V741" s="1" t="s">
        <v>323</v>
      </c>
      <c r="W741" s="1" t="s">
        <v>100</v>
      </c>
      <c r="X741" s="1"/>
      <c r="Y741" s="1" t="str">
        <f>"02013000347202171"</f>
        <v>02013000347202171</v>
      </c>
      <c r="Z741" s="1" t="s">
        <v>101</v>
      </c>
      <c r="AA741" s="1" t="s">
        <v>4795</v>
      </c>
      <c r="AB741" s="1" t="str">
        <f>"06215893000179"</f>
        <v>06215893000179</v>
      </c>
      <c r="AC741" s="1"/>
      <c r="AD741" s="1"/>
      <c r="AE741" s="1"/>
      <c r="AF741" s="1">
        <v>-56.059998</v>
      </c>
      <c r="AG741" s="1">
        <v>-15.558889</v>
      </c>
      <c r="AH741" s="1" t="s">
        <v>4796</v>
      </c>
      <c r="AI741" s="1"/>
      <c r="AJ741" s="1" t="s">
        <v>327</v>
      </c>
      <c r="AK741" s="1"/>
      <c r="AL741" s="1" t="s">
        <v>128</v>
      </c>
      <c r="AM741" s="1" t="s">
        <v>65</v>
      </c>
      <c r="AN741" s="1" t="s">
        <v>4688</v>
      </c>
      <c r="AO741" s="2" t="s">
        <v>2918</v>
      </c>
      <c r="AP741" s="2" t="s">
        <v>4797</v>
      </c>
      <c r="AQ741" s="1" t="s">
        <v>132</v>
      </c>
      <c r="AR741" s="1" t="s">
        <v>247</v>
      </c>
      <c r="AS741" s="1"/>
      <c r="AT741" s="2" t="s">
        <v>70</v>
      </c>
    </row>
    <row r="742">
      <c r="A742" s="1"/>
      <c r="B742" s="1" t="s">
        <v>46</v>
      </c>
      <c r="C742" s="1" t="s">
        <v>47</v>
      </c>
      <c r="D742" s="1"/>
      <c r="E742" s="1" t="s">
        <v>4798</v>
      </c>
      <c r="F742" s="1"/>
      <c r="G742" s="1" t="s">
        <v>49</v>
      </c>
      <c r="H742" s="1" t="s">
        <v>50</v>
      </c>
      <c r="I742" s="1">
        <v>411500.0</v>
      </c>
      <c r="J742" s="1"/>
      <c r="K742" s="1" t="s">
        <v>92</v>
      </c>
      <c r="L742" s="1"/>
      <c r="M742" s="1" t="s">
        <v>4799</v>
      </c>
      <c r="N742" s="1" t="s">
        <v>109</v>
      </c>
      <c r="O742" s="1" t="s">
        <v>110</v>
      </c>
      <c r="P742" s="2" t="s">
        <v>4800</v>
      </c>
      <c r="Q742" s="1" t="s">
        <v>56</v>
      </c>
      <c r="R742" s="1"/>
      <c r="S742" s="1" t="s">
        <v>1613</v>
      </c>
      <c r="T742" s="1">
        <v>5103403.0</v>
      </c>
      <c r="U742" s="1" t="s">
        <v>4685</v>
      </c>
      <c r="V742" s="1" t="s">
        <v>323</v>
      </c>
      <c r="W742" s="1" t="s">
        <v>100</v>
      </c>
      <c r="X742" s="1"/>
      <c r="Y742" s="1"/>
      <c r="Z742" s="1" t="s">
        <v>112</v>
      </c>
      <c r="AA742" s="1" t="s">
        <v>4801</v>
      </c>
      <c r="AB742" s="1" t="str">
        <f>"04403033000133"</f>
        <v>04403033000133</v>
      </c>
      <c r="AC742" s="1"/>
      <c r="AD742" s="1" t="s">
        <v>62</v>
      </c>
      <c r="AE742" s="1"/>
      <c r="AF742" s="1">
        <v>-56.059722</v>
      </c>
      <c r="AG742" s="1">
        <v>-15.558889</v>
      </c>
      <c r="AH742" s="1" t="s">
        <v>4802</v>
      </c>
      <c r="AI742" s="1"/>
      <c r="AJ742" s="1" t="s">
        <v>327</v>
      </c>
      <c r="AK742" s="1"/>
      <c r="AL742" s="1"/>
      <c r="AM742" s="1" t="s">
        <v>65</v>
      </c>
      <c r="AN742" s="1" t="s">
        <v>4688</v>
      </c>
      <c r="AO742" s="1"/>
      <c r="AP742" s="2" t="s">
        <v>4803</v>
      </c>
      <c r="AQ742" s="1"/>
      <c r="AR742" s="1" t="s">
        <v>106</v>
      </c>
      <c r="AS742" s="1"/>
      <c r="AT742" s="2" t="s">
        <v>70</v>
      </c>
    </row>
    <row r="743">
      <c r="A743" s="1">
        <v>2043302.0</v>
      </c>
      <c r="B743" s="1" t="s">
        <v>116</v>
      </c>
      <c r="C743" s="1" t="s">
        <v>117</v>
      </c>
      <c r="D743" s="1" t="s">
        <v>46</v>
      </c>
      <c r="E743" s="1" t="s">
        <v>4804</v>
      </c>
      <c r="F743" s="1"/>
      <c r="G743" s="1" t="s">
        <v>119</v>
      </c>
      <c r="H743" s="1" t="s">
        <v>50</v>
      </c>
      <c r="I743" s="1">
        <v>211500.0</v>
      </c>
      <c r="J743" s="1"/>
      <c r="K743" s="1"/>
      <c r="L743" s="1" t="s">
        <v>327</v>
      </c>
      <c r="M743" s="1" t="s">
        <v>4805</v>
      </c>
      <c r="N743" s="1" t="s">
        <v>186</v>
      </c>
      <c r="O743" s="1" t="s">
        <v>95</v>
      </c>
      <c r="P743" s="2" t="s">
        <v>4806</v>
      </c>
      <c r="Q743" s="1" t="s">
        <v>56</v>
      </c>
      <c r="R743" s="2" t="s">
        <v>4789</v>
      </c>
      <c r="S743" s="1" t="s">
        <v>1639</v>
      </c>
      <c r="T743" s="1">
        <v>5103403.0</v>
      </c>
      <c r="U743" s="1" t="s">
        <v>4685</v>
      </c>
      <c r="V743" s="1" t="s">
        <v>323</v>
      </c>
      <c r="W743" s="1" t="s">
        <v>100</v>
      </c>
      <c r="X743" s="1"/>
      <c r="Y743" s="1" t="str">
        <f>"02013000342202149"</f>
        <v>02013000342202149</v>
      </c>
      <c r="Z743" s="1" t="s">
        <v>101</v>
      </c>
      <c r="AA743" s="1" t="s">
        <v>4807</v>
      </c>
      <c r="AB743" s="1" t="str">
        <f>"05103375000109"</f>
        <v>05103375000109</v>
      </c>
      <c r="AC743" s="1"/>
      <c r="AD743" s="1"/>
      <c r="AE743" s="1"/>
      <c r="AF743" s="1">
        <v>-56.059998</v>
      </c>
      <c r="AG743" s="1">
        <v>-15.558889</v>
      </c>
      <c r="AH743" s="1" t="s">
        <v>4796</v>
      </c>
      <c r="AI743" s="1"/>
      <c r="AJ743" s="1" t="s">
        <v>327</v>
      </c>
      <c r="AK743" s="1"/>
      <c r="AL743" s="1" t="s">
        <v>128</v>
      </c>
      <c r="AM743" s="1" t="s">
        <v>65</v>
      </c>
      <c r="AN743" s="1" t="s">
        <v>4688</v>
      </c>
      <c r="AO743" s="2" t="s">
        <v>2918</v>
      </c>
      <c r="AP743" s="2" t="s">
        <v>4808</v>
      </c>
      <c r="AQ743" s="1" t="s">
        <v>132</v>
      </c>
      <c r="AR743" s="1" t="s">
        <v>247</v>
      </c>
      <c r="AS743" s="1"/>
      <c r="AT743" s="2" t="s">
        <v>70</v>
      </c>
    </row>
    <row r="744">
      <c r="A744" s="1">
        <v>2043303.0</v>
      </c>
      <c r="B744" s="1" t="s">
        <v>116</v>
      </c>
      <c r="C744" s="1" t="s">
        <v>117</v>
      </c>
      <c r="D744" s="1" t="s">
        <v>46</v>
      </c>
      <c r="E744" s="1" t="s">
        <v>4809</v>
      </c>
      <c r="F744" s="1"/>
      <c r="G744" s="1" t="s">
        <v>119</v>
      </c>
      <c r="H744" s="1" t="s">
        <v>50</v>
      </c>
      <c r="I744" s="1">
        <v>411500.0</v>
      </c>
      <c r="J744" s="1"/>
      <c r="K744" s="1"/>
      <c r="L744" s="1" t="s">
        <v>327</v>
      </c>
      <c r="M744" s="1" t="s">
        <v>4810</v>
      </c>
      <c r="N744" s="1" t="s">
        <v>186</v>
      </c>
      <c r="O744" s="1" t="s">
        <v>95</v>
      </c>
      <c r="P744" s="2" t="s">
        <v>4806</v>
      </c>
      <c r="Q744" s="1" t="s">
        <v>56</v>
      </c>
      <c r="R744" s="2" t="s">
        <v>4789</v>
      </c>
      <c r="S744" s="1" t="s">
        <v>1639</v>
      </c>
      <c r="T744" s="1">
        <v>5103403.0</v>
      </c>
      <c r="U744" s="1" t="s">
        <v>4685</v>
      </c>
      <c r="V744" s="1" t="s">
        <v>323</v>
      </c>
      <c r="W744" s="1" t="s">
        <v>100</v>
      </c>
      <c r="X744" s="1"/>
      <c r="Y744" s="1" t="str">
        <f>"02013000343202193"</f>
        <v>02013000343202193</v>
      </c>
      <c r="Z744" s="1" t="s">
        <v>101</v>
      </c>
      <c r="AA744" s="1" t="s">
        <v>4811</v>
      </c>
      <c r="AB744" s="1" t="str">
        <f>"02425861000147"</f>
        <v>02425861000147</v>
      </c>
      <c r="AC744" s="1"/>
      <c r="AD744" s="1"/>
      <c r="AE744" s="1"/>
      <c r="AF744" s="1">
        <v>-56.059998</v>
      </c>
      <c r="AG744" s="1">
        <v>-15.558889</v>
      </c>
      <c r="AH744" s="1" t="s">
        <v>4687</v>
      </c>
      <c r="AI744" s="1"/>
      <c r="AJ744" s="1" t="s">
        <v>327</v>
      </c>
      <c r="AK744" s="1"/>
      <c r="AL744" s="1" t="s">
        <v>128</v>
      </c>
      <c r="AM744" s="1" t="s">
        <v>65</v>
      </c>
      <c r="AN744" s="1" t="s">
        <v>4688</v>
      </c>
      <c r="AO744" s="2" t="s">
        <v>2918</v>
      </c>
      <c r="AP744" s="2" t="s">
        <v>4812</v>
      </c>
      <c r="AQ744" s="1" t="s">
        <v>132</v>
      </c>
      <c r="AR744" s="1" t="s">
        <v>247</v>
      </c>
      <c r="AS744" s="1"/>
      <c r="AT744" s="2" t="s">
        <v>70</v>
      </c>
    </row>
    <row r="745">
      <c r="A745" s="1">
        <v>2043301.0</v>
      </c>
      <c r="B745" s="1" t="s">
        <v>116</v>
      </c>
      <c r="C745" s="1" t="s">
        <v>117</v>
      </c>
      <c r="D745" s="1" t="s">
        <v>46</v>
      </c>
      <c r="E745" s="1" t="s">
        <v>4813</v>
      </c>
      <c r="F745" s="1"/>
      <c r="G745" s="1" t="s">
        <v>119</v>
      </c>
      <c r="H745" s="1" t="s">
        <v>50</v>
      </c>
      <c r="I745" s="1">
        <v>411500.0</v>
      </c>
      <c r="J745" s="1"/>
      <c r="K745" s="1"/>
      <c r="L745" s="1" t="s">
        <v>327</v>
      </c>
      <c r="M745" s="1" t="s">
        <v>4814</v>
      </c>
      <c r="N745" s="1" t="s">
        <v>53</v>
      </c>
      <c r="O745" s="1" t="s">
        <v>333</v>
      </c>
      <c r="P745" s="2" t="s">
        <v>4815</v>
      </c>
      <c r="Q745" s="1" t="s">
        <v>56</v>
      </c>
      <c r="R745" s="2" t="s">
        <v>4789</v>
      </c>
      <c r="S745" s="1" t="s">
        <v>1613</v>
      </c>
      <c r="T745" s="1">
        <v>5103403.0</v>
      </c>
      <c r="U745" s="1" t="s">
        <v>4685</v>
      </c>
      <c r="V745" s="1" t="s">
        <v>323</v>
      </c>
      <c r="W745" s="1" t="s">
        <v>100</v>
      </c>
      <c r="X745" s="1"/>
      <c r="Y745" s="1" t="str">
        <f>"02013000341202102"</f>
        <v>02013000341202102</v>
      </c>
      <c r="Z745" s="1" t="s">
        <v>223</v>
      </c>
      <c r="AA745" s="1" t="s">
        <v>4816</v>
      </c>
      <c r="AB745" s="1" t="str">
        <f>"00285590000146"</f>
        <v>00285590000146</v>
      </c>
      <c r="AC745" s="1"/>
      <c r="AD745" s="1"/>
      <c r="AE745" s="1"/>
      <c r="AF745" s="1">
        <v>-56.059998</v>
      </c>
      <c r="AG745" s="1">
        <v>-15.558889</v>
      </c>
      <c r="AH745" s="1" t="s">
        <v>4687</v>
      </c>
      <c r="AI745" s="1"/>
      <c r="AJ745" s="1" t="s">
        <v>327</v>
      </c>
      <c r="AK745" s="1"/>
      <c r="AL745" s="1" t="s">
        <v>128</v>
      </c>
      <c r="AM745" s="1" t="s">
        <v>65</v>
      </c>
      <c r="AN745" s="1" t="s">
        <v>4688</v>
      </c>
      <c r="AO745" s="2" t="s">
        <v>2918</v>
      </c>
      <c r="AP745" s="2" t="s">
        <v>4817</v>
      </c>
      <c r="AQ745" s="1" t="s">
        <v>132</v>
      </c>
      <c r="AR745" s="1" t="s">
        <v>247</v>
      </c>
      <c r="AS745" s="1"/>
      <c r="AT745" s="2" t="s">
        <v>70</v>
      </c>
    </row>
    <row r="746">
      <c r="A746" s="1">
        <v>2043306.0</v>
      </c>
      <c r="B746" s="1" t="s">
        <v>116</v>
      </c>
      <c r="C746" s="1" t="s">
        <v>117</v>
      </c>
      <c r="D746" s="1" t="s">
        <v>46</v>
      </c>
      <c r="E746" s="1" t="s">
        <v>4818</v>
      </c>
      <c r="F746" s="1"/>
      <c r="G746" s="1" t="s">
        <v>119</v>
      </c>
      <c r="H746" s="1" t="s">
        <v>50</v>
      </c>
      <c r="I746" s="1">
        <v>411500.0</v>
      </c>
      <c r="J746" s="1"/>
      <c r="K746" s="1"/>
      <c r="L746" s="1" t="s">
        <v>327</v>
      </c>
      <c r="M746" s="1" t="s">
        <v>4819</v>
      </c>
      <c r="N746" s="1" t="s">
        <v>53</v>
      </c>
      <c r="O746" s="1" t="s">
        <v>333</v>
      </c>
      <c r="P746" s="2" t="s">
        <v>4815</v>
      </c>
      <c r="Q746" s="1" t="s">
        <v>56</v>
      </c>
      <c r="R746" s="2" t="s">
        <v>4789</v>
      </c>
      <c r="S746" s="1" t="s">
        <v>1613</v>
      </c>
      <c r="T746" s="1">
        <v>5103403.0</v>
      </c>
      <c r="U746" s="1" t="s">
        <v>4685</v>
      </c>
      <c r="V746" s="1" t="s">
        <v>323</v>
      </c>
      <c r="W746" s="1" t="s">
        <v>100</v>
      </c>
      <c r="X746" s="1"/>
      <c r="Y746" s="1" t="str">
        <f>"02013000346202127"</f>
        <v>02013000346202127</v>
      </c>
      <c r="Z746" s="1" t="s">
        <v>223</v>
      </c>
      <c r="AA746" s="1" t="s">
        <v>4820</v>
      </c>
      <c r="AB746" s="1" t="str">
        <f>"03271335000132"</f>
        <v>03271335000132</v>
      </c>
      <c r="AC746" s="1"/>
      <c r="AD746" s="1"/>
      <c r="AE746" s="1"/>
      <c r="AF746" s="1">
        <v>-56.059998</v>
      </c>
      <c r="AG746" s="1">
        <v>-15.558889</v>
      </c>
      <c r="AH746" s="1" t="s">
        <v>4796</v>
      </c>
      <c r="AI746" s="1"/>
      <c r="AJ746" s="1" t="s">
        <v>327</v>
      </c>
      <c r="AK746" s="1"/>
      <c r="AL746" s="1" t="s">
        <v>128</v>
      </c>
      <c r="AM746" s="1" t="s">
        <v>65</v>
      </c>
      <c r="AN746" s="1" t="s">
        <v>4688</v>
      </c>
      <c r="AO746" s="2" t="s">
        <v>2918</v>
      </c>
      <c r="AP746" s="2" t="s">
        <v>4821</v>
      </c>
      <c r="AQ746" s="1" t="s">
        <v>132</v>
      </c>
      <c r="AR746" s="1" t="s">
        <v>247</v>
      </c>
      <c r="AS746" s="1"/>
      <c r="AT746" s="2" t="s">
        <v>70</v>
      </c>
    </row>
    <row r="747">
      <c r="A747" s="1">
        <v>2043304.0</v>
      </c>
      <c r="B747" s="1" t="s">
        <v>116</v>
      </c>
      <c r="C747" s="1" t="s">
        <v>117</v>
      </c>
      <c r="D747" s="1" t="s">
        <v>46</v>
      </c>
      <c r="E747" s="1" t="s">
        <v>4822</v>
      </c>
      <c r="F747" s="1"/>
      <c r="G747" s="1" t="s">
        <v>119</v>
      </c>
      <c r="H747" s="1" t="s">
        <v>50</v>
      </c>
      <c r="I747" s="1">
        <v>411500.0</v>
      </c>
      <c r="J747" s="1"/>
      <c r="K747" s="1"/>
      <c r="L747" s="1" t="s">
        <v>327</v>
      </c>
      <c r="M747" s="1" t="s">
        <v>4823</v>
      </c>
      <c r="N747" s="1" t="s">
        <v>186</v>
      </c>
      <c r="O747" s="1" t="s">
        <v>95</v>
      </c>
      <c r="P747" s="2" t="s">
        <v>4824</v>
      </c>
      <c r="Q747" s="1" t="s">
        <v>56</v>
      </c>
      <c r="R747" s="2" t="s">
        <v>4789</v>
      </c>
      <c r="S747" s="1" t="s">
        <v>220</v>
      </c>
      <c r="T747" s="1">
        <v>5103403.0</v>
      </c>
      <c r="U747" s="1" t="s">
        <v>4685</v>
      </c>
      <c r="V747" s="1" t="s">
        <v>323</v>
      </c>
      <c r="W747" s="1" t="s">
        <v>100</v>
      </c>
      <c r="X747" s="1"/>
      <c r="Y747" s="1" t="str">
        <f>"02013000344202138"</f>
        <v>02013000344202138</v>
      </c>
      <c r="Z747" s="1" t="s">
        <v>101</v>
      </c>
      <c r="AA747" s="1" t="s">
        <v>4825</v>
      </c>
      <c r="AB747" s="1" t="str">
        <f>"13145134000142"</f>
        <v>13145134000142</v>
      </c>
      <c r="AC747" s="1"/>
      <c r="AD747" s="1"/>
      <c r="AE747" s="1"/>
      <c r="AF747" s="1">
        <v>-56.059998</v>
      </c>
      <c r="AG747" s="1">
        <v>-15.558889</v>
      </c>
      <c r="AH747" s="1" t="s">
        <v>4687</v>
      </c>
      <c r="AI747" s="1"/>
      <c r="AJ747" s="1" t="s">
        <v>327</v>
      </c>
      <c r="AK747" s="1"/>
      <c r="AL747" s="1" t="s">
        <v>128</v>
      </c>
      <c r="AM747" s="1" t="s">
        <v>65</v>
      </c>
      <c r="AN747" s="1" t="s">
        <v>4688</v>
      </c>
      <c r="AO747" s="2" t="s">
        <v>2918</v>
      </c>
      <c r="AP747" s="2" t="s">
        <v>4826</v>
      </c>
      <c r="AQ747" s="1" t="s">
        <v>132</v>
      </c>
      <c r="AR747" s="1" t="s">
        <v>247</v>
      </c>
      <c r="AS747" s="1"/>
      <c r="AT747" s="2" t="s">
        <v>70</v>
      </c>
    </row>
    <row r="748">
      <c r="A748" s="1">
        <v>2042569.0</v>
      </c>
      <c r="B748" s="1" t="s">
        <v>116</v>
      </c>
      <c r="C748" s="1" t="s">
        <v>117</v>
      </c>
      <c r="D748" s="1" t="s">
        <v>46</v>
      </c>
      <c r="E748" s="1" t="s">
        <v>4827</v>
      </c>
      <c r="F748" s="1"/>
      <c r="G748" s="1" t="s">
        <v>119</v>
      </c>
      <c r="H748" s="1" t="s">
        <v>72</v>
      </c>
      <c r="I748" s="1">
        <v>17142.0</v>
      </c>
      <c r="J748" s="1"/>
      <c r="K748" s="1"/>
      <c r="L748" s="1" t="s">
        <v>1096</v>
      </c>
      <c r="M748" s="1" t="s">
        <v>4828</v>
      </c>
      <c r="N748" s="1" t="s">
        <v>109</v>
      </c>
      <c r="O748" s="1" t="s">
        <v>110</v>
      </c>
      <c r="P748" s="2" t="s">
        <v>4829</v>
      </c>
      <c r="Q748" s="1" t="s">
        <v>137</v>
      </c>
      <c r="R748" s="1"/>
      <c r="S748" s="1" t="s">
        <v>475</v>
      </c>
      <c r="T748" s="1">
        <v>3156700.0</v>
      </c>
      <c r="U748" s="1" t="s">
        <v>4830</v>
      </c>
      <c r="V748" s="1" t="s">
        <v>477</v>
      </c>
      <c r="W748" s="1" t="s">
        <v>78</v>
      </c>
      <c r="X748" s="1"/>
      <c r="Y748" s="1" t="str">
        <f>"02553000007202133"</f>
        <v>02553000007202133</v>
      </c>
      <c r="Z748" s="1" t="s">
        <v>112</v>
      </c>
      <c r="AA748" s="1" t="s">
        <v>4831</v>
      </c>
      <c r="AB748" s="1" t="str">
        <f>"03691701000102"</f>
        <v>03691701000102</v>
      </c>
      <c r="AC748" s="1"/>
      <c r="AD748" s="1"/>
      <c r="AE748" s="1"/>
      <c r="AF748" s="1">
        <v>-43.951668</v>
      </c>
      <c r="AG748" s="1">
        <v>-19.934721</v>
      </c>
      <c r="AH748" s="1" t="s">
        <v>4832</v>
      </c>
      <c r="AI748" s="1"/>
      <c r="AJ748" s="1" t="s">
        <v>1096</v>
      </c>
      <c r="AK748" s="1"/>
      <c r="AL748" s="1" t="s">
        <v>128</v>
      </c>
      <c r="AM748" s="1" t="s">
        <v>65</v>
      </c>
      <c r="AN748" s="1" t="s">
        <v>4833</v>
      </c>
      <c r="AO748" s="2" t="s">
        <v>4834</v>
      </c>
      <c r="AP748" s="2" t="s">
        <v>4835</v>
      </c>
      <c r="AQ748" s="1" t="s">
        <v>132</v>
      </c>
      <c r="AR748" s="1" t="s">
        <v>4836</v>
      </c>
      <c r="AS748" s="1"/>
      <c r="AT748" s="2" t="s">
        <v>70</v>
      </c>
    </row>
    <row r="749">
      <c r="A749" s="1">
        <v>2042531.0</v>
      </c>
      <c r="B749" s="1" t="s">
        <v>116</v>
      </c>
      <c r="C749" s="1" t="s">
        <v>117</v>
      </c>
      <c r="D749" s="1" t="s">
        <v>46</v>
      </c>
      <c r="E749" s="1" t="s">
        <v>4837</v>
      </c>
      <c r="F749" s="1"/>
      <c r="G749" s="1" t="s">
        <v>119</v>
      </c>
      <c r="H749" s="1" t="s">
        <v>72</v>
      </c>
      <c r="I749" s="1">
        <v>1000.0</v>
      </c>
      <c r="J749" s="1"/>
      <c r="K749" s="1"/>
      <c r="L749" s="1" t="s">
        <v>587</v>
      </c>
      <c r="M749" s="1" t="s">
        <v>4838</v>
      </c>
      <c r="N749" s="1" t="s">
        <v>109</v>
      </c>
      <c r="O749" s="1" t="s">
        <v>110</v>
      </c>
      <c r="P749" s="2" t="s">
        <v>4839</v>
      </c>
      <c r="Q749" s="1" t="s">
        <v>56</v>
      </c>
      <c r="R749" s="2" t="s">
        <v>4840</v>
      </c>
      <c r="S749" s="1" t="s">
        <v>582</v>
      </c>
      <c r="T749" s="1">
        <v>1400175.0</v>
      </c>
      <c r="U749" s="1" t="s">
        <v>1282</v>
      </c>
      <c r="V749" s="1" t="s">
        <v>584</v>
      </c>
      <c r="W749" s="1" t="s">
        <v>100</v>
      </c>
      <c r="X749" s="1"/>
      <c r="Y749" s="1" t="str">
        <f>"02025000019202136"</f>
        <v>02025000019202136</v>
      </c>
      <c r="Z749" s="1" t="s">
        <v>112</v>
      </c>
      <c r="AA749" s="1" t="s">
        <v>4841</v>
      </c>
      <c r="AB749" s="1" t="str">
        <f>"***736752**"</f>
        <v>***736752**</v>
      </c>
      <c r="AC749" s="1"/>
      <c r="AD749" s="1"/>
      <c r="AE749" s="1"/>
      <c r="AF749" s="1">
        <v>-60.696667</v>
      </c>
      <c r="AG749" s="1">
        <v>2.827778</v>
      </c>
      <c r="AH749" s="1" t="s">
        <v>4842</v>
      </c>
      <c r="AI749" s="1"/>
      <c r="AJ749" s="1" t="s">
        <v>587</v>
      </c>
      <c r="AK749" s="1"/>
      <c r="AL749" s="1" t="s">
        <v>128</v>
      </c>
      <c r="AM749" s="1" t="s">
        <v>65</v>
      </c>
      <c r="AN749" s="1"/>
      <c r="AO749" s="2" t="s">
        <v>4771</v>
      </c>
      <c r="AP749" s="2" t="s">
        <v>4843</v>
      </c>
      <c r="AQ749" s="1" t="s">
        <v>132</v>
      </c>
      <c r="AR749" s="1" t="s">
        <v>1354</v>
      </c>
      <c r="AS749" s="1"/>
      <c r="AT749" s="2" t="s">
        <v>70</v>
      </c>
    </row>
    <row r="750">
      <c r="A750" s="1"/>
      <c r="B750" s="1" t="s">
        <v>46</v>
      </c>
      <c r="C750" s="1" t="s">
        <v>47</v>
      </c>
      <c r="D750" s="1"/>
      <c r="E750" s="1" t="s">
        <v>4844</v>
      </c>
      <c r="F750" s="1"/>
      <c r="G750" s="1" t="s">
        <v>49</v>
      </c>
      <c r="H750" s="1" t="s">
        <v>50</v>
      </c>
      <c r="I750" s="1">
        <v>411500.0</v>
      </c>
      <c r="J750" s="1"/>
      <c r="K750" s="1" t="s">
        <v>92</v>
      </c>
      <c r="L750" s="1"/>
      <c r="M750" s="1" t="s">
        <v>4799</v>
      </c>
      <c r="N750" s="1" t="s">
        <v>109</v>
      </c>
      <c r="O750" s="1" t="s">
        <v>110</v>
      </c>
      <c r="P750" s="2" t="s">
        <v>4845</v>
      </c>
      <c r="Q750" s="1" t="s">
        <v>56</v>
      </c>
      <c r="R750" s="1"/>
      <c r="S750" s="1" t="s">
        <v>1639</v>
      </c>
      <c r="T750" s="1">
        <v>5103403.0</v>
      </c>
      <c r="U750" s="1" t="s">
        <v>4685</v>
      </c>
      <c r="V750" s="1" t="s">
        <v>323</v>
      </c>
      <c r="W750" s="1" t="s">
        <v>100</v>
      </c>
      <c r="X750" s="1"/>
      <c r="Y750" s="1"/>
      <c r="Z750" s="1" t="s">
        <v>112</v>
      </c>
      <c r="AA750" s="1" t="s">
        <v>4846</v>
      </c>
      <c r="AB750" s="1" t="str">
        <f>"01591487000197"</f>
        <v>01591487000197</v>
      </c>
      <c r="AC750" s="1"/>
      <c r="AD750" s="1" t="s">
        <v>62</v>
      </c>
      <c r="AE750" s="1"/>
      <c r="AF750" s="1">
        <v>-56.059722</v>
      </c>
      <c r="AG750" s="1">
        <v>-15.558889</v>
      </c>
      <c r="AH750" s="1" t="s">
        <v>4847</v>
      </c>
      <c r="AI750" s="1"/>
      <c r="AJ750" s="1" t="s">
        <v>327</v>
      </c>
      <c r="AK750" s="1"/>
      <c r="AL750" s="1"/>
      <c r="AM750" s="1" t="s">
        <v>65</v>
      </c>
      <c r="AN750" s="1" t="s">
        <v>4688</v>
      </c>
      <c r="AO750" s="1"/>
      <c r="AP750" s="2" t="s">
        <v>4848</v>
      </c>
      <c r="AQ750" s="1"/>
      <c r="AR750" s="1" t="s">
        <v>106</v>
      </c>
      <c r="AS750" s="1"/>
      <c r="AT750" s="2" t="s">
        <v>70</v>
      </c>
    </row>
    <row r="751">
      <c r="A751" s="1"/>
      <c r="B751" s="1" t="s">
        <v>46</v>
      </c>
      <c r="C751" s="1" t="s">
        <v>47</v>
      </c>
      <c r="D751" s="1"/>
      <c r="E751" s="1" t="s">
        <v>4849</v>
      </c>
      <c r="F751" s="1"/>
      <c r="G751" s="1" t="s">
        <v>49</v>
      </c>
      <c r="H751" s="1" t="s">
        <v>50</v>
      </c>
      <c r="I751" s="1">
        <v>411500.0</v>
      </c>
      <c r="J751" s="1"/>
      <c r="K751" s="1" t="s">
        <v>92</v>
      </c>
      <c r="L751" s="1"/>
      <c r="M751" s="1" t="s">
        <v>4799</v>
      </c>
      <c r="N751" s="1" t="s">
        <v>109</v>
      </c>
      <c r="O751" s="1" t="s">
        <v>110</v>
      </c>
      <c r="P751" s="2" t="s">
        <v>4850</v>
      </c>
      <c r="Q751" s="1" t="s">
        <v>56</v>
      </c>
      <c r="R751" s="1"/>
      <c r="S751" s="1" t="s">
        <v>1613</v>
      </c>
      <c r="T751" s="1">
        <v>5103403.0</v>
      </c>
      <c r="U751" s="1" t="s">
        <v>4685</v>
      </c>
      <c r="V751" s="1" t="s">
        <v>323</v>
      </c>
      <c r="W751" s="1" t="s">
        <v>100</v>
      </c>
      <c r="X751" s="1"/>
      <c r="Y751" s="1"/>
      <c r="Z751" s="1" t="s">
        <v>112</v>
      </c>
      <c r="AA751" s="1" t="s">
        <v>4851</v>
      </c>
      <c r="AB751" s="1" t="str">
        <f>"19901686000110"</f>
        <v>19901686000110</v>
      </c>
      <c r="AC751" s="1"/>
      <c r="AD751" s="1" t="s">
        <v>62</v>
      </c>
      <c r="AE751" s="1"/>
      <c r="AF751" s="1">
        <v>-56.059722</v>
      </c>
      <c r="AG751" s="1">
        <v>-15.558889</v>
      </c>
      <c r="AH751" s="1" t="s">
        <v>4802</v>
      </c>
      <c r="AI751" s="1"/>
      <c r="AJ751" s="1" t="s">
        <v>327</v>
      </c>
      <c r="AK751" s="1"/>
      <c r="AL751" s="1"/>
      <c r="AM751" s="1" t="s">
        <v>65</v>
      </c>
      <c r="AN751" s="1" t="s">
        <v>4688</v>
      </c>
      <c r="AO751" s="1"/>
      <c r="AP751" s="2" t="s">
        <v>4852</v>
      </c>
      <c r="AQ751" s="1"/>
      <c r="AR751" s="1" t="s">
        <v>106</v>
      </c>
      <c r="AS751" s="1"/>
      <c r="AT751" s="2" t="s">
        <v>70</v>
      </c>
    </row>
    <row r="752">
      <c r="A752" s="1"/>
      <c r="B752" s="1" t="s">
        <v>46</v>
      </c>
      <c r="C752" s="1" t="s">
        <v>47</v>
      </c>
      <c r="D752" s="1"/>
      <c r="E752" s="1" t="s">
        <v>4853</v>
      </c>
      <c r="F752" s="1"/>
      <c r="G752" s="1" t="s">
        <v>49</v>
      </c>
      <c r="H752" s="1" t="s">
        <v>50</v>
      </c>
      <c r="I752" s="1">
        <v>211500.0</v>
      </c>
      <c r="J752" s="1"/>
      <c r="K752" s="1" t="s">
        <v>92</v>
      </c>
      <c r="L752" s="1"/>
      <c r="M752" s="1" t="s">
        <v>4799</v>
      </c>
      <c r="N752" s="1" t="s">
        <v>109</v>
      </c>
      <c r="O752" s="1" t="s">
        <v>110</v>
      </c>
      <c r="P752" s="2" t="s">
        <v>4854</v>
      </c>
      <c r="Q752" s="1" t="s">
        <v>56</v>
      </c>
      <c r="R752" s="1"/>
      <c r="S752" s="1" t="s">
        <v>1639</v>
      </c>
      <c r="T752" s="1">
        <v>5103403.0</v>
      </c>
      <c r="U752" s="1" t="s">
        <v>4685</v>
      </c>
      <c r="V752" s="1" t="s">
        <v>323</v>
      </c>
      <c r="W752" s="1" t="s">
        <v>100</v>
      </c>
      <c r="X752" s="1"/>
      <c r="Y752" s="1"/>
      <c r="Z752" s="1" t="s">
        <v>112</v>
      </c>
      <c r="AA752" s="1" t="s">
        <v>4855</v>
      </c>
      <c r="AB752" s="1" t="str">
        <f>"08981972000116"</f>
        <v>08981972000116</v>
      </c>
      <c r="AC752" s="1"/>
      <c r="AD752" s="1" t="s">
        <v>62</v>
      </c>
      <c r="AE752" s="1"/>
      <c r="AF752" s="1">
        <v>-56.059722</v>
      </c>
      <c r="AG752" s="1">
        <v>-15.558889</v>
      </c>
      <c r="AH752" s="1" t="s">
        <v>4802</v>
      </c>
      <c r="AI752" s="1"/>
      <c r="AJ752" s="1" t="s">
        <v>327</v>
      </c>
      <c r="AK752" s="1"/>
      <c r="AL752" s="1"/>
      <c r="AM752" s="1" t="s">
        <v>65</v>
      </c>
      <c r="AN752" s="1" t="s">
        <v>4688</v>
      </c>
      <c r="AO752" s="1"/>
      <c r="AP752" s="2" t="s">
        <v>4856</v>
      </c>
      <c r="AQ752" s="1"/>
      <c r="AR752" s="1" t="s">
        <v>106</v>
      </c>
      <c r="AS752" s="1"/>
      <c r="AT752" s="2" t="s">
        <v>70</v>
      </c>
    </row>
    <row r="753">
      <c r="A753" s="1">
        <v>2042499.0</v>
      </c>
      <c r="B753" s="1" t="s">
        <v>116</v>
      </c>
      <c r="C753" s="1" t="s">
        <v>117</v>
      </c>
      <c r="D753" s="1" t="s">
        <v>46</v>
      </c>
      <c r="E753" s="1" t="s">
        <v>4857</v>
      </c>
      <c r="F753" s="1"/>
      <c r="G753" s="1" t="s">
        <v>119</v>
      </c>
      <c r="H753" s="1" t="s">
        <v>72</v>
      </c>
      <c r="I753" s="1">
        <v>1000.0</v>
      </c>
      <c r="J753" s="1"/>
      <c r="K753" s="1"/>
      <c r="L753" s="1" t="s">
        <v>587</v>
      </c>
      <c r="M753" s="1" t="s">
        <v>4838</v>
      </c>
      <c r="N753" s="1" t="s">
        <v>109</v>
      </c>
      <c r="O753" s="1" t="s">
        <v>110</v>
      </c>
      <c r="P753" s="2" t="s">
        <v>4858</v>
      </c>
      <c r="Q753" s="1" t="s">
        <v>56</v>
      </c>
      <c r="R753" s="2" t="s">
        <v>4840</v>
      </c>
      <c r="S753" s="1" t="s">
        <v>582</v>
      </c>
      <c r="T753" s="1">
        <v>1400472.0</v>
      </c>
      <c r="U753" s="1" t="s">
        <v>4655</v>
      </c>
      <c r="V753" s="1" t="s">
        <v>584</v>
      </c>
      <c r="W753" s="1" t="s">
        <v>100</v>
      </c>
      <c r="X753" s="1"/>
      <c r="Y753" s="1" t="str">
        <f>"02025000016202101"</f>
        <v>02025000016202101</v>
      </c>
      <c r="Z753" s="1" t="s">
        <v>112</v>
      </c>
      <c r="AA753" s="1" t="s">
        <v>4859</v>
      </c>
      <c r="AB753" s="1" t="str">
        <f>"***422192**"</f>
        <v>***422192**</v>
      </c>
      <c r="AC753" s="1"/>
      <c r="AD753" s="1"/>
      <c r="AE753" s="1"/>
      <c r="AF753" s="1">
        <v>-60.696667</v>
      </c>
      <c r="AG753" s="1">
        <v>2.827778</v>
      </c>
      <c r="AH753" s="1" t="s">
        <v>4860</v>
      </c>
      <c r="AI753" s="1"/>
      <c r="AJ753" s="1" t="s">
        <v>587</v>
      </c>
      <c r="AK753" s="1"/>
      <c r="AL753" s="1" t="s">
        <v>128</v>
      </c>
      <c r="AM753" s="1" t="s">
        <v>65</v>
      </c>
      <c r="AN753" s="1"/>
      <c r="AO753" s="2" t="s">
        <v>4771</v>
      </c>
      <c r="AP753" s="2" t="s">
        <v>4861</v>
      </c>
      <c r="AQ753" s="1" t="s">
        <v>132</v>
      </c>
      <c r="AR753" s="1" t="s">
        <v>1354</v>
      </c>
      <c r="AS753" s="1"/>
      <c r="AT753" s="2" t="s">
        <v>70</v>
      </c>
    </row>
    <row r="754">
      <c r="A754" s="1"/>
      <c r="B754" s="1" t="s">
        <v>46</v>
      </c>
      <c r="C754" s="1" t="s">
        <v>47</v>
      </c>
      <c r="D754" s="1"/>
      <c r="E754" s="1" t="s">
        <v>4862</v>
      </c>
      <c r="F754" s="1"/>
      <c r="G754" s="1" t="s">
        <v>49</v>
      </c>
      <c r="H754" s="1" t="s">
        <v>50</v>
      </c>
      <c r="I754" s="1">
        <v>1100.0</v>
      </c>
      <c r="J754" s="1"/>
      <c r="K754" s="1"/>
      <c r="L754" s="1"/>
      <c r="M754" s="1" t="s">
        <v>4863</v>
      </c>
      <c r="N754" s="1" t="s">
        <v>381</v>
      </c>
      <c r="O754" s="1" t="s">
        <v>382</v>
      </c>
      <c r="P754" s="2" t="s">
        <v>4864</v>
      </c>
      <c r="Q754" s="1" t="s">
        <v>56</v>
      </c>
      <c r="R754" s="1"/>
      <c r="S754" s="1" t="s">
        <v>220</v>
      </c>
      <c r="T754" s="1">
        <v>3526605.0</v>
      </c>
      <c r="U754" s="1" t="s">
        <v>3979</v>
      </c>
      <c r="V754" s="1" t="s">
        <v>139</v>
      </c>
      <c r="W754" s="1" t="s">
        <v>78</v>
      </c>
      <c r="X754" s="1"/>
      <c r="Y754" s="1" t="str">
        <f>"02548000009202100"</f>
        <v>02548000009202100</v>
      </c>
      <c r="Z754" s="1" t="s">
        <v>384</v>
      </c>
      <c r="AA754" s="1" t="s">
        <v>4865</v>
      </c>
      <c r="AB754" s="1" t="str">
        <f>"81382525000645"</f>
        <v>81382525000645</v>
      </c>
      <c r="AC754" s="1"/>
      <c r="AD754" s="1" t="s">
        <v>81</v>
      </c>
      <c r="AE754" s="1"/>
      <c r="AF754" s="1">
        <v>-44.859859</v>
      </c>
      <c r="AG754" s="1">
        <v>-22.560471</v>
      </c>
      <c r="AH754" s="1" t="s">
        <v>4866</v>
      </c>
      <c r="AI754" s="1"/>
      <c r="AJ754" s="1" t="s">
        <v>1037</v>
      </c>
      <c r="AK754" s="1"/>
      <c r="AL754" s="1"/>
      <c r="AM754" s="1" t="s">
        <v>65</v>
      </c>
      <c r="AN754" s="1"/>
      <c r="AO754" s="1"/>
      <c r="AP754" s="2" t="s">
        <v>4867</v>
      </c>
      <c r="AQ754" s="1"/>
      <c r="AR754" s="1" t="s">
        <v>3983</v>
      </c>
      <c r="AS754" s="1"/>
      <c r="AT754" s="2" t="s">
        <v>70</v>
      </c>
    </row>
    <row r="755">
      <c r="A755" s="1"/>
      <c r="B755" s="1" t="s">
        <v>46</v>
      </c>
      <c r="C755" s="1" t="s">
        <v>47</v>
      </c>
      <c r="D755" s="1"/>
      <c r="E755" s="1" t="s">
        <v>4868</v>
      </c>
      <c r="F755" s="1"/>
      <c r="G755" s="1" t="s">
        <v>49</v>
      </c>
      <c r="H755" s="1" t="s">
        <v>50</v>
      </c>
      <c r="I755" s="1">
        <v>211500.0</v>
      </c>
      <c r="J755" s="1"/>
      <c r="K755" s="1" t="s">
        <v>92</v>
      </c>
      <c r="L755" s="1"/>
      <c r="M755" s="1" t="s">
        <v>4799</v>
      </c>
      <c r="N755" s="1" t="s">
        <v>109</v>
      </c>
      <c r="O755" s="1" t="s">
        <v>110</v>
      </c>
      <c r="P755" s="2" t="s">
        <v>4869</v>
      </c>
      <c r="Q755" s="1" t="s">
        <v>56</v>
      </c>
      <c r="R755" s="1"/>
      <c r="S755" s="1" t="s">
        <v>1613</v>
      </c>
      <c r="T755" s="1">
        <v>5103403.0</v>
      </c>
      <c r="U755" s="1" t="s">
        <v>4685</v>
      </c>
      <c r="V755" s="1" t="s">
        <v>323</v>
      </c>
      <c r="W755" s="1" t="s">
        <v>100</v>
      </c>
      <c r="X755" s="1"/>
      <c r="Y755" s="1"/>
      <c r="Z755" s="1" t="s">
        <v>112</v>
      </c>
      <c r="AA755" s="1" t="s">
        <v>4870</v>
      </c>
      <c r="AB755" s="1" t="str">
        <f>"16750005000171"</f>
        <v>16750005000171</v>
      </c>
      <c r="AC755" s="1"/>
      <c r="AD755" s="1" t="s">
        <v>62</v>
      </c>
      <c r="AE755" s="1"/>
      <c r="AF755" s="1">
        <v>-56.059722</v>
      </c>
      <c r="AG755" s="1">
        <v>-15.558889</v>
      </c>
      <c r="AH755" s="1" t="s">
        <v>4802</v>
      </c>
      <c r="AI755" s="1"/>
      <c r="AJ755" s="1" t="s">
        <v>327</v>
      </c>
      <c r="AK755" s="1"/>
      <c r="AL755" s="1"/>
      <c r="AM755" s="1" t="s">
        <v>65</v>
      </c>
      <c r="AN755" s="1" t="s">
        <v>4688</v>
      </c>
      <c r="AO755" s="1"/>
      <c r="AP755" s="2" t="s">
        <v>4871</v>
      </c>
      <c r="AQ755" s="1"/>
      <c r="AR755" s="1" t="s">
        <v>106</v>
      </c>
      <c r="AS755" s="1"/>
      <c r="AT755" s="2" t="s">
        <v>70</v>
      </c>
    </row>
    <row r="756">
      <c r="A756" s="1"/>
      <c r="B756" s="1" t="s">
        <v>46</v>
      </c>
      <c r="C756" s="1" t="s">
        <v>47</v>
      </c>
      <c r="D756" s="1"/>
      <c r="E756" s="1" t="s">
        <v>4872</v>
      </c>
      <c r="F756" s="1"/>
      <c r="G756" s="1" t="s">
        <v>49</v>
      </c>
      <c r="H756" s="1" t="s">
        <v>50</v>
      </c>
      <c r="I756" s="1">
        <v>411500.0</v>
      </c>
      <c r="J756" s="1"/>
      <c r="K756" s="1" t="s">
        <v>92</v>
      </c>
      <c r="L756" s="1"/>
      <c r="M756" s="1" t="s">
        <v>4799</v>
      </c>
      <c r="N756" s="1" t="s">
        <v>109</v>
      </c>
      <c r="O756" s="1" t="s">
        <v>110</v>
      </c>
      <c r="P756" s="2" t="s">
        <v>4873</v>
      </c>
      <c r="Q756" s="1" t="s">
        <v>56</v>
      </c>
      <c r="R756" s="1"/>
      <c r="S756" s="1" t="s">
        <v>1613</v>
      </c>
      <c r="T756" s="1">
        <v>5103403.0</v>
      </c>
      <c r="U756" s="1" t="s">
        <v>4685</v>
      </c>
      <c r="V756" s="1" t="s">
        <v>323</v>
      </c>
      <c r="W756" s="1" t="s">
        <v>100</v>
      </c>
      <c r="X756" s="1"/>
      <c r="Y756" s="1"/>
      <c r="Z756" s="1" t="s">
        <v>112</v>
      </c>
      <c r="AA756" s="1" t="s">
        <v>4874</v>
      </c>
      <c r="AB756" s="1" t="str">
        <f>"08927743000113"</f>
        <v>08927743000113</v>
      </c>
      <c r="AC756" s="1"/>
      <c r="AD756" s="1" t="s">
        <v>62</v>
      </c>
      <c r="AE756" s="1"/>
      <c r="AF756" s="1">
        <v>-56.059722</v>
      </c>
      <c r="AG756" s="1">
        <v>-15.558889</v>
      </c>
      <c r="AH756" s="1" t="s">
        <v>4802</v>
      </c>
      <c r="AI756" s="1"/>
      <c r="AJ756" s="1" t="s">
        <v>327</v>
      </c>
      <c r="AK756" s="1"/>
      <c r="AL756" s="1"/>
      <c r="AM756" s="1" t="s">
        <v>65</v>
      </c>
      <c r="AN756" s="1" t="s">
        <v>4688</v>
      </c>
      <c r="AO756" s="1"/>
      <c r="AP756" s="2" t="s">
        <v>4875</v>
      </c>
      <c r="AQ756" s="1"/>
      <c r="AR756" s="1" t="s">
        <v>106</v>
      </c>
      <c r="AS756" s="1"/>
      <c r="AT756" s="2" t="s">
        <v>70</v>
      </c>
    </row>
    <row r="757">
      <c r="A757" s="1">
        <v>2042483.0</v>
      </c>
      <c r="B757" s="1" t="s">
        <v>116</v>
      </c>
      <c r="C757" s="1" t="s">
        <v>117</v>
      </c>
      <c r="D757" s="1" t="s">
        <v>46</v>
      </c>
      <c r="E757" s="1" t="s">
        <v>4876</v>
      </c>
      <c r="F757" s="1"/>
      <c r="G757" s="1" t="s">
        <v>119</v>
      </c>
      <c r="H757" s="1" t="s">
        <v>72</v>
      </c>
      <c r="I757" s="1">
        <v>1000.0</v>
      </c>
      <c r="J757" s="1"/>
      <c r="K757" s="1"/>
      <c r="L757" s="1" t="s">
        <v>587</v>
      </c>
      <c r="M757" s="1" t="s">
        <v>4877</v>
      </c>
      <c r="N757" s="1" t="s">
        <v>109</v>
      </c>
      <c r="O757" s="1" t="s">
        <v>110</v>
      </c>
      <c r="P757" s="2" t="s">
        <v>4878</v>
      </c>
      <c r="Q757" s="1" t="s">
        <v>56</v>
      </c>
      <c r="R757" s="2" t="s">
        <v>4879</v>
      </c>
      <c r="S757" s="1" t="s">
        <v>582</v>
      </c>
      <c r="T757" s="1">
        <v>1400472.0</v>
      </c>
      <c r="U757" s="1" t="s">
        <v>4655</v>
      </c>
      <c r="V757" s="1" t="s">
        <v>584</v>
      </c>
      <c r="W757" s="1" t="s">
        <v>100</v>
      </c>
      <c r="X757" s="1"/>
      <c r="Y757" s="1" t="str">
        <f>"02025000013202169"</f>
        <v>02025000013202169</v>
      </c>
      <c r="Z757" s="1" t="s">
        <v>112</v>
      </c>
      <c r="AA757" s="1" t="s">
        <v>4880</v>
      </c>
      <c r="AB757" s="1" t="str">
        <f>"***753202**"</f>
        <v>***753202**</v>
      </c>
      <c r="AC757" s="1"/>
      <c r="AD757" s="1"/>
      <c r="AE757" s="1"/>
      <c r="AF757" s="1">
        <v>-47.933056</v>
      </c>
      <c r="AG757" s="1">
        <v>15.83</v>
      </c>
      <c r="AH757" s="1" t="s">
        <v>4881</v>
      </c>
      <c r="AI757" s="1"/>
      <c r="AJ757" s="1" t="s">
        <v>587</v>
      </c>
      <c r="AK757" s="1"/>
      <c r="AL757" s="1" t="s">
        <v>128</v>
      </c>
      <c r="AM757" s="1" t="s">
        <v>65</v>
      </c>
      <c r="AN757" s="1"/>
      <c r="AO757" s="2" t="s">
        <v>4882</v>
      </c>
      <c r="AP757" s="2" t="s">
        <v>4883</v>
      </c>
      <c r="AQ757" s="1" t="s">
        <v>132</v>
      </c>
      <c r="AR757" s="1" t="s">
        <v>1354</v>
      </c>
      <c r="AS757" s="1"/>
      <c r="AT757" s="2" t="s">
        <v>70</v>
      </c>
    </row>
    <row r="758">
      <c r="A758" s="1"/>
      <c r="B758" s="1" t="s">
        <v>46</v>
      </c>
      <c r="C758" s="1" t="s">
        <v>47</v>
      </c>
      <c r="D758" s="1"/>
      <c r="E758" s="1" t="s">
        <v>4884</v>
      </c>
      <c r="F758" s="1"/>
      <c r="G758" s="1" t="s">
        <v>49</v>
      </c>
      <c r="H758" s="1" t="s">
        <v>50</v>
      </c>
      <c r="I758" s="1">
        <v>500.0</v>
      </c>
      <c r="J758" s="1"/>
      <c r="K758" s="1" t="s">
        <v>51</v>
      </c>
      <c r="L758" s="1"/>
      <c r="M758" s="1" t="s">
        <v>4885</v>
      </c>
      <c r="N758" s="1" t="s">
        <v>4886</v>
      </c>
      <c r="O758" s="1" t="s">
        <v>4887</v>
      </c>
      <c r="P758" s="2" t="s">
        <v>4888</v>
      </c>
      <c r="Q758" s="1" t="s">
        <v>77</v>
      </c>
      <c r="R758" s="1"/>
      <c r="S758" s="1" t="s">
        <v>437</v>
      </c>
      <c r="T758" s="1">
        <v>2307254.0</v>
      </c>
      <c r="U758" s="1" t="s">
        <v>4889</v>
      </c>
      <c r="V758" s="1" t="s">
        <v>439</v>
      </c>
      <c r="W758" s="1" t="s">
        <v>60</v>
      </c>
      <c r="X758" s="1" t="s">
        <v>4890</v>
      </c>
      <c r="Y758" s="1" t="str">
        <f>"02001002415202176"</f>
        <v>02001002415202176</v>
      </c>
      <c r="Z758" s="1" t="s">
        <v>4891</v>
      </c>
      <c r="AA758" s="1" t="s">
        <v>4892</v>
      </c>
      <c r="AB758" s="1"/>
      <c r="AC758" s="1"/>
      <c r="AD758" s="1" t="s">
        <v>81</v>
      </c>
      <c r="AE758" s="1"/>
      <c r="AF758" s="1">
        <v>-40.505001</v>
      </c>
      <c r="AG758" s="1">
        <v>-2.810555</v>
      </c>
      <c r="AH758" s="1" t="s">
        <v>4893</v>
      </c>
      <c r="AI758" s="1"/>
      <c r="AJ758" s="1" t="s">
        <v>1763</v>
      </c>
      <c r="AK758" s="1"/>
      <c r="AL758" s="1"/>
      <c r="AM758" s="1" t="s">
        <v>65</v>
      </c>
      <c r="AN758" s="1" t="s">
        <v>1462</v>
      </c>
      <c r="AO758" s="1"/>
      <c r="AP758" s="2" t="s">
        <v>4894</v>
      </c>
      <c r="AQ758" s="1"/>
      <c r="AR758" s="1" t="s">
        <v>4895</v>
      </c>
      <c r="AS758" s="1"/>
      <c r="AT758" s="2" t="s">
        <v>70</v>
      </c>
    </row>
    <row r="759">
      <c r="A759" s="1">
        <v>2042484.0</v>
      </c>
      <c r="B759" s="1" t="s">
        <v>116</v>
      </c>
      <c r="C759" s="1" t="s">
        <v>117</v>
      </c>
      <c r="D759" s="1" t="s">
        <v>46</v>
      </c>
      <c r="E759" s="1" t="s">
        <v>4896</v>
      </c>
      <c r="F759" s="1"/>
      <c r="G759" s="1" t="s">
        <v>119</v>
      </c>
      <c r="H759" s="1" t="s">
        <v>72</v>
      </c>
      <c r="I759" s="1">
        <v>1000.0</v>
      </c>
      <c r="J759" s="1"/>
      <c r="K759" s="1"/>
      <c r="L759" s="1" t="s">
        <v>587</v>
      </c>
      <c r="M759" s="1" t="s">
        <v>4897</v>
      </c>
      <c r="N759" s="1" t="s">
        <v>109</v>
      </c>
      <c r="O759" s="1" t="s">
        <v>110</v>
      </c>
      <c r="P759" s="2" t="s">
        <v>4898</v>
      </c>
      <c r="Q759" s="1" t="s">
        <v>56</v>
      </c>
      <c r="R759" s="2" t="s">
        <v>4879</v>
      </c>
      <c r="S759" s="1" t="s">
        <v>582</v>
      </c>
      <c r="T759" s="1">
        <v>1400100.0</v>
      </c>
      <c r="U759" s="1" t="s">
        <v>1123</v>
      </c>
      <c r="V759" s="1" t="s">
        <v>584</v>
      </c>
      <c r="W759" s="1" t="s">
        <v>100</v>
      </c>
      <c r="X759" s="1"/>
      <c r="Y759" s="1" t="str">
        <f>"02025000014202111"</f>
        <v>02025000014202111</v>
      </c>
      <c r="Z759" s="1" t="s">
        <v>112</v>
      </c>
      <c r="AA759" s="1" t="s">
        <v>4899</v>
      </c>
      <c r="AB759" s="1" t="str">
        <f>"***859013**"</f>
        <v>***859013**</v>
      </c>
      <c r="AC759" s="1"/>
      <c r="AD759" s="1"/>
      <c r="AE759" s="1"/>
      <c r="AF759" s="1">
        <v>-47.933056</v>
      </c>
      <c r="AG759" s="1">
        <v>15.83</v>
      </c>
      <c r="AH759" s="1" t="s">
        <v>4900</v>
      </c>
      <c r="AI759" s="1"/>
      <c r="AJ759" s="1" t="s">
        <v>587</v>
      </c>
      <c r="AK759" s="1"/>
      <c r="AL759" s="1" t="s">
        <v>128</v>
      </c>
      <c r="AM759" s="1" t="s">
        <v>65</v>
      </c>
      <c r="AN759" s="1"/>
      <c r="AO759" s="2" t="s">
        <v>4882</v>
      </c>
      <c r="AP759" s="2" t="s">
        <v>4901</v>
      </c>
      <c r="AQ759" s="1" t="s">
        <v>132</v>
      </c>
      <c r="AR759" s="1" t="s">
        <v>1354</v>
      </c>
      <c r="AS759" s="1"/>
      <c r="AT759" s="2" t="s">
        <v>70</v>
      </c>
    </row>
    <row r="760">
      <c r="A760" s="1">
        <v>2042745.0</v>
      </c>
      <c r="B760" s="1" t="s">
        <v>116</v>
      </c>
      <c r="C760" s="1" t="s">
        <v>117</v>
      </c>
      <c r="D760" s="1" t="s">
        <v>46</v>
      </c>
      <c r="E760" s="1" t="s">
        <v>4902</v>
      </c>
      <c r="F760" s="1"/>
      <c r="G760" s="1" t="s">
        <v>119</v>
      </c>
      <c r="H760" s="1" t="s">
        <v>72</v>
      </c>
      <c r="I760" s="1">
        <v>17700.0</v>
      </c>
      <c r="J760" s="1"/>
      <c r="K760" s="1"/>
      <c r="L760" s="1" t="s">
        <v>442</v>
      </c>
      <c r="M760" s="1" t="s">
        <v>4903</v>
      </c>
      <c r="N760" s="1" t="s">
        <v>109</v>
      </c>
      <c r="O760" s="1" t="s">
        <v>110</v>
      </c>
      <c r="P760" s="2" t="s">
        <v>4898</v>
      </c>
      <c r="Q760" s="1" t="s">
        <v>77</v>
      </c>
      <c r="R760" s="2" t="s">
        <v>4840</v>
      </c>
      <c r="S760" s="1" t="s">
        <v>437</v>
      </c>
      <c r="T760" s="1">
        <v>2309706.0</v>
      </c>
      <c r="U760" s="1" t="s">
        <v>4904</v>
      </c>
      <c r="V760" s="1" t="s">
        <v>439</v>
      </c>
      <c r="W760" s="1" t="s">
        <v>291</v>
      </c>
      <c r="X760" s="1"/>
      <c r="Y760" s="1" t="str">
        <f>"02007000215202129"</f>
        <v>02007000215202129</v>
      </c>
      <c r="Z760" s="1" t="s">
        <v>112</v>
      </c>
      <c r="AA760" s="1" t="s">
        <v>4905</v>
      </c>
      <c r="AB760" s="1" t="str">
        <f>"19982686000191"</f>
        <v>19982686000191</v>
      </c>
      <c r="AC760" s="1"/>
      <c r="AD760" s="1"/>
      <c r="AE760" s="1"/>
      <c r="AF760" s="1">
        <v>-38.607498</v>
      </c>
      <c r="AG760" s="1">
        <v>-3.919445</v>
      </c>
      <c r="AH760" s="1" t="s">
        <v>4906</v>
      </c>
      <c r="AI760" s="1"/>
      <c r="AJ760" s="1" t="s">
        <v>442</v>
      </c>
      <c r="AK760" s="1"/>
      <c r="AL760" s="1" t="s">
        <v>128</v>
      </c>
      <c r="AM760" s="1" t="s">
        <v>65</v>
      </c>
      <c r="AN760" s="1" t="s">
        <v>3734</v>
      </c>
      <c r="AO760" s="2" t="s">
        <v>4649</v>
      </c>
      <c r="AP760" s="2" t="s">
        <v>4907</v>
      </c>
      <c r="AQ760" s="1" t="s">
        <v>132</v>
      </c>
      <c r="AR760" s="1" t="s">
        <v>1236</v>
      </c>
      <c r="AS760" s="1"/>
      <c r="AT760" s="2" t="s">
        <v>70</v>
      </c>
    </row>
    <row r="761">
      <c r="A761" s="1"/>
      <c r="B761" s="1" t="s">
        <v>46</v>
      </c>
      <c r="C761" s="1" t="s">
        <v>47</v>
      </c>
      <c r="D761" s="1"/>
      <c r="E761" s="1" t="s">
        <v>4908</v>
      </c>
      <c r="F761" s="1"/>
      <c r="G761" s="1" t="s">
        <v>49</v>
      </c>
      <c r="H761" s="1" t="s">
        <v>50</v>
      </c>
      <c r="I761" s="1">
        <v>1400.0</v>
      </c>
      <c r="J761" s="1"/>
      <c r="K761" s="1"/>
      <c r="L761" s="1"/>
      <c r="M761" s="1" t="s">
        <v>4909</v>
      </c>
      <c r="N761" s="1" t="s">
        <v>381</v>
      </c>
      <c r="O761" s="1" t="s">
        <v>382</v>
      </c>
      <c r="P761" s="2" t="s">
        <v>4910</v>
      </c>
      <c r="Q761" s="1" t="s">
        <v>56</v>
      </c>
      <c r="R761" s="1"/>
      <c r="S761" s="1" t="s">
        <v>220</v>
      </c>
      <c r="T761" s="1">
        <v>3526605.0</v>
      </c>
      <c r="U761" s="1" t="s">
        <v>3979</v>
      </c>
      <c r="V761" s="1" t="s">
        <v>139</v>
      </c>
      <c r="W761" s="1" t="s">
        <v>78</v>
      </c>
      <c r="X761" s="1"/>
      <c r="Y761" s="1" t="str">
        <f>"02548000008202157"</f>
        <v>02548000008202157</v>
      </c>
      <c r="Z761" s="1" t="s">
        <v>384</v>
      </c>
      <c r="AA761" s="1" t="s">
        <v>4911</v>
      </c>
      <c r="AB761" s="1" t="str">
        <f>"62413018000172"</f>
        <v>62413018000172</v>
      </c>
      <c r="AC761" s="1"/>
      <c r="AD761" s="1" t="s">
        <v>81</v>
      </c>
      <c r="AE761" s="1"/>
      <c r="AF761" s="1">
        <v>-44.859859</v>
      </c>
      <c r="AG761" s="1">
        <v>-22.560471</v>
      </c>
      <c r="AH761" s="1" t="s">
        <v>4912</v>
      </c>
      <c r="AI761" s="1"/>
      <c r="AJ761" s="1" t="s">
        <v>1037</v>
      </c>
      <c r="AK761" s="1"/>
      <c r="AL761" s="1"/>
      <c r="AM761" s="1" t="s">
        <v>65</v>
      </c>
      <c r="AN761" s="1"/>
      <c r="AO761" s="1"/>
      <c r="AP761" s="2" t="s">
        <v>4913</v>
      </c>
      <c r="AQ761" s="1"/>
      <c r="AR761" s="1" t="s">
        <v>3983</v>
      </c>
      <c r="AS761" s="1"/>
      <c r="AT761" s="2" t="s">
        <v>70</v>
      </c>
    </row>
    <row r="762">
      <c r="A762" s="1">
        <v>2043182.0</v>
      </c>
      <c r="B762" s="1" t="s">
        <v>116</v>
      </c>
      <c r="C762" s="1" t="s">
        <v>117</v>
      </c>
      <c r="D762" s="1" t="s">
        <v>46</v>
      </c>
      <c r="E762" s="1" t="s">
        <v>4914</v>
      </c>
      <c r="F762" s="1"/>
      <c r="G762" s="1" t="s">
        <v>119</v>
      </c>
      <c r="H762" s="1" t="s">
        <v>72</v>
      </c>
      <c r="I762" s="1">
        <v>1000.0</v>
      </c>
      <c r="J762" s="1"/>
      <c r="K762" s="1"/>
      <c r="L762" s="1" t="s">
        <v>1763</v>
      </c>
      <c r="M762" s="1" t="s">
        <v>4915</v>
      </c>
      <c r="N762" s="1" t="s">
        <v>4886</v>
      </c>
      <c r="O762" s="1" t="s">
        <v>4887</v>
      </c>
      <c r="P762" s="2" t="s">
        <v>4916</v>
      </c>
      <c r="Q762" s="1" t="s">
        <v>77</v>
      </c>
      <c r="R762" s="2" t="s">
        <v>4879</v>
      </c>
      <c r="S762" s="1" t="s">
        <v>437</v>
      </c>
      <c r="T762" s="1">
        <v>2307254.0</v>
      </c>
      <c r="U762" s="1" t="s">
        <v>4889</v>
      </c>
      <c r="V762" s="1" t="s">
        <v>439</v>
      </c>
      <c r="W762" s="1" t="s">
        <v>60</v>
      </c>
      <c r="X762" s="1" t="s">
        <v>4890</v>
      </c>
      <c r="Y762" s="1" t="str">
        <f>"02001002412202132"</f>
        <v>02001002412202132</v>
      </c>
      <c r="Z762" s="1" t="s">
        <v>4891</v>
      </c>
      <c r="AA762" s="1" t="s">
        <v>4917</v>
      </c>
      <c r="AB762" s="1" t="str">
        <f>"***604003**"</f>
        <v>***604003**</v>
      </c>
      <c r="AC762" s="1"/>
      <c r="AD762" s="1"/>
      <c r="AE762" s="1"/>
      <c r="AF762" s="1">
        <v>-40.529446</v>
      </c>
      <c r="AG762" s="1">
        <v>-2.813611</v>
      </c>
      <c r="AH762" s="1" t="s">
        <v>4918</v>
      </c>
      <c r="AI762" s="1"/>
      <c r="AJ762" s="1" t="s">
        <v>1763</v>
      </c>
      <c r="AK762" s="1"/>
      <c r="AL762" s="1" t="s">
        <v>128</v>
      </c>
      <c r="AM762" s="1" t="s">
        <v>65</v>
      </c>
      <c r="AN762" s="1" t="s">
        <v>1462</v>
      </c>
      <c r="AO762" s="2" t="s">
        <v>2903</v>
      </c>
      <c r="AP762" s="2" t="s">
        <v>4919</v>
      </c>
      <c r="AQ762" s="1" t="s">
        <v>132</v>
      </c>
      <c r="AR762" s="1" t="s">
        <v>4920</v>
      </c>
      <c r="AS762" s="1"/>
      <c r="AT762" s="2" t="s">
        <v>70</v>
      </c>
    </row>
    <row r="763">
      <c r="A763" s="1"/>
      <c r="B763" s="1" t="s">
        <v>46</v>
      </c>
      <c r="C763" s="1" t="s">
        <v>47</v>
      </c>
      <c r="D763" s="1"/>
      <c r="E763" s="1" t="s">
        <v>4921</v>
      </c>
      <c r="F763" s="1"/>
      <c r="G763" s="1" t="s">
        <v>49</v>
      </c>
      <c r="H763" s="1" t="s">
        <v>50</v>
      </c>
      <c r="I763" s="1">
        <v>1100.0</v>
      </c>
      <c r="J763" s="1"/>
      <c r="K763" s="1"/>
      <c r="L763" s="1"/>
      <c r="M763" s="1" t="s">
        <v>4922</v>
      </c>
      <c r="N763" s="1" t="s">
        <v>381</v>
      </c>
      <c r="O763" s="1" t="s">
        <v>382</v>
      </c>
      <c r="P763" s="2" t="s">
        <v>4923</v>
      </c>
      <c r="Q763" s="1" t="s">
        <v>56</v>
      </c>
      <c r="R763" s="2" t="s">
        <v>4789</v>
      </c>
      <c r="S763" s="1" t="s">
        <v>359</v>
      </c>
      <c r="T763" s="1">
        <v>3526605.0</v>
      </c>
      <c r="U763" s="1" t="s">
        <v>3979</v>
      </c>
      <c r="V763" s="1" t="s">
        <v>139</v>
      </c>
      <c r="W763" s="1" t="s">
        <v>78</v>
      </c>
      <c r="X763" s="1"/>
      <c r="Y763" s="1" t="str">
        <f>"02548000007202111"</f>
        <v>02548000007202111</v>
      </c>
      <c r="Z763" s="1" t="s">
        <v>384</v>
      </c>
      <c r="AA763" s="1" t="s">
        <v>4924</v>
      </c>
      <c r="AB763" s="1" t="str">
        <f>"07229992000172"</f>
        <v>07229992000172</v>
      </c>
      <c r="AC763" s="1"/>
      <c r="AD763" s="1" t="s">
        <v>81</v>
      </c>
      <c r="AE763" s="1"/>
      <c r="AF763" s="1">
        <v>-44.859859</v>
      </c>
      <c r="AG763" s="1">
        <v>-22.560471</v>
      </c>
      <c r="AH763" s="1" t="s">
        <v>4925</v>
      </c>
      <c r="AI763" s="1"/>
      <c r="AJ763" s="1" t="s">
        <v>1037</v>
      </c>
      <c r="AK763" s="1"/>
      <c r="AL763" s="1"/>
      <c r="AM763" s="1" t="s">
        <v>65</v>
      </c>
      <c r="AN763" s="1"/>
      <c r="AO763" s="1"/>
      <c r="AP763" s="2" t="s">
        <v>4926</v>
      </c>
      <c r="AQ763" s="1"/>
      <c r="AR763" s="1" t="s">
        <v>3983</v>
      </c>
      <c r="AS763" s="1"/>
      <c r="AT763" s="2" t="s">
        <v>70</v>
      </c>
    </row>
    <row r="764">
      <c r="A764" s="1">
        <v>2042731.0</v>
      </c>
      <c r="B764" s="1" t="s">
        <v>116</v>
      </c>
      <c r="C764" s="1" t="s">
        <v>117</v>
      </c>
      <c r="D764" s="1" t="s">
        <v>46</v>
      </c>
      <c r="E764" s="1" t="s">
        <v>4927</v>
      </c>
      <c r="F764" s="1"/>
      <c r="G764" s="1" t="s">
        <v>119</v>
      </c>
      <c r="H764" s="1" t="s">
        <v>72</v>
      </c>
      <c r="I764" s="1">
        <v>4000.0</v>
      </c>
      <c r="J764" s="1"/>
      <c r="K764" s="1"/>
      <c r="L764" s="1" t="s">
        <v>442</v>
      </c>
      <c r="M764" s="1" t="s">
        <v>4928</v>
      </c>
      <c r="N764" s="1" t="s">
        <v>257</v>
      </c>
      <c r="O764" s="1" t="s">
        <v>258</v>
      </c>
      <c r="P764" s="2" t="s">
        <v>4929</v>
      </c>
      <c r="Q764" s="1" t="s">
        <v>77</v>
      </c>
      <c r="R764" s="2" t="s">
        <v>4879</v>
      </c>
      <c r="S764" s="1" t="s">
        <v>220</v>
      </c>
      <c r="T764" s="1">
        <v>2304400.0</v>
      </c>
      <c r="U764" s="1" t="s">
        <v>592</v>
      </c>
      <c r="V764" s="1" t="s">
        <v>439</v>
      </c>
      <c r="W764" s="1" t="s">
        <v>291</v>
      </c>
      <c r="X764" s="1"/>
      <c r="Y764" s="1" t="str">
        <f>"02007000211202141"</f>
        <v>02007000211202141</v>
      </c>
      <c r="Z764" s="1" t="s">
        <v>260</v>
      </c>
      <c r="AA764" s="1" t="s">
        <v>4930</v>
      </c>
      <c r="AB764" s="1" t="str">
        <f>"***302247**"</f>
        <v>***302247**</v>
      </c>
      <c r="AC764" s="1"/>
      <c r="AD764" s="1"/>
      <c r="AE764" s="1"/>
      <c r="AF764" s="1">
        <v>-38.520279</v>
      </c>
      <c r="AG764" s="1">
        <v>-3.755556</v>
      </c>
      <c r="AH764" s="1" t="s">
        <v>4931</v>
      </c>
      <c r="AI764" s="1"/>
      <c r="AJ764" s="1" t="s">
        <v>442</v>
      </c>
      <c r="AK764" s="1"/>
      <c r="AL764" s="1" t="s">
        <v>128</v>
      </c>
      <c r="AM764" s="1" t="s">
        <v>65</v>
      </c>
      <c r="AN764" s="1" t="s">
        <v>3734</v>
      </c>
      <c r="AO764" s="2" t="s">
        <v>4649</v>
      </c>
      <c r="AP764" s="2" t="s">
        <v>4932</v>
      </c>
      <c r="AQ764" s="1" t="s">
        <v>132</v>
      </c>
      <c r="AR764" s="1" t="s">
        <v>4933</v>
      </c>
      <c r="AS764" s="1"/>
      <c r="AT764" s="2" t="s">
        <v>70</v>
      </c>
    </row>
    <row r="765">
      <c r="A765" s="1"/>
      <c r="B765" s="1" t="s">
        <v>46</v>
      </c>
      <c r="C765" s="1" t="s">
        <v>47</v>
      </c>
      <c r="D765" s="1"/>
      <c r="E765" s="1" t="s">
        <v>4934</v>
      </c>
      <c r="F765" s="1"/>
      <c r="G765" s="1" t="s">
        <v>49</v>
      </c>
      <c r="H765" s="1" t="s">
        <v>72</v>
      </c>
      <c r="I765" s="1">
        <v>12300.0</v>
      </c>
      <c r="J765" s="1"/>
      <c r="K765" s="1"/>
      <c r="L765" s="1"/>
      <c r="M765" s="1" t="s">
        <v>4935</v>
      </c>
      <c r="N765" s="1" t="s">
        <v>109</v>
      </c>
      <c r="O765" s="1" t="s">
        <v>110</v>
      </c>
      <c r="P765" s="2" t="s">
        <v>4936</v>
      </c>
      <c r="Q765" s="1" t="s">
        <v>77</v>
      </c>
      <c r="R765" s="1"/>
      <c r="S765" s="1" t="s">
        <v>437</v>
      </c>
      <c r="T765" s="1">
        <v>2304400.0</v>
      </c>
      <c r="U765" s="1" t="s">
        <v>592</v>
      </c>
      <c r="V765" s="1" t="s">
        <v>439</v>
      </c>
      <c r="W765" s="1" t="s">
        <v>291</v>
      </c>
      <c r="X765" s="1"/>
      <c r="Y765" s="1"/>
      <c r="Z765" s="1" t="s">
        <v>112</v>
      </c>
      <c r="AA765" s="1" t="s">
        <v>4937</v>
      </c>
      <c r="AB765" s="1" t="str">
        <f>"21673484000100"</f>
        <v>21673484000100</v>
      </c>
      <c r="AC765" s="1"/>
      <c r="AD765" s="1" t="s">
        <v>62</v>
      </c>
      <c r="AE765" s="1"/>
      <c r="AF765" s="1">
        <v>-38.609997</v>
      </c>
      <c r="AG765" s="1">
        <v>-3.813111</v>
      </c>
      <c r="AH765" s="1" t="s">
        <v>4938</v>
      </c>
      <c r="AI765" s="1"/>
      <c r="AJ765" s="1" t="s">
        <v>442</v>
      </c>
      <c r="AK765" s="1"/>
      <c r="AL765" s="1"/>
      <c r="AM765" s="1" t="s">
        <v>65</v>
      </c>
      <c r="AN765" s="1" t="s">
        <v>3734</v>
      </c>
      <c r="AO765" s="1"/>
      <c r="AP765" s="2" t="s">
        <v>4939</v>
      </c>
      <c r="AQ765" s="1"/>
      <c r="AR765" s="1" t="s">
        <v>1143</v>
      </c>
      <c r="AS765" s="1"/>
      <c r="AT765" s="2" t="s">
        <v>70</v>
      </c>
    </row>
    <row r="766">
      <c r="A766" s="1">
        <v>2043041.0</v>
      </c>
      <c r="B766" s="1" t="s">
        <v>116</v>
      </c>
      <c r="C766" s="1" t="s">
        <v>117</v>
      </c>
      <c r="D766" s="1" t="s">
        <v>46</v>
      </c>
      <c r="E766" s="1" t="s">
        <v>4940</v>
      </c>
      <c r="F766" s="1"/>
      <c r="G766" s="1" t="s">
        <v>119</v>
      </c>
      <c r="H766" s="1" t="s">
        <v>72</v>
      </c>
      <c r="I766" s="1">
        <v>9900.0</v>
      </c>
      <c r="J766" s="1"/>
      <c r="K766" s="1"/>
      <c r="L766" s="1" t="s">
        <v>442</v>
      </c>
      <c r="M766" s="1" t="s">
        <v>4941</v>
      </c>
      <c r="N766" s="1" t="s">
        <v>109</v>
      </c>
      <c r="O766" s="1" t="s">
        <v>110</v>
      </c>
      <c r="P766" s="2" t="s">
        <v>4942</v>
      </c>
      <c r="Q766" s="1" t="s">
        <v>77</v>
      </c>
      <c r="R766" s="2" t="s">
        <v>4879</v>
      </c>
      <c r="S766" s="1" t="s">
        <v>437</v>
      </c>
      <c r="T766" s="1">
        <v>2304400.0</v>
      </c>
      <c r="U766" s="1" t="s">
        <v>592</v>
      </c>
      <c r="V766" s="1" t="s">
        <v>439</v>
      </c>
      <c r="W766" s="1" t="s">
        <v>291</v>
      </c>
      <c r="X766" s="1"/>
      <c r="Y766" s="1" t="str">
        <f>"02007000300202197"</f>
        <v>02007000300202197</v>
      </c>
      <c r="Z766" s="1" t="s">
        <v>112</v>
      </c>
      <c r="AA766" s="1" t="s">
        <v>4943</v>
      </c>
      <c r="AB766" s="1" t="str">
        <f>"00064504000175"</f>
        <v>00064504000175</v>
      </c>
      <c r="AC766" s="1"/>
      <c r="AD766" s="1"/>
      <c r="AE766" s="1"/>
      <c r="AF766" s="1">
        <v>-38.521057</v>
      </c>
      <c r="AG766" s="1">
        <v>-3.803389</v>
      </c>
      <c r="AH766" s="1" t="s">
        <v>4944</v>
      </c>
      <c r="AI766" s="1"/>
      <c r="AJ766" s="1" t="s">
        <v>442</v>
      </c>
      <c r="AK766" s="1"/>
      <c r="AL766" s="1" t="s">
        <v>128</v>
      </c>
      <c r="AM766" s="1" t="s">
        <v>65</v>
      </c>
      <c r="AN766" s="1" t="s">
        <v>3734</v>
      </c>
      <c r="AO766" s="2" t="s">
        <v>3598</v>
      </c>
      <c r="AP766" s="2" t="s">
        <v>4945</v>
      </c>
      <c r="AQ766" s="1" t="s">
        <v>132</v>
      </c>
      <c r="AR766" s="1" t="s">
        <v>1236</v>
      </c>
      <c r="AS766" s="1"/>
      <c r="AT766" s="2" t="s">
        <v>70</v>
      </c>
    </row>
    <row r="767">
      <c r="A767" s="1"/>
      <c r="B767" s="1" t="s">
        <v>46</v>
      </c>
      <c r="C767" s="1" t="s">
        <v>47</v>
      </c>
      <c r="D767" s="1"/>
      <c r="E767" s="1" t="s">
        <v>4946</v>
      </c>
      <c r="F767" s="1"/>
      <c r="G767" s="1" t="s">
        <v>49</v>
      </c>
      <c r="H767" s="1" t="s">
        <v>50</v>
      </c>
      <c r="I767" s="1">
        <v>1100.0</v>
      </c>
      <c r="J767" s="1"/>
      <c r="K767" s="1"/>
      <c r="L767" s="1"/>
      <c r="M767" s="1" t="s">
        <v>4947</v>
      </c>
      <c r="N767" s="1" t="s">
        <v>381</v>
      </c>
      <c r="O767" s="1" t="s">
        <v>382</v>
      </c>
      <c r="P767" s="2" t="s">
        <v>4948</v>
      </c>
      <c r="Q767" s="1" t="s">
        <v>56</v>
      </c>
      <c r="R767" s="2" t="s">
        <v>4789</v>
      </c>
      <c r="S767" s="1" t="s">
        <v>280</v>
      </c>
      <c r="T767" s="1">
        <v>3526605.0</v>
      </c>
      <c r="U767" s="1" t="s">
        <v>3979</v>
      </c>
      <c r="V767" s="1" t="s">
        <v>139</v>
      </c>
      <c r="W767" s="1" t="s">
        <v>78</v>
      </c>
      <c r="X767" s="1"/>
      <c r="Y767" s="1" t="str">
        <f>"02548000006202168"</f>
        <v>02548000006202168</v>
      </c>
      <c r="Z767" s="1" t="s">
        <v>384</v>
      </c>
      <c r="AA767" s="1" t="s">
        <v>4949</v>
      </c>
      <c r="AB767" s="1" t="str">
        <f>"07275520000237"</f>
        <v>07275520000237</v>
      </c>
      <c r="AC767" s="1"/>
      <c r="AD767" s="1" t="s">
        <v>81</v>
      </c>
      <c r="AE767" s="1"/>
      <c r="AF767" s="1">
        <v>-44.859802</v>
      </c>
      <c r="AG767" s="1">
        <v>-22.560471</v>
      </c>
      <c r="AH767" s="1" t="s">
        <v>4950</v>
      </c>
      <c r="AI767" s="1"/>
      <c r="AJ767" s="1" t="s">
        <v>1037</v>
      </c>
      <c r="AK767" s="1"/>
      <c r="AL767" s="1"/>
      <c r="AM767" s="1" t="s">
        <v>65</v>
      </c>
      <c r="AN767" s="1"/>
      <c r="AO767" s="1"/>
      <c r="AP767" s="2" t="s">
        <v>4951</v>
      </c>
      <c r="AQ767" s="1"/>
      <c r="AR767" s="1" t="s">
        <v>3983</v>
      </c>
      <c r="AS767" s="1"/>
      <c r="AT767" s="2" t="s">
        <v>70</v>
      </c>
    </row>
    <row r="768">
      <c r="A768" s="1"/>
      <c r="B768" s="1" t="s">
        <v>46</v>
      </c>
      <c r="C768" s="1" t="s">
        <v>47</v>
      </c>
      <c r="D768" s="1"/>
      <c r="E768" s="1" t="s">
        <v>4952</v>
      </c>
      <c r="F768" s="1"/>
      <c r="G768" s="1" t="s">
        <v>49</v>
      </c>
      <c r="H768" s="1" t="s">
        <v>50</v>
      </c>
      <c r="I768" s="1">
        <v>6000.0</v>
      </c>
      <c r="J768" s="1"/>
      <c r="K768" s="1"/>
      <c r="L768" s="1"/>
      <c r="M768" s="1" t="s">
        <v>4953</v>
      </c>
      <c r="N768" s="1" t="s">
        <v>53</v>
      </c>
      <c r="O768" s="1" t="s">
        <v>333</v>
      </c>
      <c r="P768" s="2" t="s">
        <v>4954</v>
      </c>
      <c r="Q768" s="1" t="s">
        <v>56</v>
      </c>
      <c r="R768" s="2" t="s">
        <v>4789</v>
      </c>
      <c r="S768" s="1" t="s">
        <v>359</v>
      </c>
      <c r="T768" s="1">
        <v>3526605.0</v>
      </c>
      <c r="U768" s="1" t="s">
        <v>3979</v>
      </c>
      <c r="V768" s="1" t="s">
        <v>139</v>
      </c>
      <c r="W768" s="1" t="s">
        <v>78</v>
      </c>
      <c r="X768" s="1"/>
      <c r="Y768" s="1" t="str">
        <f>"02548000005202113"</f>
        <v>02548000005202113</v>
      </c>
      <c r="Z768" s="1" t="s">
        <v>223</v>
      </c>
      <c r="AA768" s="1" t="s">
        <v>4955</v>
      </c>
      <c r="AB768" s="1" t="str">
        <f>"19941218000179"</f>
        <v>19941218000179</v>
      </c>
      <c r="AC768" s="1"/>
      <c r="AD768" s="1" t="s">
        <v>81</v>
      </c>
      <c r="AE768" s="1"/>
      <c r="AF768" s="1">
        <v>-44.859802</v>
      </c>
      <c r="AG768" s="1">
        <v>-22.560471</v>
      </c>
      <c r="AH768" s="1" t="s">
        <v>4956</v>
      </c>
      <c r="AI768" s="1"/>
      <c r="AJ768" s="1" t="s">
        <v>1037</v>
      </c>
      <c r="AK768" s="1"/>
      <c r="AL768" s="1"/>
      <c r="AM768" s="1" t="s">
        <v>65</v>
      </c>
      <c r="AN768" s="1"/>
      <c r="AO768" s="1"/>
      <c r="AP768" s="2" t="s">
        <v>4957</v>
      </c>
      <c r="AQ768" s="1"/>
      <c r="AR768" s="1" t="s">
        <v>3983</v>
      </c>
      <c r="AS768" s="1"/>
      <c r="AT768" s="2" t="s">
        <v>70</v>
      </c>
    </row>
    <row r="769">
      <c r="A769" s="1"/>
      <c r="B769" s="1" t="s">
        <v>46</v>
      </c>
      <c r="C769" s="1" t="s">
        <v>47</v>
      </c>
      <c r="D769" s="1"/>
      <c r="E769" s="1" t="s">
        <v>4958</v>
      </c>
      <c r="F769" s="1"/>
      <c r="G769" s="1" t="s">
        <v>49</v>
      </c>
      <c r="H769" s="1" t="s">
        <v>50</v>
      </c>
      <c r="I769" s="1">
        <v>6000.0</v>
      </c>
      <c r="J769" s="1"/>
      <c r="K769" s="1"/>
      <c r="L769" s="1"/>
      <c r="M769" s="1" t="s">
        <v>4959</v>
      </c>
      <c r="N769" s="1" t="s">
        <v>381</v>
      </c>
      <c r="O769" s="1" t="s">
        <v>382</v>
      </c>
      <c r="P769" s="2" t="s">
        <v>4960</v>
      </c>
      <c r="Q769" s="1" t="s">
        <v>56</v>
      </c>
      <c r="R769" s="2" t="s">
        <v>4789</v>
      </c>
      <c r="S769" s="1" t="s">
        <v>280</v>
      </c>
      <c r="T769" s="1">
        <v>3526605.0</v>
      </c>
      <c r="U769" s="1" t="s">
        <v>3979</v>
      </c>
      <c r="V769" s="1" t="s">
        <v>139</v>
      </c>
      <c r="W769" s="1" t="s">
        <v>78</v>
      </c>
      <c r="X769" s="1"/>
      <c r="Y769" s="1" t="str">
        <f>"02548000004202179"</f>
        <v>02548000004202179</v>
      </c>
      <c r="Z769" s="1" t="s">
        <v>384</v>
      </c>
      <c r="AA769" s="1" t="s">
        <v>4961</v>
      </c>
      <c r="AB769" s="1" t="str">
        <f>"10458775000240"</f>
        <v>10458775000240</v>
      </c>
      <c r="AC769" s="1"/>
      <c r="AD769" s="1" t="s">
        <v>81</v>
      </c>
      <c r="AE769" s="1"/>
      <c r="AF769" s="1">
        <v>-44.859802</v>
      </c>
      <c r="AG769" s="1">
        <v>-22.560471</v>
      </c>
      <c r="AH769" s="1" t="s">
        <v>4962</v>
      </c>
      <c r="AI769" s="1"/>
      <c r="AJ769" s="1" t="s">
        <v>1037</v>
      </c>
      <c r="AK769" s="1"/>
      <c r="AL769" s="1"/>
      <c r="AM769" s="1" t="s">
        <v>65</v>
      </c>
      <c r="AN769" s="1"/>
      <c r="AO769" s="1"/>
      <c r="AP769" s="2" t="s">
        <v>4963</v>
      </c>
      <c r="AQ769" s="1"/>
      <c r="AR769" s="1" t="s">
        <v>3983</v>
      </c>
      <c r="AS769" s="1"/>
      <c r="AT769" s="2" t="s">
        <v>70</v>
      </c>
    </row>
    <row r="770">
      <c r="A770" s="1">
        <v>2043183.0</v>
      </c>
      <c r="B770" s="1" t="s">
        <v>116</v>
      </c>
      <c r="C770" s="1" t="s">
        <v>117</v>
      </c>
      <c r="D770" s="1" t="s">
        <v>46</v>
      </c>
      <c r="E770" s="1" t="s">
        <v>4964</v>
      </c>
      <c r="F770" s="1"/>
      <c r="G770" s="1" t="s">
        <v>119</v>
      </c>
      <c r="H770" s="1" t="s">
        <v>50</v>
      </c>
      <c r="I770" s="1">
        <v>500.0</v>
      </c>
      <c r="J770" s="1"/>
      <c r="K770" s="1"/>
      <c r="L770" s="1" t="s">
        <v>1763</v>
      </c>
      <c r="M770" s="1" t="s">
        <v>4965</v>
      </c>
      <c r="N770" s="1" t="s">
        <v>4886</v>
      </c>
      <c r="O770" s="1" t="s">
        <v>4887</v>
      </c>
      <c r="P770" s="2" t="s">
        <v>4966</v>
      </c>
      <c r="Q770" s="1" t="s">
        <v>77</v>
      </c>
      <c r="R770" s="2" t="s">
        <v>4967</v>
      </c>
      <c r="S770" s="1" t="s">
        <v>437</v>
      </c>
      <c r="T770" s="1">
        <v>2307254.0</v>
      </c>
      <c r="U770" s="1" t="s">
        <v>4889</v>
      </c>
      <c r="V770" s="1" t="s">
        <v>439</v>
      </c>
      <c r="W770" s="1" t="s">
        <v>60</v>
      </c>
      <c r="X770" s="1" t="s">
        <v>4890</v>
      </c>
      <c r="Y770" s="1" t="str">
        <f>"02001002414202121"</f>
        <v>02001002414202121</v>
      </c>
      <c r="Z770" s="1" t="s">
        <v>4891</v>
      </c>
      <c r="AA770" s="1" t="s">
        <v>4968</v>
      </c>
      <c r="AB770" s="1" t="str">
        <f>"***043033**"</f>
        <v>***043033**</v>
      </c>
      <c r="AC770" s="1"/>
      <c r="AD770" s="1"/>
      <c r="AE770" s="1"/>
      <c r="AF770" s="1">
        <v>-40.486694</v>
      </c>
      <c r="AG770" s="1">
        <v>-2.818628</v>
      </c>
      <c r="AH770" s="1" t="s">
        <v>4969</v>
      </c>
      <c r="AI770" s="1"/>
      <c r="AJ770" s="1" t="s">
        <v>1763</v>
      </c>
      <c r="AK770" s="1"/>
      <c r="AL770" s="1" t="s">
        <v>128</v>
      </c>
      <c r="AM770" s="1" t="s">
        <v>65</v>
      </c>
      <c r="AN770" s="1" t="s">
        <v>1462</v>
      </c>
      <c r="AO770" s="2" t="s">
        <v>2903</v>
      </c>
      <c r="AP770" s="2" t="s">
        <v>4970</v>
      </c>
      <c r="AQ770" s="1" t="s">
        <v>132</v>
      </c>
      <c r="AR770" s="1" t="s">
        <v>4920</v>
      </c>
      <c r="AS770" s="1"/>
      <c r="AT770" s="2" t="s">
        <v>70</v>
      </c>
    </row>
    <row r="771">
      <c r="A771" s="1"/>
      <c r="B771" s="1" t="s">
        <v>46</v>
      </c>
      <c r="C771" s="1" t="s">
        <v>47</v>
      </c>
      <c r="D771" s="1"/>
      <c r="E771" s="1" t="s">
        <v>4971</v>
      </c>
      <c r="F771" s="1"/>
      <c r="G771" s="1" t="s">
        <v>49</v>
      </c>
      <c r="H771" s="1" t="s">
        <v>72</v>
      </c>
      <c r="I771" s="1">
        <v>4500.0</v>
      </c>
      <c r="J771" s="1"/>
      <c r="K771" s="1" t="s">
        <v>51</v>
      </c>
      <c r="L771" s="1"/>
      <c r="M771" s="1" t="s">
        <v>4972</v>
      </c>
      <c r="N771" s="1" t="s">
        <v>381</v>
      </c>
      <c r="O771" s="1" t="s">
        <v>382</v>
      </c>
      <c r="P771" s="2" t="s">
        <v>4973</v>
      </c>
      <c r="Q771" s="1" t="s">
        <v>56</v>
      </c>
      <c r="R771" s="1"/>
      <c r="S771" s="1" t="s">
        <v>359</v>
      </c>
      <c r="T771" s="1">
        <v>3526605.0</v>
      </c>
      <c r="U771" s="1" t="s">
        <v>3979</v>
      </c>
      <c r="V771" s="1" t="s">
        <v>139</v>
      </c>
      <c r="W771" s="1" t="s">
        <v>78</v>
      </c>
      <c r="X771" s="1"/>
      <c r="Y771" s="1"/>
      <c r="Z771" s="1" t="s">
        <v>384</v>
      </c>
      <c r="AA771" s="1" t="s">
        <v>4974</v>
      </c>
      <c r="AB771" s="1" t="str">
        <f>"03770305000170"</f>
        <v>03770305000170</v>
      </c>
      <c r="AC771" s="1"/>
      <c r="AD771" s="1" t="s">
        <v>81</v>
      </c>
      <c r="AE771" s="1"/>
      <c r="AF771" s="1">
        <v>-44.858887</v>
      </c>
      <c r="AG771" s="1">
        <v>-22.559721</v>
      </c>
      <c r="AH771" s="1" t="s">
        <v>4975</v>
      </c>
      <c r="AI771" s="1"/>
      <c r="AJ771" s="1" t="s">
        <v>1037</v>
      </c>
      <c r="AK771" s="1"/>
      <c r="AL771" s="1"/>
      <c r="AM771" s="1" t="s">
        <v>65</v>
      </c>
      <c r="AN771" s="1"/>
      <c r="AO771" s="1"/>
      <c r="AP771" s="2" t="s">
        <v>4976</v>
      </c>
      <c r="AQ771" s="1"/>
      <c r="AR771" s="1" t="s">
        <v>387</v>
      </c>
      <c r="AS771" s="1"/>
      <c r="AT771" s="2" t="s">
        <v>70</v>
      </c>
    </row>
    <row r="772">
      <c r="A772" s="1"/>
      <c r="B772" s="1" t="s">
        <v>46</v>
      </c>
      <c r="C772" s="1" t="s">
        <v>47</v>
      </c>
      <c r="D772" s="1"/>
      <c r="E772" s="1" t="s">
        <v>4977</v>
      </c>
      <c r="F772" s="1"/>
      <c r="G772" s="1" t="s">
        <v>49</v>
      </c>
      <c r="H772" s="1" t="s">
        <v>50</v>
      </c>
      <c r="I772" s="1">
        <v>6000.0</v>
      </c>
      <c r="J772" s="1"/>
      <c r="K772" s="1"/>
      <c r="L772" s="1"/>
      <c r="M772" s="1" t="s">
        <v>4978</v>
      </c>
      <c r="N772" s="1" t="s">
        <v>381</v>
      </c>
      <c r="O772" s="1" t="s">
        <v>382</v>
      </c>
      <c r="P772" s="2" t="s">
        <v>4979</v>
      </c>
      <c r="Q772" s="1" t="s">
        <v>56</v>
      </c>
      <c r="R772" s="2" t="s">
        <v>4789</v>
      </c>
      <c r="S772" s="1" t="s">
        <v>280</v>
      </c>
      <c r="T772" s="1">
        <v>3526605.0</v>
      </c>
      <c r="U772" s="1" t="s">
        <v>3979</v>
      </c>
      <c r="V772" s="1" t="s">
        <v>139</v>
      </c>
      <c r="W772" s="1" t="s">
        <v>78</v>
      </c>
      <c r="X772" s="1"/>
      <c r="Y772" s="1" t="str">
        <f>"02548000003202124"</f>
        <v>02548000003202124</v>
      </c>
      <c r="Z772" s="1" t="s">
        <v>384</v>
      </c>
      <c r="AA772" s="1" t="s">
        <v>4980</v>
      </c>
      <c r="AB772" s="1" t="str">
        <f t="shared" ref="AB772:AB773" si="49">"32438772000287"</f>
        <v>32438772000287</v>
      </c>
      <c r="AC772" s="1"/>
      <c r="AD772" s="1" t="s">
        <v>81</v>
      </c>
      <c r="AE772" s="1"/>
      <c r="AF772" s="1">
        <v>-44.859802</v>
      </c>
      <c r="AG772" s="1">
        <v>-22.560471</v>
      </c>
      <c r="AH772" s="1" t="s">
        <v>4981</v>
      </c>
      <c r="AI772" s="1"/>
      <c r="AJ772" s="1" t="s">
        <v>1037</v>
      </c>
      <c r="AK772" s="1"/>
      <c r="AL772" s="1"/>
      <c r="AM772" s="1" t="s">
        <v>65</v>
      </c>
      <c r="AN772" s="1"/>
      <c r="AO772" s="1"/>
      <c r="AP772" s="2" t="s">
        <v>4982</v>
      </c>
      <c r="AQ772" s="1"/>
      <c r="AR772" s="1" t="s">
        <v>3983</v>
      </c>
      <c r="AS772" s="1"/>
      <c r="AT772" s="2" t="s">
        <v>70</v>
      </c>
    </row>
    <row r="773">
      <c r="A773" s="1"/>
      <c r="B773" s="1" t="s">
        <v>46</v>
      </c>
      <c r="C773" s="1" t="s">
        <v>571</v>
      </c>
      <c r="D773" s="1" t="s">
        <v>116</v>
      </c>
      <c r="E773" s="1" t="s">
        <v>4983</v>
      </c>
      <c r="F773" s="1"/>
      <c r="G773" s="1" t="s">
        <v>49</v>
      </c>
      <c r="H773" s="1" t="s">
        <v>50</v>
      </c>
      <c r="I773" s="1">
        <v>6000.0</v>
      </c>
      <c r="J773" s="1"/>
      <c r="K773" s="1" t="s">
        <v>92</v>
      </c>
      <c r="L773" s="1"/>
      <c r="M773" s="1"/>
      <c r="N773" s="1" t="s">
        <v>381</v>
      </c>
      <c r="O773" s="1" t="s">
        <v>382</v>
      </c>
      <c r="P773" s="2" t="s">
        <v>4984</v>
      </c>
      <c r="Q773" s="1" t="s">
        <v>56</v>
      </c>
      <c r="R773" s="1"/>
      <c r="S773" s="1" t="s">
        <v>359</v>
      </c>
      <c r="T773" s="1">
        <v>3526605.0</v>
      </c>
      <c r="U773" s="1" t="s">
        <v>3979</v>
      </c>
      <c r="V773" s="1" t="s">
        <v>139</v>
      </c>
      <c r="W773" s="1" t="s">
        <v>78</v>
      </c>
      <c r="X773" s="1"/>
      <c r="Y773" s="1"/>
      <c r="Z773" s="1" t="s">
        <v>384</v>
      </c>
      <c r="AA773" s="1" t="s">
        <v>4980</v>
      </c>
      <c r="AB773" s="1" t="str">
        <f t="shared" si="49"/>
        <v>32438772000287</v>
      </c>
      <c r="AC773" s="1"/>
      <c r="AD773" s="1" t="s">
        <v>81</v>
      </c>
      <c r="AE773" s="1"/>
      <c r="AF773" s="1">
        <v>-44.859802</v>
      </c>
      <c r="AG773" s="1">
        <v>-22.560471</v>
      </c>
      <c r="AH773" s="1" t="s">
        <v>4985</v>
      </c>
      <c r="AI773" s="1"/>
      <c r="AJ773" s="1" t="s">
        <v>1037</v>
      </c>
      <c r="AK773" s="1"/>
      <c r="AL773" s="1"/>
      <c r="AM773" s="1" t="s">
        <v>65</v>
      </c>
      <c r="AN773" s="1"/>
      <c r="AO773" s="1"/>
      <c r="AP773" s="2" t="s">
        <v>4986</v>
      </c>
      <c r="AQ773" s="1"/>
      <c r="AR773" s="1" t="s">
        <v>3983</v>
      </c>
      <c r="AS773" s="1"/>
      <c r="AT773" s="2" t="s">
        <v>70</v>
      </c>
    </row>
    <row r="774">
      <c r="A774" s="1">
        <v>2042737.0</v>
      </c>
      <c r="B774" s="1" t="s">
        <v>116</v>
      </c>
      <c r="C774" s="1" t="s">
        <v>117</v>
      </c>
      <c r="D774" s="1" t="s">
        <v>46</v>
      </c>
      <c r="E774" s="1" t="s">
        <v>4987</v>
      </c>
      <c r="F774" s="1"/>
      <c r="G774" s="1" t="s">
        <v>119</v>
      </c>
      <c r="H774" s="1" t="s">
        <v>72</v>
      </c>
      <c r="I774" s="1">
        <v>5400.0</v>
      </c>
      <c r="J774" s="1"/>
      <c r="K774" s="1"/>
      <c r="L774" s="1" t="s">
        <v>442</v>
      </c>
      <c r="M774" s="1" t="s">
        <v>4988</v>
      </c>
      <c r="N774" s="1" t="s">
        <v>109</v>
      </c>
      <c r="O774" s="1" t="s">
        <v>110</v>
      </c>
      <c r="P774" s="2" t="s">
        <v>4989</v>
      </c>
      <c r="Q774" s="1" t="s">
        <v>77</v>
      </c>
      <c r="R774" s="2" t="s">
        <v>4967</v>
      </c>
      <c r="S774" s="1" t="s">
        <v>437</v>
      </c>
      <c r="T774" s="1">
        <v>2304400.0</v>
      </c>
      <c r="U774" s="1" t="s">
        <v>592</v>
      </c>
      <c r="V774" s="1" t="s">
        <v>439</v>
      </c>
      <c r="W774" s="1" t="s">
        <v>291</v>
      </c>
      <c r="X774" s="1"/>
      <c r="Y774" s="1" t="str">
        <f>"02007000214202184"</f>
        <v>02007000214202184</v>
      </c>
      <c r="Z774" s="1" t="s">
        <v>112</v>
      </c>
      <c r="AA774" s="1" t="s">
        <v>4990</v>
      </c>
      <c r="AB774" s="1" t="str">
        <f>"07798182000137"</f>
        <v>07798182000137</v>
      </c>
      <c r="AC774" s="1"/>
      <c r="AD774" s="1"/>
      <c r="AE774" s="1"/>
      <c r="AF774" s="1">
        <v>-38.653057</v>
      </c>
      <c r="AG774" s="1">
        <v>-3.736111</v>
      </c>
      <c r="AH774" s="1" t="s">
        <v>4991</v>
      </c>
      <c r="AI774" s="1"/>
      <c r="AJ774" s="1" t="s">
        <v>442</v>
      </c>
      <c r="AK774" s="1"/>
      <c r="AL774" s="1" t="s">
        <v>128</v>
      </c>
      <c r="AM774" s="1" t="s">
        <v>65</v>
      </c>
      <c r="AN774" s="1" t="s">
        <v>3734</v>
      </c>
      <c r="AO774" s="2" t="s">
        <v>4649</v>
      </c>
      <c r="AP774" s="2" t="s">
        <v>4992</v>
      </c>
      <c r="AQ774" s="1" t="s">
        <v>132</v>
      </c>
      <c r="AR774" s="1" t="s">
        <v>1236</v>
      </c>
      <c r="AS774" s="1"/>
      <c r="AT774" s="2" t="s">
        <v>70</v>
      </c>
    </row>
    <row r="775">
      <c r="A775" s="1">
        <v>2043185.0</v>
      </c>
      <c r="B775" s="1" t="s">
        <v>116</v>
      </c>
      <c r="C775" s="1" t="s">
        <v>117</v>
      </c>
      <c r="D775" s="1" t="s">
        <v>46</v>
      </c>
      <c r="E775" s="1" t="s">
        <v>4993</v>
      </c>
      <c r="F775" s="1"/>
      <c r="G775" s="1" t="s">
        <v>119</v>
      </c>
      <c r="H775" s="1" t="s">
        <v>50</v>
      </c>
      <c r="I775" s="1">
        <v>2000.0</v>
      </c>
      <c r="J775" s="1"/>
      <c r="K775" s="1"/>
      <c r="L775" s="1" t="s">
        <v>1763</v>
      </c>
      <c r="M775" s="1" t="s">
        <v>4994</v>
      </c>
      <c r="N775" s="1" t="s">
        <v>4886</v>
      </c>
      <c r="O775" s="1" t="s">
        <v>4887</v>
      </c>
      <c r="P775" s="2" t="s">
        <v>4995</v>
      </c>
      <c r="Q775" s="1" t="s">
        <v>77</v>
      </c>
      <c r="R775" s="2" t="s">
        <v>4996</v>
      </c>
      <c r="S775" s="1" t="s">
        <v>437</v>
      </c>
      <c r="T775" s="1">
        <v>2307254.0</v>
      </c>
      <c r="U775" s="1" t="s">
        <v>4889</v>
      </c>
      <c r="V775" s="1" t="s">
        <v>439</v>
      </c>
      <c r="W775" s="1" t="s">
        <v>60</v>
      </c>
      <c r="X775" s="1" t="s">
        <v>4890</v>
      </c>
      <c r="Y775" s="1" t="str">
        <f>"02001002416202111"</f>
        <v>02001002416202111</v>
      </c>
      <c r="Z775" s="1" t="s">
        <v>4891</v>
      </c>
      <c r="AA775" s="1" t="s">
        <v>4997</v>
      </c>
      <c r="AB775" s="1" t="str">
        <f>"***099923**"</f>
        <v>***099923**</v>
      </c>
      <c r="AC775" s="1"/>
      <c r="AD775" s="1"/>
      <c r="AE775" s="1"/>
      <c r="AF775" s="1">
        <v>-40.589722</v>
      </c>
      <c r="AG775" s="1">
        <v>-2.8425</v>
      </c>
      <c r="AH775" s="1" t="s">
        <v>4998</v>
      </c>
      <c r="AI775" s="1"/>
      <c r="AJ775" s="1" t="s">
        <v>1763</v>
      </c>
      <c r="AK775" s="1"/>
      <c r="AL775" s="1" t="s">
        <v>128</v>
      </c>
      <c r="AM775" s="1" t="s">
        <v>65</v>
      </c>
      <c r="AN775" s="1" t="s">
        <v>1462</v>
      </c>
      <c r="AO775" s="2" t="s">
        <v>2903</v>
      </c>
      <c r="AP775" s="2" t="s">
        <v>4999</v>
      </c>
      <c r="AQ775" s="1" t="s">
        <v>132</v>
      </c>
      <c r="AR775" s="1" t="s">
        <v>4920</v>
      </c>
      <c r="AS775" s="1" t="s">
        <v>5000</v>
      </c>
      <c r="AT775" s="2" t="s">
        <v>70</v>
      </c>
    </row>
    <row r="776">
      <c r="A776" s="1"/>
      <c r="B776" s="1" t="s">
        <v>46</v>
      </c>
      <c r="C776" s="1" t="s">
        <v>47</v>
      </c>
      <c r="D776" s="1"/>
      <c r="E776" s="1" t="s">
        <v>5001</v>
      </c>
      <c r="F776" s="1"/>
      <c r="G776" s="1" t="s">
        <v>49</v>
      </c>
      <c r="H776" s="1" t="s">
        <v>72</v>
      </c>
      <c r="I776" s="1">
        <v>500.0</v>
      </c>
      <c r="J776" s="1"/>
      <c r="K776" s="1"/>
      <c r="L776" s="1"/>
      <c r="M776" s="1" t="s">
        <v>5002</v>
      </c>
      <c r="N776" s="1" t="s">
        <v>4886</v>
      </c>
      <c r="O776" s="1" t="s">
        <v>4887</v>
      </c>
      <c r="P776" s="2" t="s">
        <v>5003</v>
      </c>
      <c r="Q776" s="1" t="s">
        <v>77</v>
      </c>
      <c r="R776" s="1"/>
      <c r="S776" s="1" t="s">
        <v>437</v>
      </c>
      <c r="T776" s="1">
        <v>2307254.0</v>
      </c>
      <c r="U776" s="1" t="s">
        <v>4889</v>
      </c>
      <c r="V776" s="1" t="s">
        <v>439</v>
      </c>
      <c r="W776" s="1" t="s">
        <v>60</v>
      </c>
      <c r="X776" s="1" t="s">
        <v>4890</v>
      </c>
      <c r="Y776" s="1"/>
      <c r="Z776" s="1" t="s">
        <v>4891</v>
      </c>
      <c r="AA776" s="1" t="s">
        <v>5004</v>
      </c>
      <c r="AB776" s="1" t="str">
        <f>"***193773**"</f>
        <v>***193773**</v>
      </c>
      <c r="AC776" s="1"/>
      <c r="AD776" s="1" t="s">
        <v>81</v>
      </c>
      <c r="AE776" s="1"/>
      <c r="AF776" s="1">
        <v>-40.505833</v>
      </c>
      <c r="AG776" s="1">
        <v>-2.7875</v>
      </c>
      <c r="AH776" s="1" t="s">
        <v>5005</v>
      </c>
      <c r="AI776" s="1"/>
      <c r="AJ776" s="1" t="s">
        <v>442</v>
      </c>
      <c r="AK776" s="1"/>
      <c r="AL776" s="1"/>
      <c r="AM776" s="1" t="s">
        <v>65</v>
      </c>
      <c r="AN776" s="1" t="s">
        <v>5006</v>
      </c>
      <c r="AO776" s="1"/>
      <c r="AP776" s="2" t="s">
        <v>5007</v>
      </c>
      <c r="AQ776" s="1"/>
      <c r="AR776" s="1" t="s">
        <v>4895</v>
      </c>
      <c r="AS776" s="1"/>
      <c r="AT776" s="2" t="s">
        <v>70</v>
      </c>
    </row>
  </sheetData>
  <autoFilter ref="$A$1:$AT$776"/>
  <printOptions/>
  <pageMargins bottom="1.025" footer="0.0" header="0.0" left="0.7875" right="0.7875" top="1.025"/>
  <pageSetup paperSize="9" orientation="portrait"/>
  <headerFooter>
    <oddHeader>&amp;C&amp;A</oddHeader>
    <oddFooter>&amp;CPágina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15.86"/>
    <col customWidth="1" min="3" max="3" width="16.43"/>
    <col customWidth="1" min="4" max="4" width="20.0"/>
    <col customWidth="1" min="5" max="5" width="14.29"/>
    <col customWidth="1" min="6" max="6" width="13.57"/>
    <col customWidth="1" min="7" max="7" width="20.29"/>
    <col customWidth="1" min="8" max="8" width="16.71"/>
    <col customWidth="1" min="9" max="9" width="14.0"/>
    <col customWidth="1" min="10" max="11" width="14.86"/>
    <col customWidth="1" min="12" max="12" width="41.57"/>
    <col customWidth="1" min="13" max="13" width="236.86"/>
    <col customWidth="1" min="14" max="14" width="63.14"/>
    <col customWidth="1" min="15" max="15" width="33.57"/>
    <col customWidth="1" min="16" max="16" width="19.29"/>
    <col customWidth="1" min="17" max="17" width="21.0"/>
    <col customWidth="1" min="18" max="18" width="16.71"/>
    <col customWidth="1" min="19" max="19" width="47.14"/>
    <col customWidth="1" min="20" max="20" width="20.0"/>
    <col customWidth="1" min="21" max="21" width="28.43"/>
    <col customWidth="1" min="22" max="22" width="8.14"/>
    <col customWidth="1" min="23" max="23" width="29.43"/>
    <col customWidth="1" min="24" max="24" width="34.57"/>
    <col customWidth="1" min="25" max="25" width="19.43"/>
    <col customWidth="1" min="26" max="26" width="136.14"/>
    <col customWidth="1" min="27" max="27" width="93.71"/>
    <col customWidth="1" min="28" max="28" width="23.0"/>
    <col customWidth="1" min="29" max="29" width="17.86"/>
    <col customWidth="1" min="30" max="30" width="31.43"/>
    <col customWidth="1" min="31" max="31" width="15.86"/>
    <col customWidth="1" min="32" max="32" width="19.0"/>
    <col customWidth="1" min="33" max="33" width="19.57"/>
    <col customWidth="1" min="34" max="34" width="154.71"/>
    <col customWidth="1" min="35" max="35" width="23.14"/>
    <col customWidth="1" min="36" max="36" width="34.29"/>
    <col customWidth="1" min="37" max="37" width="24.43"/>
    <col customWidth="1" min="38" max="38" width="24.29"/>
    <col customWidth="1" min="39" max="39" width="19.29"/>
    <col customWidth="1" min="40" max="40" width="60.71"/>
    <col customWidth="1" min="41" max="41" width="21.29"/>
    <col customWidth="1" min="42" max="42" width="20.71"/>
    <col customWidth="1" min="43" max="43" width="23.14"/>
    <col customWidth="1" min="44" max="44" width="122.57"/>
    <col customWidth="1" min="45" max="45" width="77.86"/>
    <col customWidth="1" min="46" max="46" width="29.71"/>
  </cols>
  <sheetData>
    <row r="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row>
    <row r="2" ht="15.75" customHeight="1">
      <c r="A2" s="3">
        <v>729565.0</v>
      </c>
      <c r="B2" s="3" t="s">
        <v>116</v>
      </c>
      <c r="C2" s="3" t="s">
        <v>117</v>
      </c>
      <c r="D2" s="3" t="s">
        <v>46</v>
      </c>
      <c r="E2" s="3">
        <v>130419.0</v>
      </c>
      <c r="F2" s="3" t="s">
        <v>5008</v>
      </c>
      <c r="G2" s="3" t="s">
        <v>119</v>
      </c>
      <c r="H2" s="3"/>
      <c r="I2" s="3"/>
      <c r="J2" s="3"/>
      <c r="K2" s="3"/>
      <c r="L2" s="3" t="s">
        <v>5009</v>
      </c>
      <c r="M2" s="3" t="s">
        <v>5010</v>
      </c>
      <c r="N2" s="3" t="s">
        <v>257</v>
      </c>
      <c r="O2" s="3"/>
      <c r="P2" s="4">
        <v>109531.0</v>
      </c>
      <c r="Q2" s="3"/>
      <c r="R2" s="3"/>
      <c r="S2" s="3"/>
      <c r="T2" s="3">
        <v>3300803.0</v>
      </c>
      <c r="U2" s="3" t="s">
        <v>5011</v>
      </c>
      <c r="V2" s="3" t="s">
        <v>1741</v>
      </c>
      <c r="W2" s="3"/>
      <c r="X2" s="3"/>
      <c r="Y2" s="3" t="str">
        <f>"0202200475091"</f>
        <v>0202200475091</v>
      </c>
      <c r="Z2" s="3" t="s">
        <v>5012</v>
      </c>
      <c r="AA2" s="3" t="s">
        <v>5013</v>
      </c>
      <c r="AB2" s="3" t="str">
        <f>"28068138000141"</f>
        <v>28068138000141</v>
      </c>
      <c r="AC2" s="3"/>
      <c r="AD2" s="3"/>
      <c r="AE2" s="3"/>
      <c r="AF2" s="3"/>
      <c r="AG2" s="3"/>
      <c r="AH2" s="3"/>
      <c r="AI2" s="3"/>
      <c r="AJ2" s="3"/>
      <c r="AK2" s="3"/>
      <c r="AL2" s="3"/>
      <c r="AM2" s="3"/>
      <c r="AN2" s="3"/>
      <c r="AO2" s="4">
        <v>37033.677662037</v>
      </c>
      <c r="AP2" s="4">
        <v>37033.677662037</v>
      </c>
      <c r="AQ2" s="3" t="s">
        <v>132</v>
      </c>
      <c r="AR2" s="3"/>
      <c r="AS2" s="3"/>
      <c r="AT2" s="4">
        <v>44281.0337152778</v>
      </c>
    </row>
    <row r="3" ht="15.75" customHeight="1">
      <c r="A3" s="3">
        <v>1818165.0</v>
      </c>
      <c r="B3" s="3" t="s">
        <v>116</v>
      </c>
      <c r="C3" s="3" t="s">
        <v>5014</v>
      </c>
      <c r="D3" s="3" t="s">
        <v>116</v>
      </c>
      <c r="E3" s="3">
        <v>9056705.0</v>
      </c>
      <c r="F3" s="3" t="s">
        <v>5015</v>
      </c>
      <c r="G3" s="3" t="s">
        <v>119</v>
      </c>
      <c r="H3" s="3" t="s">
        <v>72</v>
      </c>
      <c r="I3" s="3">
        <v>350000.0</v>
      </c>
      <c r="J3" s="3"/>
      <c r="K3" s="3"/>
      <c r="L3" s="3" t="s">
        <v>65</v>
      </c>
      <c r="M3" s="3" t="s">
        <v>5016</v>
      </c>
      <c r="N3" s="3" t="s">
        <v>109</v>
      </c>
      <c r="O3" s="3"/>
      <c r="P3" s="4">
        <v>65755.3703356481</v>
      </c>
      <c r="Q3" s="3" t="s">
        <v>56</v>
      </c>
      <c r="R3" s="3"/>
      <c r="S3" s="3"/>
      <c r="T3" s="3">
        <v>5108006.0</v>
      </c>
      <c r="U3" s="3" t="s">
        <v>5017</v>
      </c>
      <c r="V3" s="3" t="s">
        <v>323</v>
      </c>
      <c r="W3" s="3" t="s">
        <v>100</v>
      </c>
      <c r="X3" s="3"/>
      <c r="Y3" s="3"/>
      <c r="Z3" s="3" t="s">
        <v>112</v>
      </c>
      <c r="AA3" s="3" t="s">
        <v>5018</v>
      </c>
      <c r="AB3" s="3" t="str">
        <f>"***639271**"</f>
        <v>***639271**</v>
      </c>
      <c r="AC3" s="3"/>
      <c r="AD3" s="3"/>
      <c r="AE3" s="3"/>
      <c r="AF3" s="3">
        <v>-56.576667</v>
      </c>
      <c r="AG3" s="3">
        <v>-12.726944</v>
      </c>
      <c r="AH3" s="3" t="s">
        <v>5019</v>
      </c>
      <c r="AI3" s="3"/>
      <c r="AJ3" s="3" t="s">
        <v>1178</v>
      </c>
      <c r="AK3" s="3"/>
      <c r="AL3" s="3"/>
      <c r="AM3" s="3"/>
      <c r="AN3" s="3"/>
      <c r="AO3" s="4">
        <v>65755.4042592593</v>
      </c>
      <c r="AP3" s="4">
        <v>41775.4193287037</v>
      </c>
      <c r="AQ3" s="3" t="s">
        <v>5014</v>
      </c>
      <c r="AR3" s="3" t="s">
        <v>5020</v>
      </c>
      <c r="AS3" s="3"/>
      <c r="AT3" s="4">
        <v>44281.0337152778</v>
      </c>
    </row>
    <row r="4" ht="15.75" customHeight="1">
      <c r="A4" s="3">
        <v>1871792.0</v>
      </c>
      <c r="B4" s="3" t="s">
        <v>116</v>
      </c>
      <c r="C4" s="3" t="s">
        <v>117</v>
      </c>
      <c r="D4" s="3" t="s">
        <v>46</v>
      </c>
      <c r="E4" s="3">
        <v>9106273.0</v>
      </c>
      <c r="F4" s="3" t="s">
        <v>5015</v>
      </c>
      <c r="G4" s="3" t="s">
        <v>119</v>
      </c>
      <c r="H4" s="3" t="s">
        <v>72</v>
      </c>
      <c r="I4" s="3">
        <v>2400.0</v>
      </c>
      <c r="J4" s="3"/>
      <c r="K4" s="3"/>
      <c r="L4" s="3" t="s">
        <v>405</v>
      </c>
      <c r="M4" s="3" t="s">
        <v>5021</v>
      </c>
      <c r="N4" s="3" t="s">
        <v>74</v>
      </c>
      <c r="O4" s="3"/>
      <c r="P4" s="4">
        <v>56960.8972916667</v>
      </c>
      <c r="Q4" s="3" t="s">
        <v>56</v>
      </c>
      <c r="R4" s="3"/>
      <c r="S4" s="3"/>
      <c r="T4" s="3">
        <v>4314902.0</v>
      </c>
      <c r="U4" s="3" t="s">
        <v>2191</v>
      </c>
      <c r="V4" s="3" t="s">
        <v>402</v>
      </c>
      <c r="W4" s="3" t="s">
        <v>78</v>
      </c>
      <c r="X4" s="3"/>
      <c r="Y4" s="3"/>
      <c r="Z4" s="3" t="s">
        <v>79</v>
      </c>
      <c r="AA4" s="3" t="s">
        <v>5022</v>
      </c>
      <c r="AB4" s="3" t="str">
        <f>"***766400**"</f>
        <v>***766400**</v>
      </c>
      <c r="AC4" s="3"/>
      <c r="AD4" s="3"/>
      <c r="AE4" s="3"/>
      <c r="AF4" s="3">
        <v>-50.548056</v>
      </c>
      <c r="AG4" s="3">
        <v>-29.881389</v>
      </c>
      <c r="AH4" s="3" t="s">
        <v>5023</v>
      </c>
      <c r="AI4" s="3"/>
      <c r="AJ4" s="3" t="s">
        <v>405</v>
      </c>
      <c r="AK4" s="3"/>
      <c r="AL4" s="3"/>
      <c r="AM4" s="3"/>
      <c r="AN4" s="3"/>
      <c r="AO4" s="4">
        <v>56960.9111805556</v>
      </c>
      <c r="AP4" s="4">
        <v>42426.4606018519</v>
      </c>
      <c r="AQ4" s="3" t="s">
        <v>5014</v>
      </c>
      <c r="AR4" s="3" t="s">
        <v>5024</v>
      </c>
      <c r="AS4" s="3"/>
      <c r="AT4" s="4">
        <v>44281.0337152778</v>
      </c>
    </row>
    <row r="5" ht="15.75" customHeight="1">
      <c r="A5" s="3">
        <v>1822301.0</v>
      </c>
      <c r="B5" s="3" t="s">
        <v>116</v>
      </c>
      <c r="C5" s="3" t="s">
        <v>117</v>
      </c>
      <c r="D5" s="3" t="s">
        <v>46</v>
      </c>
      <c r="E5" s="3">
        <v>9060841.0</v>
      </c>
      <c r="F5" s="3" t="s">
        <v>5015</v>
      </c>
      <c r="G5" s="3" t="s">
        <v>119</v>
      </c>
      <c r="H5" s="3" t="s">
        <v>50</v>
      </c>
      <c r="I5" s="3">
        <v>4000.0</v>
      </c>
      <c r="J5" s="3"/>
      <c r="K5" s="3"/>
      <c r="L5" s="3" t="s">
        <v>5025</v>
      </c>
      <c r="M5" s="3" t="s">
        <v>5026</v>
      </c>
      <c r="N5" s="3" t="s">
        <v>285</v>
      </c>
      <c r="O5" s="3"/>
      <c r="P5" s="4">
        <v>54310.4084027778</v>
      </c>
      <c r="Q5" s="3" t="s">
        <v>56</v>
      </c>
      <c r="R5" s="3"/>
      <c r="S5" s="3"/>
      <c r="T5" s="3">
        <v>2927408.0</v>
      </c>
      <c r="U5" s="3" t="s">
        <v>5027</v>
      </c>
      <c r="V5" s="3" t="s">
        <v>552</v>
      </c>
      <c r="W5" s="3" t="s">
        <v>78</v>
      </c>
      <c r="X5" s="3"/>
      <c r="Y5" s="3"/>
      <c r="Z5" s="3" t="s">
        <v>292</v>
      </c>
      <c r="AA5" s="3" t="s">
        <v>5028</v>
      </c>
      <c r="AB5" s="3" t="str">
        <f>"09002501000181"</f>
        <v>09002501000181</v>
      </c>
      <c r="AC5" s="3"/>
      <c r="AD5" s="3"/>
      <c r="AE5" s="3"/>
      <c r="AF5" s="3">
        <v>-38.454167</v>
      </c>
      <c r="AG5" s="3">
        <v>-12.981667</v>
      </c>
      <c r="AH5" s="3" t="s">
        <v>5029</v>
      </c>
      <c r="AI5" s="3"/>
      <c r="AJ5" s="3" t="s">
        <v>5025</v>
      </c>
      <c r="AK5" s="3"/>
      <c r="AL5" s="3"/>
      <c r="AM5" s="3"/>
      <c r="AN5" s="3"/>
      <c r="AO5" s="4">
        <v>54310.4177083333</v>
      </c>
      <c r="AP5" s="3"/>
      <c r="AQ5" s="3"/>
      <c r="AR5" s="3" t="s">
        <v>5030</v>
      </c>
      <c r="AS5" s="3"/>
      <c r="AT5" s="4">
        <v>44281.0337152778</v>
      </c>
    </row>
    <row r="6" ht="15.75" customHeight="1">
      <c r="A6" s="3">
        <v>1822300.0</v>
      </c>
      <c r="B6" s="3" t="s">
        <v>116</v>
      </c>
      <c r="C6" s="3" t="s">
        <v>117</v>
      </c>
      <c r="D6" s="3" t="s">
        <v>46</v>
      </c>
      <c r="E6" s="3">
        <v>9060840.0</v>
      </c>
      <c r="F6" s="3" t="s">
        <v>5015</v>
      </c>
      <c r="G6" s="3" t="s">
        <v>119</v>
      </c>
      <c r="H6" s="3" t="s">
        <v>50</v>
      </c>
      <c r="I6" s="3">
        <v>4000.0</v>
      </c>
      <c r="J6" s="3"/>
      <c r="K6" s="3" t="s">
        <v>5031</v>
      </c>
      <c r="L6" s="3" t="s">
        <v>5025</v>
      </c>
      <c r="M6" s="3" t="s">
        <v>5032</v>
      </c>
      <c r="N6" s="3" t="s">
        <v>285</v>
      </c>
      <c r="O6" s="3"/>
      <c r="P6" s="4">
        <v>54310.3778819445</v>
      </c>
      <c r="Q6" s="3" t="s">
        <v>56</v>
      </c>
      <c r="R6" s="3"/>
      <c r="S6" s="3"/>
      <c r="T6" s="3">
        <v>2906501.0</v>
      </c>
      <c r="U6" s="3" t="s">
        <v>5033</v>
      </c>
      <c r="V6" s="3" t="s">
        <v>552</v>
      </c>
      <c r="W6" s="3" t="s">
        <v>78</v>
      </c>
      <c r="X6" s="3"/>
      <c r="Y6" s="3"/>
      <c r="Z6" s="3" t="s">
        <v>292</v>
      </c>
      <c r="AA6" s="3" t="s">
        <v>5034</v>
      </c>
      <c r="AB6" s="3" t="str">
        <f t="shared" ref="AB6:AB7" si="1">"10506691000153"</f>
        <v>10506691000153</v>
      </c>
      <c r="AC6" s="3"/>
      <c r="AD6" s="3"/>
      <c r="AE6" s="3"/>
      <c r="AF6" s="3">
        <v>-38.483056</v>
      </c>
      <c r="AG6" s="3">
        <v>-12.730556</v>
      </c>
      <c r="AH6" s="3" t="s">
        <v>5035</v>
      </c>
      <c r="AI6" s="3"/>
      <c r="AJ6" s="3" t="s">
        <v>5025</v>
      </c>
      <c r="AK6" s="3"/>
      <c r="AL6" s="3"/>
      <c r="AM6" s="3"/>
      <c r="AN6" s="3"/>
      <c r="AO6" s="4">
        <v>54310.3813078704</v>
      </c>
      <c r="AP6" s="3"/>
      <c r="AQ6" s="3"/>
      <c r="AR6" s="3" t="s">
        <v>5036</v>
      </c>
      <c r="AS6" s="3"/>
      <c r="AT6" s="4">
        <v>44281.0337152778</v>
      </c>
    </row>
    <row r="7" ht="15.75" customHeight="1">
      <c r="A7" s="3">
        <v>1822299.0</v>
      </c>
      <c r="B7" s="3" t="s">
        <v>116</v>
      </c>
      <c r="C7" s="3" t="s">
        <v>117</v>
      </c>
      <c r="D7" s="3" t="s">
        <v>46</v>
      </c>
      <c r="E7" s="3">
        <v>9060839.0</v>
      </c>
      <c r="F7" s="3" t="s">
        <v>5015</v>
      </c>
      <c r="G7" s="3" t="s">
        <v>119</v>
      </c>
      <c r="H7" s="3" t="s">
        <v>50</v>
      </c>
      <c r="I7" s="3">
        <v>4000.0</v>
      </c>
      <c r="J7" s="3"/>
      <c r="K7" s="3" t="s">
        <v>5031</v>
      </c>
      <c r="L7" s="3" t="s">
        <v>5025</v>
      </c>
      <c r="M7" s="3" t="s">
        <v>5037</v>
      </c>
      <c r="N7" s="3" t="s">
        <v>285</v>
      </c>
      <c r="O7" s="3"/>
      <c r="P7" s="4">
        <v>54309.6987268519</v>
      </c>
      <c r="Q7" s="3" t="s">
        <v>56</v>
      </c>
      <c r="R7" s="3"/>
      <c r="S7" s="3"/>
      <c r="T7" s="3">
        <v>2906501.0</v>
      </c>
      <c r="U7" s="3" t="s">
        <v>5033</v>
      </c>
      <c r="V7" s="3" t="s">
        <v>552</v>
      </c>
      <c r="W7" s="3" t="s">
        <v>78</v>
      </c>
      <c r="X7" s="3"/>
      <c r="Y7" s="3"/>
      <c r="Z7" s="3" t="s">
        <v>292</v>
      </c>
      <c r="AA7" s="3" t="s">
        <v>5034</v>
      </c>
      <c r="AB7" s="3" t="str">
        <f t="shared" si="1"/>
        <v>10506691000153</v>
      </c>
      <c r="AC7" s="3"/>
      <c r="AD7" s="3"/>
      <c r="AE7" s="3"/>
      <c r="AF7" s="3">
        <v>-38.483056</v>
      </c>
      <c r="AG7" s="3">
        <v>-12.731111</v>
      </c>
      <c r="AH7" s="3" t="s">
        <v>5038</v>
      </c>
      <c r="AI7" s="3"/>
      <c r="AJ7" s="3" t="s">
        <v>5025</v>
      </c>
      <c r="AK7" s="3"/>
      <c r="AL7" s="3"/>
      <c r="AM7" s="3"/>
      <c r="AN7" s="3"/>
      <c r="AO7" s="4">
        <v>54309.707662037</v>
      </c>
      <c r="AP7" s="3"/>
      <c r="AQ7" s="3"/>
      <c r="AR7" s="3" t="s">
        <v>5030</v>
      </c>
      <c r="AS7" s="3"/>
      <c r="AT7" s="4">
        <v>44281.0337152778</v>
      </c>
    </row>
    <row r="8" ht="15.75" customHeight="1">
      <c r="A8" s="3">
        <v>1822298.0</v>
      </c>
      <c r="B8" s="3" t="s">
        <v>116</v>
      </c>
      <c r="C8" s="3" t="s">
        <v>5014</v>
      </c>
      <c r="D8" s="3" t="s">
        <v>116</v>
      </c>
      <c r="E8" s="3">
        <v>9060838.0</v>
      </c>
      <c r="F8" s="3" t="s">
        <v>5015</v>
      </c>
      <c r="G8" s="3" t="s">
        <v>119</v>
      </c>
      <c r="H8" s="3" t="s">
        <v>50</v>
      </c>
      <c r="I8" s="3">
        <v>4000.0</v>
      </c>
      <c r="J8" s="3"/>
      <c r="K8" s="3"/>
      <c r="L8" s="3" t="s">
        <v>5025</v>
      </c>
      <c r="M8" s="3" t="s">
        <v>5039</v>
      </c>
      <c r="N8" s="3" t="s">
        <v>285</v>
      </c>
      <c r="O8" s="3"/>
      <c r="P8" s="4">
        <v>54309.5858101852</v>
      </c>
      <c r="Q8" s="3" t="s">
        <v>56</v>
      </c>
      <c r="R8" s="3"/>
      <c r="S8" s="3"/>
      <c r="T8" s="3">
        <v>2905701.0</v>
      </c>
      <c r="U8" s="3" t="s">
        <v>5040</v>
      </c>
      <c r="V8" s="3" t="s">
        <v>552</v>
      </c>
      <c r="W8" s="3" t="s">
        <v>78</v>
      </c>
      <c r="X8" s="3"/>
      <c r="Y8" s="3"/>
      <c r="Z8" s="3" t="s">
        <v>292</v>
      </c>
      <c r="AA8" s="3" t="s">
        <v>5041</v>
      </c>
      <c r="AB8" s="3" t="str">
        <f t="shared" ref="AB8:AB9" si="2">"03852972001921"</f>
        <v>03852972001921</v>
      </c>
      <c r="AC8" s="3"/>
      <c r="AD8" s="3"/>
      <c r="AE8" s="3"/>
      <c r="AF8" s="3">
        <v>-38.3275</v>
      </c>
      <c r="AG8" s="3">
        <v>-12.655556</v>
      </c>
      <c r="AH8" s="3" t="s">
        <v>5042</v>
      </c>
      <c r="AI8" s="3"/>
      <c r="AJ8" s="3" t="s">
        <v>5025</v>
      </c>
      <c r="AK8" s="3"/>
      <c r="AL8" s="3"/>
      <c r="AM8" s="3"/>
      <c r="AN8" s="3"/>
      <c r="AO8" s="4">
        <v>54309.5931828704</v>
      </c>
      <c r="AP8" s="4">
        <v>43089.5036805556</v>
      </c>
      <c r="AQ8" s="3" t="s">
        <v>5014</v>
      </c>
      <c r="AR8" s="3" t="s">
        <v>5036</v>
      </c>
      <c r="AS8" s="3"/>
      <c r="AT8" s="4">
        <v>44281.0337152778</v>
      </c>
    </row>
    <row r="9" ht="15.75" customHeight="1">
      <c r="A9" s="3">
        <v>1822297.0</v>
      </c>
      <c r="B9" s="3" t="s">
        <v>116</v>
      </c>
      <c r="C9" s="3" t="s">
        <v>5014</v>
      </c>
      <c r="D9" s="3" t="s">
        <v>116</v>
      </c>
      <c r="E9" s="3">
        <v>9060837.0</v>
      </c>
      <c r="F9" s="3" t="s">
        <v>5015</v>
      </c>
      <c r="G9" s="3" t="s">
        <v>119</v>
      </c>
      <c r="H9" s="3" t="s">
        <v>50</v>
      </c>
      <c r="I9" s="3">
        <v>4000.0</v>
      </c>
      <c r="J9" s="3"/>
      <c r="K9" s="3" t="s">
        <v>5031</v>
      </c>
      <c r="L9" s="3" t="s">
        <v>5025</v>
      </c>
      <c r="M9" s="3" t="s">
        <v>5037</v>
      </c>
      <c r="N9" s="3" t="s">
        <v>285</v>
      </c>
      <c r="O9" s="3"/>
      <c r="P9" s="4">
        <v>54309.4759143519</v>
      </c>
      <c r="Q9" s="3" t="s">
        <v>56</v>
      </c>
      <c r="R9" s="3"/>
      <c r="S9" s="3"/>
      <c r="T9" s="3">
        <v>2905701.0</v>
      </c>
      <c r="U9" s="3" t="s">
        <v>5040</v>
      </c>
      <c r="V9" s="3" t="s">
        <v>552</v>
      </c>
      <c r="W9" s="3" t="s">
        <v>78</v>
      </c>
      <c r="X9" s="3"/>
      <c r="Y9" s="3"/>
      <c r="Z9" s="3" t="s">
        <v>292</v>
      </c>
      <c r="AA9" s="3" t="s">
        <v>5041</v>
      </c>
      <c r="AB9" s="3" t="str">
        <f t="shared" si="2"/>
        <v>03852972001921</v>
      </c>
      <c r="AC9" s="3"/>
      <c r="AD9" s="3"/>
      <c r="AE9" s="3"/>
      <c r="AF9" s="3">
        <v>-38.3275</v>
      </c>
      <c r="AG9" s="3">
        <v>-12.655556</v>
      </c>
      <c r="AH9" s="3" t="s">
        <v>5043</v>
      </c>
      <c r="AI9" s="3"/>
      <c r="AJ9" s="3" t="s">
        <v>5025</v>
      </c>
      <c r="AK9" s="3"/>
      <c r="AL9" s="3"/>
      <c r="AM9" s="3"/>
      <c r="AN9" s="3"/>
      <c r="AO9" s="4">
        <v>54309.4885300926</v>
      </c>
      <c r="AP9" s="4">
        <v>43089.5033449074</v>
      </c>
      <c r="AQ9" s="3" t="s">
        <v>5014</v>
      </c>
      <c r="AR9" s="3" t="s">
        <v>5030</v>
      </c>
      <c r="AS9" s="3"/>
      <c r="AT9" s="4">
        <v>44281.0337152778</v>
      </c>
    </row>
    <row r="10" ht="15.75" customHeight="1">
      <c r="A10" s="3">
        <v>1822296.0</v>
      </c>
      <c r="B10" s="3" t="s">
        <v>116</v>
      </c>
      <c r="C10" s="3" t="s">
        <v>117</v>
      </c>
      <c r="D10" s="3" t="s">
        <v>46</v>
      </c>
      <c r="E10" s="3">
        <v>9060836.0</v>
      </c>
      <c r="F10" s="3" t="s">
        <v>5015</v>
      </c>
      <c r="G10" s="3" t="s">
        <v>119</v>
      </c>
      <c r="H10" s="3" t="s">
        <v>50</v>
      </c>
      <c r="I10" s="3">
        <v>4000.0</v>
      </c>
      <c r="J10" s="3"/>
      <c r="K10" s="3"/>
      <c r="L10" s="3" t="s">
        <v>5025</v>
      </c>
      <c r="M10" s="3" t="s">
        <v>5044</v>
      </c>
      <c r="N10" s="3" t="s">
        <v>285</v>
      </c>
      <c r="O10" s="3"/>
      <c r="P10" s="4">
        <v>54309.4500231481</v>
      </c>
      <c r="Q10" s="3" t="s">
        <v>56</v>
      </c>
      <c r="R10" s="3"/>
      <c r="S10" s="3"/>
      <c r="T10" s="3">
        <v>2906501.0</v>
      </c>
      <c r="U10" s="3" t="s">
        <v>5033</v>
      </c>
      <c r="V10" s="3" t="s">
        <v>552</v>
      </c>
      <c r="W10" s="3" t="s">
        <v>78</v>
      </c>
      <c r="X10" s="3"/>
      <c r="Y10" s="3"/>
      <c r="Z10" s="3" t="s">
        <v>292</v>
      </c>
      <c r="AA10" s="3" t="s">
        <v>5045</v>
      </c>
      <c r="AB10" s="3" t="str">
        <f>"10495102000189"</f>
        <v>10495102000189</v>
      </c>
      <c r="AC10" s="3"/>
      <c r="AD10" s="3"/>
      <c r="AE10" s="3"/>
      <c r="AF10" s="3">
        <v>-38.471111</v>
      </c>
      <c r="AG10" s="3">
        <v>-12.714444</v>
      </c>
      <c r="AH10" s="3" t="s">
        <v>5046</v>
      </c>
      <c r="AI10" s="3"/>
      <c r="AJ10" s="3" t="s">
        <v>5025</v>
      </c>
      <c r="AK10" s="3"/>
      <c r="AL10" s="3"/>
      <c r="AM10" s="3"/>
      <c r="AN10" s="3"/>
      <c r="AO10" s="4">
        <v>54309.4570833333</v>
      </c>
      <c r="AP10" s="3"/>
      <c r="AQ10" s="3"/>
      <c r="AR10" s="3" t="s">
        <v>5036</v>
      </c>
      <c r="AS10" s="3"/>
      <c r="AT10" s="4">
        <v>44281.0337152778</v>
      </c>
    </row>
    <row r="11" ht="15.75" customHeight="1">
      <c r="A11" s="3">
        <v>1822295.0</v>
      </c>
      <c r="B11" s="3" t="s">
        <v>116</v>
      </c>
      <c r="C11" s="3" t="s">
        <v>117</v>
      </c>
      <c r="D11" s="3" t="s">
        <v>46</v>
      </c>
      <c r="E11" s="3">
        <v>9060835.0</v>
      </c>
      <c r="F11" s="3" t="s">
        <v>5015</v>
      </c>
      <c r="G11" s="3" t="s">
        <v>119</v>
      </c>
      <c r="H11" s="3" t="s">
        <v>50</v>
      </c>
      <c r="I11" s="3">
        <v>4000.0</v>
      </c>
      <c r="J11" s="3"/>
      <c r="K11" s="3"/>
      <c r="L11" s="3" t="s">
        <v>5025</v>
      </c>
      <c r="M11" s="3" t="s">
        <v>5047</v>
      </c>
      <c r="N11" s="3" t="s">
        <v>285</v>
      </c>
      <c r="O11" s="3"/>
      <c r="P11" s="4">
        <v>54309.4302893519</v>
      </c>
      <c r="Q11" s="3" t="s">
        <v>56</v>
      </c>
      <c r="R11" s="3"/>
      <c r="S11" s="3"/>
      <c r="T11" s="3">
        <v>2927408.0</v>
      </c>
      <c r="U11" s="3" t="s">
        <v>5027</v>
      </c>
      <c r="V11" s="3" t="s">
        <v>552</v>
      </c>
      <c r="W11" s="3" t="s">
        <v>78</v>
      </c>
      <c r="X11" s="3"/>
      <c r="Y11" s="3"/>
      <c r="Z11" s="3" t="s">
        <v>292</v>
      </c>
      <c r="AA11" s="3" t="s">
        <v>5048</v>
      </c>
      <c r="AB11" s="3" t="str">
        <f t="shared" ref="AB11:AB12" si="3">"11173911001451"</f>
        <v>11173911001451</v>
      </c>
      <c r="AC11" s="3"/>
      <c r="AD11" s="3"/>
      <c r="AE11" s="3"/>
      <c r="AF11" s="3">
        <v>-38.402778</v>
      </c>
      <c r="AG11" s="3">
        <v>-12.835278</v>
      </c>
      <c r="AH11" s="3" t="s">
        <v>5049</v>
      </c>
      <c r="AI11" s="3"/>
      <c r="AJ11" s="3" t="s">
        <v>5025</v>
      </c>
      <c r="AK11" s="3"/>
      <c r="AL11" s="3"/>
      <c r="AM11" s="3"/>
      <c r="AN11" s="3"/>
      <c r="AO11" s="4">
        <v>54309.4390625</v>
      </c>
      <c r="AP11" s="3"/>
      <c r="AQ11" s="3"/>
      <c r="AR11" s="3" t="s">
        <v>5036</v>
      </c>
      <c r="AS11" s="3"/>
      <c r="AT11" s="4">
        <v>44281.0337152778</v>
      </c>
    </row>
    <row r="12" ht="15.75" customHeight="1">
      <c r="A12" s="3">
        <v>1822293.0</v>
      </c>
      <c r="B12" s="3" t="s">
        <v>116</v>
      </c>
      <c r="C12" s="3" t="s">
        <v>117</v>
      </c>
      <c r="D12" s="3" t="s">
        <v>46</v>
      </c>
      <c r="E12" s="3">
        <v>9060833.0</v>
      </c>
      <c r="F12" s="3" t="s">
        <v>5015</v>
      </c>
      <c r="G12" s="3" t="s">
        <v>119</v>
      </c>
      <c r="H12" s="3" t="s">
        <v>50</v>
      </c>
      <c r="I12" s="3">
        <v>4000.0</v>
      </c>
      <c r="J12" s="3"/>
      <c r="K12" s="3"/>
      <c r="L12" s="3" t="s">
        <v>5025</v>
      </c>
      <c r="M12" s="3" t="s">
        <v>5050</v>
      </c>
      <c r="N12" s="3" t="s">
        <v>285</v>
      </c>
      <c r="O12" s="3"/>
      <c r="P12" s="4">
        <v>54305.6450462963</v>
      </c>
      <c r="Q12" s="3" t="s">
        <v>56</v>
      </c>
      <c r="R12" s="3"/>
      <c r="S12" s="3"/>
      <c r="T12" s="3">
        <v>2927408.0</v>
      </c>
      <c r="U12" s="3" t="s">
        <v>5027</v>
      </c>
      <c r="V12" s="3" t="s">
        <v>552</v>
      </c>
      <c r="W12" s="3" t="s">
        <v>78</v>
      </c>
      <c r="X12" s="3"/>
      <c r="Y12" s="3"/>
      <c r="Z12" s="3" t="s">
        <v>292</v>
      </c>
      <c r="AA12" s="3" t="s">
        <v>5048</v>
      </c>
      <c r="AB12" s="3" t="str">
        <f t="shared" si="3"/>
        <v>11173911001451</v>
      </c>
      <c r="AC12" s="3"/>
      <c r="AD12" s="3"/>
      <c r="AE12" s="3"/>
      <c r="AF12" s="3">
        <v>-37.074167</v>
      </c>
      <c r="AG12" s="3">
        <v>-10.951111</v>
      </c>
      <c r="AH12" s="3" t="s">
        <v>5051</v>
      </c>
      <c r="AI12" s="3"/>
      <c r="AJ12" s="3" t="s">
        <v>5025</v>
      </c>
      <c r="AK12" s="3"/>
      <c r="AL12" s="3"/>
      <c r="AM12" s="3"/>
      <c r="AN12" s="3"/>
      <c r="AO12" s="4">
        <v>54305.6621412037</v>
      </c>
      <c r="AP12" s="3"/>
      <c r="AQ12" s="3"/>
      <c r="AR12" s="3" t="s">
        <v>5030</v>
      </c>
      <c r="AS12" s="3"/>
      <c r="AT12" s="4">
        <v>44281.0337152778</v>
      </c>
    </row>
    <row r="13" ht="15.75" customHeight="1">
      <c r="A13" s="3">
        <v>1822290.0</v>
      </c>
      <c r="B13" s="3" t="s">
        <v>116</v>
      </c>
      <c r="C13" s="3" t="s">
        <v>117</v>
      </c>
      <c r="D13" s="3" t="s">
        <v>46</v>
      </c>
      <c r="E13" s="3">
        <v>9060830.0</v>
      </c>
      <c r="F13" s="3" t="s">
        <v>5015</v>
      </c>
      <c r="G13" s="3" t="s">
        <v>119</v>
      </c>
      <c r="H13" s="3" t="s">
        <v>72</v>
      </c>
      <c r="I13" s="3">
        <v>4000.0</v>
      </c>
      <c r="J13" s="3"/>
      <c r="K13" s="3"/>
      <c r="L13" s="3" t="s">
        <v>5025</v>
      </c>
      <c r="M13" s="3" t="s">
        <v>5052</v>
      </c>
      <c r="N13" s="3" t="s">
        <v>285</v>
      </c>
      <c r="O13" s="3"/>
      <c r="P13" s="4">
        <v>54305.4516666667</v>
      </c>
      <c r="Q13" s="3" t="s">
        <v>56</v>
      </c>
      <c r="R13" s="3"/>
      <c r="S13" s="3"/>
      <c r="T13" s="3">
        <v>2927408.0</v>
      </c>
      <c r="U13" s="3" t="s">
        <v>5027</v>
      </c>
      <c r="V13" s="3" t="s">
        <v>552</v>
      </c>
      <c r="W13" s="3" t="s">
        <v>291</v>
      </c>
      <c r="X13" s="3"/>
      <c r="Y13" s="3"/>
      <c r="Z13" s="3" t="s">
        <v>292</v>
      </c>
      <c r="AA13" s="3" t="s">
        <v>5053</v>
      </c>
      <c r="AB13" s="3" t="str">
        <f t="shared" ref="AB13:AB14" si="4">"53753927000240"</f>
        <v>53753927000240</v>
      </c>
      <c r="AC13" s="3"/>
      <c r="AD13" s="3"/>
      <c r="AE13" s="3"/>
      <c r="AF13" s="3">
        <v>-39.813889</v>
      </c>
      <c r="AG13" s="3">
        <v>-12.775556</v>
      </c>
      <c r="AH13" s="3" t="s">
        <v>5054</v>
      </c>
      <c r="AI13" s="3"/>
      <c r="AJ13" s="3" t="s">
        <v>5025</v>
      </c>
      <c r="AK13" s="3"/>
      <c r="AL13" s="3"/>
      <c r="AM13" s="3"/>
      <c r="AN13" s="3"/>
      <c r="AO13" s="4">
        <v>54305.4589351852</v>
      </c>
      <c r="AP13" s="3"/>
      <c r="AQ13" s="3"/>
      <c r="AR13" s="3" t="s">
        <v>5036</v>
      </c>
      <c r="AS13" s="3"/>
      <c r="AT13" s="4">
        <v>44281.0337152778</v>
      </c>
    </row>
    <row r="14" ht="15.75" customHeight="1">
      <c r="A14" s="3">
        <v>1822289.0</v>
      </c>
      <c r="B14" s="3" t="s">
        <v>116</v>
      </c>
      <c r="C14" s="3" t="s">
        <v>117</v>
      </c>
      <c r="D14" s="3" t="s">
        <v>46</v>
      </c>
      <c r="E14" s="3">
        <v>9060829.0</v>
      </c>
      <c r="F14" s="3" t="s">
        <v>5015</v>
      </c>
      <c r="G14" s="3" t="s">
        <v>119</v>
      </c>
      <c r="H14" s="3" t="s">
        <v>50</v>
      </c>
      <c r="I14" s="3">
        <v>4000.0</v>
      </c>
      <c r="J14" s="3"/>
      <c r="K14" s="3"/>
      <c r="L14" s="3" t="s">
        <v>5025</v>
      </c>
      <c r="M14" s="3" t="s">
        <v>5055</v>
      </c>
      <c r="N14" s="3" t="s">
        <v>285</v>
      </c>
      <c r="O14" s="3"/>
      <c r="P14" s="4">
        <v>54305.4360532407</v>
      </c>
      <c r="Q14" s="3" t="s">
        <v>56</v>
      </c>
      <c r="R14" s="3"/>
      <c r="S14" s="3"/>
      <c r="T14" s="3">
        <v>2927408.0</v>
      </c>
      <c r="U14" s="3" t="s">
        <v>5027</v>
      </c>
      <c r="V14" s="3" t="s">
        <v>552</v>
      </c>
      <c r="W14" s="3" t="s">
        <v>291</v>
      </c>
      <c r="X14" s="3"/>
      <c r="Y14" s="3"/>
      <c r="Z14" s="3" t="s">
        <v>292</v>
      </c>
      <c r="AA14" s="3" t="s">
        <v>5053</v>
      </c>
      <c r="AB14" s="3" t="str">
        <f t="shared" si="4"/>
        <v>53753927000240</v>
      </c>
      <c r="AC14" s="3"/>
      <c r="AD14" s="3"/>
      <c r="AE14" s="3"/>
      <c r="AF14" s="3">
        <v>-39.813889</v>
      </c>
      <c r="AG14" s="3">
        <v>-12.775556</v>
      </c>
      <c r="AH14" s="3" t="s">
        <v>5056</v>
      </c>
      <c r="AI14" s="3"/>
      <c r="AJ14" s="3" t="s">
        <v>5025</v>
      </c>
      <c r="AK14" s="3"/>
      <c r="AL14" s="3"/>
      <c r="AM14" s="3"/>
      <c r="AN14" s="3"/>
      <c r="AO14" s="4">
        <v>54305.4384143519</v>
      </c>
      <c r="AP14" s="3"/>
      <c r="AQ14" s="3"/>
      <c r="AR14" s="3" t="s">
        <v>5030</v>
      </c>
      <c r="AS14" s="3"/>
      <c r="AT14" s="4">
        <v>44281.0337152778</v>
      </c>
    </row>
    <row r="15" ht="15.75" customHeight="1">
      <c r="A15" s="3">
        <v>1822288.0</v>
      </c>
      <c r="B15" s="3" t="s">
        <v>116</v>
      </c>
      <c r="C15" s="3" t="s">
        <v>5014</v>
      </c>
      <c r="D15" s="3" t="s">
        <v>116</v>
      </c>
      <c r="E15" s="3">
        <v>9060828.0</v>
      </c>
      <c r="F15" s="3" t="s">
        <v>5015</v>
      </c>
      <c r="G15" s="3" t="s">
        <v>119</v>
      </c>
      <c r="H15" s="3" t="s">
        <v>50</v>
      </c>
      <c r="I15" s="3">
        <v>4000.0</v>
      </c>
      <c r="J15" s="3"/>
      <c r="K15" s="3"/>
      <c r="L15" s="3" t="s">
        <v>5025</v>
      </c>
      <c r="M15" s="3" t="s">
        <v>5057</v>
      </c>
      <c r="N15" s="3" t="s">
        <v>285</v>
      </c>
      <c r="O15" s="3"/>
      <c r="P15" s="4">
        <v>54305.3539467593</v>
      </c>
      <c r="Q15" s="3" t="s">
        <v>56</v>
      </c>
      <c r="R15" s="3"/>
      <c r="S15" s="3"/>
      <c r="T15" s="3">
        <v>2927408.0</v>
      </c>
      <c r="U15" s="3" t="s">
        <v>5027</v>
      </c>
      <c r="V15" s="3" t="s">
        <v>552</v>
      </c>
      <c r="W15" s="3" t="s">
        <v>78</v>
      </c>
      <c r="X15" s="3"/>
      <c r="Y15" s="3"/>
      <c r="Z15" s="3" t="s">
        <v>292</v>
      </c>
      <c r="AA15" s="3" t="s">
        <v>5058</v>
      </c>
      <c r="AB15" s="3" t="str">
        <f t="shared" ref="AB15:AB16" si="5">"33271511008181"</f>
        <v>33271511008181</v>
      </c>
      <c r="AC15" s="3"/>
      <c r="AD15" s="3"/>
      <c r="AE15" s="3"/>
      <c r="AF15" s="3">
        <v>-38.465833</v>
      </c>
      <c r="AG15" s="3">
        <v>-12.920556</v>
      </c>
      <c r="AH15" s="3" t="s">
        <v>5059</v>
      </c>
      <c r="AI15" s="3"/>
      <c r="AJ15" s="3" t="s">
        <v>5025</v>
      </c>
      <c r="AK15" s="3"/>
      <c r="AL15" s="3"/>
      <c r="AM15" s="3"/>
      <c r="AN15" s="3"/>
      <c r="AO15" s="4">
        <v>54305.3717592593</v>
      </c>
      <c r="AP15" s="4">
        <v>42581.6091087963</v>
      </c>
      <c r="AQ15" s="3" t="s">
        <v>5014</v>
      </c>
      <c r="AR15" s="3" t="s">
        <v>5036</v>
      </c>
      <c r="AS15" s="3"/>
      <c r="AT15" s="4">
        <v>44281.0337152778</v>
      </c>
    </row>
    <row r="16" ht="15.75" customHeight="1">
      <c r="A16" s="3">
        <v>1822287.0</v>
      </c>
      <c r="B16" s="3" t="s">
        <v>116</v>
      </c>
      <c r="C16" s="3" t="s">
        <v>5014</v>
      </c>
      <c r="D16" s="3" t="s">
        <v>116</v>
      </c>
      <c r="E16" s="3">
        <v>9060827.0</v>
      </c>
      <c r="F16" s="3" t="s">
        <v>5015</v>
      </c>
      <c r="G16" s="3" t="s">
        <v>119</v>
      </c>
      <c r="H16" s="3" t="s">
        <v>50</v>
      </c>
      <c r="I16" s="3">
        <v>4000.0</v>
      </c>
      <c r="J16" s="3"/>
      <c r="K16" s="3"/>
      <c r="L16" s="3" t="s">
        <v>5025</v>
      </c>
      <c r="M16" s="3" t="s">
        <v>5060</v>
      </c>
      <c r="N16" s="3" t="s">
        <v>285</v>
      </c>
      <c r="O16" s="3"/>
      <c r="P16" s="4">
        <v>54305.3238541667</v>
      </c>
      <c r="Q16" s="3" t="s">
        <v>56</v>
      </c>
      <c r="R16" s="3"/>
      <c r="S16" s="3"/>
      <c r="T16" s="3">
        <v>2927408.0</v>
      </c>
      <c r="U16" s="3" t="s">
        <v>5027</v>
      </c>
      <c r="V16" s="3" t="s">
        <v>552</v>
      </c>
      <c r="W16" s="3" t="s">
        <v>78</v>
      </c>
      <c r="X16" s="3"/>
      <c r="Y16" s="3"/>
      <c r="Z16" s="3" t="s">
        <v>292</v>
      </c>
      <c r="AA16" s="3" t="s">
        <v>5058</v>
      </c>
      <c r="AB16" s="3" t="str">
        <f t="shared" si="5"/>
        <v>33271511008181</v>
      </c>
      <c r="AC16" s="3"/>
      <c r="AD16" s="3"/>
      <c r="AE16" s="3"/>
      <c r="AF16" s="3">
        <v>-38.465833</v>
      </c>
      <c r="AG16" s="3">
        <v>-12.920556</v>
      </c>
      <c r="AH16" s="3" t="s">
        <v>5061</v>
      </c>
      <c r="AI16" s="3"/>
      <c r="AJ16" s="3" t="s">
        <v>5025</v>
      </c>
      <c r="AK16" s="3"/>
      <c r="AL16" s="3"/>
      <c r="AM16" s="3"/>
      <c r="AN16" s="3"/>
      <c r="AO16" s="4">
        <v>54305.3378472222</v>
      </c>
      <c r="AP16" s="4">
        <v>42581.6099652778</v>
      </c>
      <c r="AQ16" s="3" t="s">
        <v>5014</v>
      </c>
      <c r="AR16" s="3" t="s">
        <v>5030</v>
      </c>
      <c r="AS16" s="3"/>
      <c r="AT16" s="4">
        <v>44281.0337152778</v>
      </c>
    </row>
    <row r="17" ht="15.75" customHeight="1">
      <c r="A17" s="3">
        <v>1822279.0</v>
      </c>
      <c r="B17" s="3" t="s">
        <v>116</v>
      </c>
      <c r="C17" s="3" t="s">
        <v>117</v>
      </c>
      <c r="D17" s="3" t="s">
        <v>46</v>
      </c>
      <c r="E17" s="3">
        <v>9060819.0</v>
      </c>
      <c r="F17" s="3" t="s">
        <v>5015</v>
      </c>
      <c r="G17" s="3" t="s">
        <v>119</v>
      </c>
      <c r="H17" s="3" t="s">
        <v>50</v>
      </c>
      <c r="I17" s="3">
        <v>4000.0</v>
      </c>
      <c r="J17" s="3"/>
      <c r="K17" s="3" t="s">
        <v>5031</v>
      </c>
      <c r="L17" s="3" t="s">
        <v>5025</v>
      </c>
      <c r="M17" s="3" t="s">
        <v>5062</v>
      </c>
      <c r="N17" s="3" t="s">
        <v>285</v>
      </c>
      <c r="O17" s="3"/>
      <c r="P17" s="4">
        <v>54303.483125</v>
      </c>
      <c r="Q17" s="3" t="s">
        <v>56</v>
      </c>
      <c r="R17" s="3"/>
      <c r="S17" s="3"/>
      <c r="T17" s="3">
        <v>2906501.0</v>
      </c>
      <c r="U17" s="3" t="s">
        <v>5033</v>
      </c>
      <c r="V17" s="3" t="s">
        <v>552</v>
      </c>
      <c r="W17" s="3" t="s">
        <v>78</v>
      </c>
      <c r="X17" s="3"/>
      <c r="Y17" s="3"/>
      <c r="Z17" s="3" t="s">
        <v>292</v>
      </c>
      <c r="AA17" s="3" t="s">
        <v>5045</v>
      </c>
      <c r="AB17" s="3" t="str">
        <f>"10495102000189"</f>
        <v>10495102000189</v>
      </c>
      <c r="AC17" s="3"/>
      <c r="AD17" s="3"/>
      <c r="AE17" s="3"/>
      <c r="AF17" s="3">
        <v>-39.355556</v>
      </c>
      <c r="AG17" s="3">
        <v>-12.355556</v>
      </c>
      <c r="AH17" s="3" t="s">
        <v>5063</v>
      </c>
      <c r="AI17" s="3"/>
      <c r="AJ17" s="3" t="s">
        <v>5025</v>
      </c>
      <c r="AK17" s="3"/>
      <c r="AL17" s="3"/>
      <c r="AM17" s="3"/>
      <c r="AN17" s="3"/>
      <c r="AO17" s="4">
        <v>54304.4844675926</v>
      </c>
      <c r="AP17" s="3"/>
      <c r="AQ17" s="3"/>
      <c r="AR17" s="3" t="s">
        <v>5030</v>
      </c>
      <c r="AS17" s="3"/>
      <c r="AT17" s="4">
        <v>44281.0337152778</v>
      </c>
    </row>
    <row r="18" ht="15.75" customHeight="1">
      <c r="A18" s="3">
        <v>1834350.0</v>
      </c>
      <c r="B18" s="3" t="s">
        <v>116</v>
      </c>
      <c r="C18" s="3" t="s">
        <v>117</v>
      </c>
      <c r="D18" s="3" t="s">
        <v>46</v>
      </c>
      <c r="E18" s="3">
        <v>9070510.0</v>
      </c>
      <c r="F18" s="3" t="s">
        <v>5015</v>
      </c>
      <c r="G18" s="3" t="s">
        <v>119</v>
      </c>
      <c r="H18" s="3" t="s">
        <v>50</v>
      </c>
      <c r="I18" s="3">
        <v>211500.0</v>
      </c>
      <c r="J18" s="3"/>
      <c r="K18" s="3"/>
      <c r="L18" s="3" t="s">
        <v>452</v>
      </c>
      <c r="M18" s="3" t="s">
        <v>5064</v>
      </c>
      <c r="N18" s="3" t="s">
        <v>285</v>
      </c>
      <c r="O18" s="3"/>
      <c r="P18" s="4">
        <v>52057.3226273148</v>
      </c>
      <c r="Q18" s="3" t="s">
        <v>56</v>
      </c>
      <c r="R18" s="3"/>
      <c r="S18" s="3"/>
      <c r="T18" s="3">
        <v>2111300.0</v>
      </c>
      <c r="U18" s="3" t="s">
        <v>5065</v>
      </c>
      <c r="V18" s="3" t="s">
        <v>449</v>
      </c>
      <c r="W18" s="3" t="s">
        <v>60</v>
      </c>
      <c r="X18" s="3"/>
      <c r="Y18" s="3"/>
      <c r="Z18" s="3" t="s">
        <v>292</v>
      </c>
      <c r="AA18" s="3"/>
      <c r="AB18" s="3"/>
      <c r="AC18" s="3"/>
      <c r="AD18" s="3"/>
      <c r="AE18" s="3"/>
      <c r="AF18" s="3">
        <v>-44.224167</v>
      </c>
      <c r="AG18" s="3">
        <v>-2.567778</v>
      </c>
      <c r="AH18" s="3" t="s">
        <v>5066</v>
      </c>
      <c r="AI18" s="3"/>
      <c r="AJ18" s="3" t="s">
        <v>452</v>
      </c>
      <c r="AK18" s="3"/>
      <c r="AL18" s="3"/>
      <c r="AM18" s="3"/>
      <c r="AN18" s="3"/>
      <c r="AO18" s="4">
        <v>52057.3635532407</v>
      </c>
      <c r="AP18" s="3"/>
      <c r="AQ18" s="3"/>
      <c r="AR18" s="3" t="s">
        <v>5067</v>
      </c>
      <c r="AS18" s="3"/>
      <c r="AT18" s="4">
        <v>44281.0337152778</v>
      </c>
    </row>
    <row r="19" ht="15.75" customHeight="1">
      <c r="A19" s="3">
        <v>1811955.0</v>
      </c>
      <c r="B19" s="3" t="s">
        <v>116</v>
      </c>
      <c r="C19" s="3" t="s">
        <v>117</v>
      </c>
      <c r="D19" s="3" t="s">
        <v>46</v>
      </c>
      <c r="E19" s="3">
        <v>9051631.0</v>
      </c>
      <c r="F19" s="3" t="s">
        <v>5015</v>
      </c>
      <c r="G19" s="3" t="s">
        <v>119</v>
      </c>
      <c r="H19" s="3" t="s">
        <v>72</v>
      </c>
      <c r="I19" s="3">
        <v>725000.0</v>
      </c>
      <c r="J19" s="3"/>
      <c r="K19" s="3"/>
      <c r="L19" s="3" t="s">
        <v>65</v>
      </c>
      <c r="M19" s="3" t="s">
        <v>5068</v>
      </c>
      <c r="N19" s="3" t="s">
        <v>109</v>
      </c>
      <c r="O19" s="3"/>
      <c r="P19" s="4">
        <v>51935.010150463</v>
      </c>
      <c r="Q19" s="3" t="s">
        <v>137</v>
      </c>
      <c r="R19" s="5">
        <v>51935.0</v>
      </c>
      <c r="S19" s="3"/>
      <c r="T19" s="3">
        <v>5103700.0</v>
      </c>
      <c r="U19" s="3" t="s">
        <v>5069</v>
      </c>
      <c r="V19" s="3" t="s">
        <v>323</v>
      </c>
      <c r="W19" s="3" t="s">
        <v>5070</v>
      </c>
      <c r="X19" s="3"/>
      <c r="Y19" s="3"/>
      <c r="Z19" s="3" t="s">
        <v>112</v>
      </c>
      <c r="AA19" s="3" t="s">
        <v>5071</v>
      </c>
      <c r="AB19" s="3" t="str">
        <f>"11550702000165"</f>
        <v>11550702000165</v>
      </c>
      <c r="AC19" s="3"/>
      <c r="AD19" s="3"/>
      <c r="AE19" s="3"/>
      <c r="AF19" s="3">
        <v>-54.933333</v>
      </c>
      <c r="AG19" s="3">
        <v>-12.268056</v>
      </c>
      <c r="AH19" s="3" t="s">
        <v>5072</v>
      </c>
      <c r="AI19" s="3"/>
      <c r="AJ19" s="3" t="s">
        <v>5073</v>
      </c>
      <c r="AK19" s="3"/>
      <c r="AL19" s="3"/>
      <c r="AM19" s="3"/>
      <c r="AN19" s="3"/>
      <c r="AO19" s="4">
        <v>51935.0314351852</v>
      </c>
      <c r="AP19" s="4">
        <v>42145.5009143519</v>
      </c>
      <c r="AQ19" s="3" t="s">
        <v>132</v>
      </c>
      <c r="AR19" s="3" t="s">
        <v>5074</v>
      </c>
      <c r="AS19" s="3"/>
      <c r="AT19" s="4">
        <v>44281.0337152778</v>
      </c>
    </row>
    <row r="20" ht="15.75" customHeight="1">
      <c r="A20" s="3">
        <v>1802773.0</v>
      </c>
      <c r="B20" s="3" t="s">
        <v>116</v>
      </c>
      <c r="C20" s="3" t="s">
        <v>5014</v>
      </c>
      <c r="D20" s="3" t="s">
        <v>116</v>
      </c>
      <c r="E20" s="3">
        <v>8915.0</v>
      </c>
      <c r="F20" s="3" t="s">
        <v>5015</v>
      </c>
      <c r="G20" s="3" t="s">
        <v>119</v>
      </c>
      <c r="H20" s="3" t="s">
        <v>50</v>
      </c>
      <c r="I20" s="3">
        <v>120000.0</v>
      </c>
      <c r="J20" s="3"/>
      <c r="K20" s="3" t="s">
        <v>5075</v>
      </c>
      <c r="L20" s="3" t="s">
        <v>510</v>
      </c>
      <c r="M20" s="3" t="s">
        <v>5076</v>
      </c>
      <c r="N20" s="3" t="s">
        <v>109</v>
      </c>
      <c r="O20" s="3"/>
      <c r="P20" s="4">
        <v>49035.3054398148</v>
      </c>
      <c r="Q20" s="3" t="s">
        <v>56</v>
      </c>
      <c r="R20" s="3"/>
      <c r="S20" s="3"/>
      <c r="T20" s="3">
        <v>1505031.0</v>
      </c>
      <c r="U20" s="3" t="s">
        <v>5077</v>
      </c>
      <c r="V20" s="3" t="s">
        <v>917</v>
      </c>
      <c r="W20" s="3" t="s">
        <v>100</v>
      </c>
      <c r="X20" s="3"/>
      <c r="Y20" s="3"/>
      <c r="Z20" s="3" t="s">
        <v>112</v>
      </c>
      <c r="AA20" s="3" t="s">
        <v>5078</v>
      </c>
      <c r="AB20" s="3" t="str">
        <f>"***651301**"</f>
        <v>***651301**</v>
      </c>
      <c r="AC20" s="3"/>
      <c r="AD20" s="3"/>
      <c r="AE20" s="3"/>
      <c r="AF20" s="3">
        <v>-55.035278</v>
      </c>
      <c r="AG20" s="3">
        <v>-6.664722</v>
      </c>
      <c r="AH20" s="3" t="s">
        <v>5079</v>
      </c>
      <c r="AI20" s="3"/>
      <c r="AJ20" s="3" t="s">
        <v>510</v>
      </c>
      <c r="AK20" s="3"/>
      <c r="AL20" s="3"/>
      <c r="AM20" s="3"/>
      <c r="AN20" s="3"/>
      <c r="AO20" s="4">
        <v>49035.3593518519</v>
      </c>
      <c r="AP20" s="4">
        <v>41935.5117939815</v>
      </c>
      <c r="AQ20" s="3" t="s">
        <v>5014</v>
      </c>
      <c r="AR20" s="3" t="s">
        <v>5080</v>
      </c>
      <c r="AS20" s="3"/>
      <c r="AT20" s="4">
        <v>44281.0337152778</v>
      </c>
    </row>
    <row r="21" ht="15.75" customHeight="1">
      <c r="A21" s="3">
        <v>1843784.0</v>
      </c>
      <c r="B21" s="3" t="s">
        <v>116</v>
      </c>
      <c r="C21" s="3" t="s">
        <v>5014</v>
      </c>
      <c r="D21" s="3" t="s">
        <v>116</v>
      </c>
      <c r="E21" s="3">
        <v>9079217.0</v>
      </c>
      <c r="F21" s="3" t="s">
        <v>5015</v>
      </c>
      <c r="G21" s="3" t="s">
        <v>119</v>
      </c>
      <c r="H21" s="3" t="s">
        <v>50</v>
      </c>
      <c r="I21" s="3">
        <v>17000.0</v>
      </c>
      <c r="J21" s="3"/>
      <c r="K21" s="3" t="s">
        <v>5075</v>
      </c>
      <c r="L21" s="3" t="s">
        <v>1346</v>
      </c>
      <c r="M21" s="3" t="s">
        <v>5081</v>
      </c>
      <c r="N21" s="3" t="s">
        <v>109</v>
      </c>
      <c r="O21" s="3"/>
      <c r="P21" s="4">
        <v>48502.4853935185</v>
      </c>
      <c r="Q21" s="3" t="s">
        <v>56</v>
      </c>
      <c r="R21" s="3"/>
      <c r="S21" s="3"/>
      <c r="T21" s="3">
        <v>1501402.0</v>
      </c>
      <c r="U21" s="3" t="s">
        <v>3880</v>
      </c>
      <c r="V21" s="3" t="s">
        <v>917</v>
      </c>
      <c r="W21" s="3" t="s">
        <v>100</v>
      </c>
      <c r="X21" s="3"/>
      <c r="Y21" s="3"/>
      <c r="Z21" s="3" t="s">
        <v>5082</v>
      </c>
      <c r="AA21" s="3" t="s">
        <v>5083</v>
      </c>
      <c r="AB21" s="3" t="str">
        <f>"04756631000196"</f>
        <v>04756631000196</v>
      </c>
      <c r="AC21" s="3"/>
      <c r="AD21" s="3"/>
      <c r="AE21" s="3"/>
      <c r="AF21" s="3">
        <v>-48.494444</v>
      </c>
      <c r="AG21" s="3">
        <v>-1.441667</v>
      </c>
      <c r="AH21" s="3" t="s">
        <v>5084</v>
      </c>
      <c r="AI21" s="3"/>
      <c r="AJ21" s="3" t="s">
        <v>1346</v>
      </c>
      <c r="AK21" s="3"/>
      <c r="AL21" s="3"/>
      <c r="AM21" s="3"/>
      <c r="AN21" s="3"/>
      <c r="AO21" s="4">
        <v>48502.4942361111</v>
      </c>
      <c r="AP21" s="4">
        <v>42691.5029398148</v>
      </c>
      <c r="AQ21" s="3" t="s">
        <v>5014</v>
      </c>
      <c r="AR21" s="3" t="s">
        <v>5030</v>
      </c>
      <c r="AS21" s="3"/>
      <c r="AT21" s="4">
        <v>44281.0337152778</v>
      </c>
    </row>
    <row r="22" ht="15.75" customHeight="1">
      <c r="A22" s="3">
        <v>1835368.0</v>
      </c>
      <c r="B22" s="3" t="s">
        <v>116</v>
      </c>
      <c r="C22" s="3" t="s">
        <v>5014</v>
      </c>
      <c r="D22" s="3" t="s">
        <v>116</v>
      </c>
      <c r="E22" s="3">
        <v>9071528.0</v>
      </c>
      <c r="F22" s="3" t="s">
        <v>5015</v>
      </c>
      <c r="G22" s="3" t="s">
        <v>119</v>
      </c>
      <c r="H22" s="3" t="s">
        <v>50</v>
      </c>
      <c r="I22" s="3">
        <v>51500.0</v>
      </c>
      <c r="J22" s="3"/>
      <c r="K22" s="3"/>
      <c r="L22" s="3" t="s">
        <v>2062</v>
      </c>
      <c r="M22" s="3" t="s">
        <v>5085</v>
      </c>
      <c r="N22" s="3" t="s">
        <v>109</v>
      </c>
      <c r="O22" s="3"/>
      <c r="P22" s="4">
        <v>44578.5694212963</v>
      </c>
      <c r="Q22" s="3" t="s">
        <v>56</v>
      </c>
      <c r="R22" s="3"/>
      <c r="S22" s="3"/>
      <c r="T22" s="3">
        <v>1100205.0</v>
      </c>
      <c r="U22" s="3" t="s">
        <v>242</v>
      </c>
      <c r="V22" s="3" t="s">
        <v>125</v>
      </c>
      <c r="W22" s="3" t="s">
        <v>100</v>
      </c>
      <c r="X22" s="3"/>
      <c r="Y22" s="3"/>
      <c r="Z22" s="3" t="s">
        <v>112</v>
      </c>
      <c r="AA22" s="3" t="s">
        <v>5086</v>
      </c>
      <c r="AB22" s="3" t="str">
        <f>"08099859000101"</f>
        <v>08099859000101</v>
      </c>
      <c r="AC22" s="3"/>
      <c r="AD22" s="3"/>
      <c r="AE22" s="3"/>
      <c r="AF22" s="3">
        <v>-63.890278</v>
      </c>
      <c r="AG22" s="3">
        <v>-8.738056</v>
      </c>
      <c r="AH22" s="3" t="s">
        <v>5087</v>
      </c>
      <c r="AI22" s="3"/>
      <c r="AJ22" s="3" t="s">
        <v>2062</v>
      </c>
      <c r="AK22" s="3"/>
      <c r="AL22" s="3"/>
      <c r="AM22" s="3"/>
      <c r="AN22" s="3"/>
      <c r="AO22" s="4">
        <v>44578.5878240741</v>
      </c>
      <c r="AP22" s="4">
        <v>42622.3697337963</v>
      </c>
      <c r="AQ22" s="3" t="s">
        <v>5088</v>
      </c>
      <c r="AR22" s="3" t="s">
        <v>5067</v>
      </c>
      <c r="AS22" s="3"/>
      <c r="AT22" s="4">
        <v>44281.0337152778</v>
      </c>
    </row>
    <row r="23" ht="15.75" customHeight="1">
      <c r="A23" s="3">
        <v>1835367.0</v>
      </c>
      <c r="B23" s="3" t="s">
        <v>116</v>
      </c>
      <c r="C23" s="3" t="s">
        <v>117</v>
      </c>
      <c r="D23" s="3" t="s">
        <v>46</v>
      </c>
      <c r="E23" s="3">
        <v>9071527.0</v>
      </c>
      <c r="F23" s="3" t="s">
        <v>5015</v>
      </c>
      <c r="G23" s="3" t="s">
        <v>119</v>
      </c>
      <c r="H23" s="3" t="s">
        <v>50</v>
      </c>
      <c r="I23" s="3">
        <v>51500.0</v>
      </c>
      <c r="J23" s="3"/>
      <c r="K23" s="3" t="s">
        <v>5089</v>
      </c>
      <c r="L23" s="3" t="s">
        <v>2062</v>
      </c>
      <c r="M23" s="3" t="s">
        <v>5090</v>
      </c>
      <c r="N23" s="3" t="s">
        <v>109</v>
      </c>
      <c r="O23" s="3"/>
      <c r="P23" s="4">
        <v>44578.5423842593</v>
      </c>
      <c r="Q23" s="3" t="s">
        <v>56</v>
      </c>
      <c r="R23" s="3"/>
      <c r="S23" s="3"/>
      <c r="T23" s="3">
        <v>1100205.0</v>
      </c>
      <c r="U23" s="3" t="s">
        <v>242</v>
      </c>
      <c r="V23" s="3" t="s">
        <v>125</v>
      </c>
      <c r="W23" s="3" t="s">
        <v>100</v>
      </c>
      <c r="X23" s="3"/>
      <c r="Y23" s="3"/>
      <c r="Z23" s="3" t="s">
        <v>112</v>
      </c>
      <c r="AA23" s="3" t="s">
        <v>5091</v>
      </c>
      <c r="AB23" s="3" t="str">
        <f>"13808997000152"</f>
        <v>13808997000152</v>
      </c>
      <c r="AC23" s="3"/>
      <c r="AD23" s="3"/>
      <c r="AE23" s="3"/>
      <c r="AF23" s="3">
        <v>-63.890278</v>
      </c>
      <c r="AG23" s="3">
        <v>-8.738056</v>
      </c>
      <c r="AH23" s="3" t="s">
        <v>5087</v>
      </c>
      <c r="AI23" s="3"/>
      <c r="AJ23" s="3" t="s">
        <v>65</v>
      </c>
      <c r="AK23" s="3"/>
      <c r="AL23" s="3"/>
      <c r="AM23" s="3"/>
      <c r="AN23" s="3"/>
      <c r="AO23" s="4">
        <v>44578.563587963</v>
      </c>
      <c r="AP23" s="4">
        <v>42636.7795486111</v>
      </c>
      <c r="AQ23" s="3" t="s">
        <v>5014</v>
      </c>
      <c r="AR23" s="3" t="s">
        <v>5067</v>
      </c>
      <c r="AS23" s="3"/>
      <c r="AT23" s="4">
        <v>44281.0337152778</v>
      </c>
    </row>
    <row r="24" ht="15.75" customHeight="1">
      <c r="A24" s="3"/>
      <c r="B24" s="3" t="s">
        <v>46</v>
      </c>
      <c r="C24" s="3" t="s">
        <v>47</v>
      </c>
      <c r="D24" s="3"/>
      <c r="E24" s="3" t="s">
        <v>5092</v>
      </c>
      <c r="F24" s="3"/>
      <c r="G24" s="3" t="s">
        <v>49</v>
      </c>
      <c r="H24" s="3" t="s">
        <v>50</v>
      </c>
      <c r="I24" s="3">
        <v>55700.0</v>
      </c>
      <c r="J24" s="3"/>
      <c r="K24" s="3" t="s">
        <v>92</v>
      </c>
      <c r="L24" s="3"/>
      <c r="M24" s="3" t="s">
        <v>5093</v>
      </c>
      <c r="N24" s="3" t="s">
        <v>74</v>
      </c>
      <c r="O24" s="3" t="s">
        <v>75</v>
      </c>
      <c r="P24" s="4">
        <v>44281.023287037</v>
      </c>
      <c r="Q24" s="3" t="s">
        <v>137</v>
      </c>
      <c r="R24" s="3"/>
      <c r="S24" s="3" t="s">
        <v>400</v>
      </c>
      <c r="T24" s="3">
        <v>4313508.0</v>
      </c>
      <c r="U24" s="3" t="s">
        <v>5094</v>
      </c>
      <c r="V24" s="3" t="s">
        <v>402</v>
      </c>
      <c r="W24" s="3" t="s">
        <v>78</v>
      </c>
      <c r="X24" s="3"/>
      <c r="Y24" s="3"/>
      <c r="Z24" s="3" t="s">
        <v>79</v>
      </c>
      <c r="AA24" s="3" t="s">
        <v>5095</v>
      </c>
      <c r="AB24" s="3" t="str">
        <f>"02799813000119"</f>
        <v>02799813000119</v>
      </c>
      <c r="AC24" s="3"/>
      <c r="AD24" s="3" t="s">
        <v>81</v>
      </c>
      <c r="AE24" s="3"/>
      <c r="AF24" s="3">
        <v>-50.255278</v>
      </c>
      <c r="AG24" s="3">
        <v>-29.891667</v>
      </c>
      <c r="AH24" s="3" t="s">
        <v>5096</v>
      </c>
      <c r="AI24" s="3"/>
      <c r="AJ24" s="3" t="s">
        <v>405</v>
      </c>
      <c r="AK24" s="3"/>
      <c r="AL24" s="3"/>
      <c r="AM24" s="3" t="s">
        <v>65</v>
      </c>
      <c r="AN24" s="3" t="s">
        <v>1044</v>
      </c>
      <c r="AO24" s="3"/>
      <c r="AP24" s="4">
        <v>44281.0337152778</v>
      </c>
      <c r="AQ24" s="3"/>
      <c r="AR24" s="3" t="s">
        <v>502</v>
      </c>
      <c r="AS24" s="3" t="s">
        <v>5097</v>
      </c>
      <c r="AT24" s="4">
        <v>44281.0337152778</v>
      </c>
    </row>
    <row r="25" ht="15.75" customHeight="1">
      <c r="A25" s="3"/>
      <c r="B25" s="3" t="s">
        <v>46</v>
      </c>
      <c r="C25" s="3" t="s">
        <v>47</v>
      </c>
      <c r="D25" s="3"/>
      <c r="E25" s="3" t="s">
        <v>5098</v>
      </c>
      <c r="F25" s="3"/>
      <c r="G25" s="3" t="s">
        <v>49</v>
      </c>
      <c r="H25" s="3" t="s">
        <v>72</v>
      </c>
      <c r="I25" s="3">
        <v>119914.8</v>
      </c>
      <c r="J25" s="3"/>
      <c r="K25" s="3"/>
      <c r="L25" s="3"/>
      <c r="M25" s="3" t="s">
        <v>5099</v>
      </c>
      <c r="N25" s="3" t="s">
        <v>109</v>
      </c>
      <c r="O25" s="3" t="s">
        <v>110</v>
      </c>
      <c r="P25" s="4">
        <v>44280.7566203704</v>
      </c>
      <c r="Q25" s="3" t="s">
        <v>137</v>
      </c>
      <c r="R25" s="3"/>
      <c r="S25" s="3" t="s">
        <v>220</v>
      </c>
      <c r="T25" s="3">
        <v>1100205.0</v>
      </c>
      <c r="U25" s="3" t="s">
        <v>242</v>
      </c>
      <c r="V25" s="3" t="s">
        <v>125</v>
      </c>
      <c r="W25" s="3" t="s">
        <v>100</v>
      </c>
      <c r="X25" s="3"/>
      <c r="Y25" s="3"/>
      <c r="Z25" s="3" t="s">
        <v>112</v>
      </c>
      <c r="AA25" s="3" t="s">
        <v>5100</v>
      </c>
      <c r="AB25" s="3" t="str">
        <f t="shared" ref="AB25:AB26" si="6">"20825514000193"</f>
        <v>20825514000193</v>
      </c>
      <c r="AC25" s="3"/>
      <c r="AD25" s="3" t="s">
        <v>62</v>
      </c>
      <c r="AE25" s="3"/>
      <c r="AF25" s="3">
        <v>-65.749278</v>
      </c>
      <c r="AG25" s="3">
        <v>-9.657167</v>
      </c>
      <c r="AH25" s="3" t="s">
        <v>5101</v>
      </c>
      <c r="AI25" s="3"/>
      <c r="AJ25" s="3" t="s">
        <v>120</v>
      </c>
      <c r="AK25" s="3"/>
      <c r="AL25" s="3"/>
      <c r="AM25" s="3" t="s">
        <v>65</v>
      </c>
      <c r="AN25" s="3" t="s">
        <v>5102</v>
      </c>
      <c r="AO25" s="3"/>
      <c r="AP25" s="4">
        <v>44280.8838310185</v>
      </c>
      <c r="AQ25" s="3"/>
      <c r="AR25" s="3" t="s">
        <v>177</v>
      </c>
      <c r="AS25" s="3"/>
      <c r="AT25" s="4">
        <v>44281.0337152778</v>
      </c>
    </row>
    <row r="26" ht="15.75" customHeight="1">
      <c r="A26" s="3"/>
      <c r="B26" s="3" t="s">
        <v>46</v>
      </c>
      <c r="C26" s="3" t="s">
        <v>47</v>
      </c>
      <c r="D26" s="3"/>
      <c r="E26" s="3" t="s">
        <v>5103</v>
      </c>
      <c r="F26" s="3"/>
      <c r="G26" s="3" t="s">
        <v>49</v>
      </c>
      <c r="H26" s="3" t="s">
        <v>50</v>
      </c>
      <c r="I26" s="3">
        <v>52500.0</v>
      </c>
      <c r="J26" s="3"/>
      <c r="K26" s="3" t="s">
        <v>92</v>
      </c>
      <c r="L26" s="3"/>
      <c r="M26" s="3" t="s">
        <v>5104</v>
      </c>
      <c r="N26" s="3" t="s">
        <v>94</v>
      </c>
      <c r="O26" s="3" t="s">
        <v>95</v>
      </c>
      <c r="P26" s="4">
        <v>44280.7482523148</v>
      </c>
      <c r="Q26" s="3" t="s">
        <v>137</v>
      </c>
      <c r="R26" s="3"/>
      <c r="S26" s="3" t="s">
        <v>220</v>
      </c>
      <c r="T26" s="3">
        <v>1100205.0</v>
      </c>
      <c r="U26" s="3" t="s">
        <v>242</v>
      </c>
      <c r="V26" s="3" t="s">
        <v>125</v>
      </c>
      <c r="W26" s="3" t="s">
        <v>100</v>
      </c>
      <c r="X26" s="3"/>
      <c r="Y26" s="3"/>
      <c r="Z26" s="3" t="s">
        <v>101</v>
      </c>
      <c r="AA26" s="3" t="s">
        <v>5100</v>
      </c>
      <c r="AB26" s="3" t="str">
        <f t="shared" si="6"/>
        <v>20825514000193</v>
      </c>
      <c r="AC26" s="3"/>
      <c r="AD26" s="3" t="s">
        <v>62</v>
      </c>
      <c r="AE26" s="3"/>
      <c r="AF26" s="3">
        <v>-65.749278</v>
      </c>
      <c r="AG26" s="3">
        <v>-9.657167</v>
      </c>
      <c r="AH26" s="3" t="s">
        <v>5101</v>
      </c>
      <c r="AI26" s="3"/>
      <c r="AJ26" s="3" t="s">
        <v>120</v>
      </c>
      <c r="AK26" s="3"/>
      <c r="AL26" s="3"/>
      <c r="AM26" s="3" t="s">
        <v>65</v>
      </c>
      <c r="AN26" s="3" t="s">
        <v>5102</v>
      </c>
      <c r="AO26" s="3"/>
      <c r="AP26" s="4">
        <v>44280.754375</v>
      </c>
      <c r="AQ26" s="3"/>
      <c r="AR26" s="3" t="s">
        <v>106</v>
      </c>
      <c r="AS26" s="3"/>
      <c r="AT26" s="4">
        <v>44281.0337152778</v>
      </c>
    </row>
    <row r="27" ht="15.75" customHeight="1">
      <c r="A27" s="3"/>
      <c r="B27" s="3" t="s">
        <v>46</v>
      </c>
      <c r="C27" s="3" t="s">
        <v>47</v>
      </c>
      <c r="D27" s="3"/>
      <c r="E27" s="3" t="s">
        <v>5105</v>
      </c>
      <c r="F27" s="3"/>
      <c r="G27" s="3" t="s">
        <v>49</v>
      </c>
      <c r="H27" s="3" t="s">
        <v>72</v>
      </c>
      <c r="I27" s="3">
        <v>211500.0</v>
      </c>
      <c r="J27" s="3"/>
      <c r="K27" s="3"/>
      <c r="L27" s="3"/>
      <c r="M27" s="3" t="s">
        <v>5106</v>
      </c>
      <c r="N27" s="3" t="s">
        <v>94</v>
      </c>
      <c r="O27" s="3" t="s">
        <v>95</v>
      </c>
      <c r="P27" s="4">
        <v>44280.7121875</v>
      </c>
      <c r="Q27" s="3" t="s">
        <v>77</v>
      </c>
      <c r="R27" s="3"/>
      <c r="S27" s="3" t="s">
        <v>1349</v>
      </c>
      <c r="T27" s="3">
        <v>1508100.0</v>
      </c>
      <c r="U27" s="3" t="s">
        <v>5107</v>
      </c>
      <c r="V27" s="3" t="s">
        <v>917</v>
      </c>
      <c r="W27" s="3" t="s">
        <v>100</v>
      </c>
      <c r="X27" s="3"/>
      <c r="Y27" s="3"/>
      <c r="Z27" s="3" t="s">
        <v>101</v>
      </c>
      <c r="AA27" s="3" t="s">
        <v>5108</v>
      </c>
      <c r="AB27" s="3" t="str">
        <f>"06289189000160"</f>
        <v>06289189000160</v>
      </c>
      <c r="AC27" s="3"/>
      <c r="AD27" s="3" t="s">
        <v>81</v>
      </c>
      <c r="AE27" s="3"/>
      <c r="AF27" s="3">
        <v>-49.683889</v>
      </c>
      <c r="AG27" s="3">
        <v>-3.733056</v>
      </c>
      <c r="AH27" s="3" t="s">
        <v>5109</v>
      </c>
      <c r="AI27" s="3"/>
      <c r="AJ27" s="3" t="s">
        <v>120</v>
      </c>
      <c r="AK27" s="3"/>
      <c r="AL27" s="3"/>
      <c r="AM27" s="3" t="s">
        <v>65</v>
      </c>
      <c r="AN27" s="3" t="s">
        <v>5110</v>
      </c>
      <c r="AO27" s="3"/>
      <c r="AP27" s="4">
        <v>44280.7210763889</v>
      </c>
      <c r="AQ27" s="3"/>
      <c r="AR27" s="3" t="s">
        <v>603</v>
      </c>
      <c r="AS27" s="3"/>
      <c r="AT27" s="4">
        <v>44281.0337152778</v>
      </c>
    </row>
    <row r="28" ht="15.75" customHeight="1">
      <c r="A28" s="3"/>
      <c r="B28" s="3" t="s">
        <v>46</v>
      </c>
      <c r="C28" s="3" t="s">
        <v>47</v>
      </c>
      <c r="D28" s="3"/>
      <c r="E28" s="3" t="s">
        <v>5111</v>
      </c>
      <c r="F28" s="3"/>
      <c r="G28" s="3" t="s">
        <v>49</v>
      </c>
      <c r="H28" s="3" t="s">
        <v>72</v>
      </c>
      <c r="I28" s="3">
        <v>1060.0</v>
      </c>
      <c r="J28" s="3"/>
      <c r="K28" s="3"/>
      <c r="L28" s="3"/>
      <c r="M28" s="3" t="s">
        <v>5112</v>
      </c>
      <c r="N28" s="3" t="s">
        <v>74</v>
      </c>
      <c r="O28" s="3" t="s">
        <v>75</v>
      </c>
      <c r="P28" s="4">
        <v>44280.7015277778</v>
      </c>
      <c r="Q28" s="3" t="s">
        <v>56</v>
      </c>
      <c r="R28" s="3"/>
      <c r="S28" s="3" t="s">
        <v>359</v>
      </c>
      <c r="T28" s="3">
        <v>3550704.0</v>
      </c>
      <c r="U28" s="3" t="s">
        <v>5113</v>
      </c>
      <c r="V28" s="3" t="s">
        <v>139</v>
      </c>
      <c r="W28" s="3" t="s">
        <v>60</v>
      </c>
      <c r="X28" s="3"/>
      <c r="Y28" s="3"/>
      <c r="Z28" s="3" t="s">
        <v>79</v>
      </c>
      <c r="AA28" s="3" t="s">
        <v>5114</v>
      </c>
      <c r="AB28" s="3" t="str">
        <f>"***642578**"</f>
        <v>***642578**</v>
      </c>
      <c r="AC28" s="3"/>
      <c r="AD28" s="3" t="s">
        <v>81</v>
      </c>
      <c r="AE28" s="3"/>
      <c r="AF28" s="3">
        <v>-47.933056</v>
      </c>
      <c r="AG28" s="3">
        <v>-15.83</v>
      </c>
      <c r="AH28" s="3" t="s">
        <v>5115</v>
      </c>
      <c r="AI28" s="3"/>
      <c r="AJ28" s="3" t="s">
        <v>1037</v>
      </c>
      <c r="AK28" s="3"/>
      <c r="AL28" s="3"/>
      <c r="AM28" s="3" t="s">
        <v>65</v>
      </c>
      <c r="AN28" s="3"/>
      <c r="AO28" s="3"/>
      <c r="AP28" s="4">
        <v>44280.7051851852</v>
      </c>
      <c r="AQ28" s="3"/>
      <c r="AR28" s="3" t="s">
        <v>5116</v>
      </c>
      <c r="AS28" s="3"/>
      <c r="AT28" s="4">
        <v>44281.0337152778</v>
      </c>
    </row>
    <row r="29" ht="15.75" customHeight="1">
      <c r="A29" s="3"/>
      <c r="B29" s="3" t="s">
        <v>46</v>
      </c>
      <c r="C29" s="3" t="s">
        <v>47</v>
      </c>
      <c r="D29" s="3"/>
      <c r="E29" s="3" t="s">
        <v>5117</v>
      </c>
      <c r="F29" s="3"/>
      <c r="G29" s="3" t="s">
        <v>49</v>
      </c>
      <c r="H29" s="3" t="s">
        <v>72</v>
      </c>
      <c r="I29" s="3">
        <v>51500.0</v>
      </c>
      <c r="J29" s="3"/>
      <c r="K29" s="3"/>
      <c r="L29" s="3"/>
      <c r="M29" s="3" t="s">
        <v>5118</v>
      </c>
      <c r="N29" s="3" t="s">
        <v>94</v>
      </c>
      <c r="O29" s="3" t="s">
        <v>95</v>
      </c>
      <c r="P29" s="4">
        <v>44280.7000925926</v>
      </c>
      <c r="Q29" s="3" t="s">
        <v>137</v>
      </c>
      <c r="R29" s="3"/>
      <c r="S29" s="3" t="s">
        <v>288</v>
      </c>
      <c r="T29" s="3">
        <v>2211001.0</v>
      </c>
      <c r="U29" s="3" t="s">
        <v>527</v>
      </c>
      <c r="V29" s="3" t="s">
        <v>290</v>
      </c>
      <c r="W29" s="3" t="s">
        <v>291</v>
      </c>
      <c r="X29" s="3"/>
      <c r="Y29" s="3"/>
      <c r="Z29" s="3" t="s">
        <v>101</v>
      </c>
      <c r="AA29" s="3" t="s">
        <v>5119</v>
      </c>
      <c r="AB29" s="3" t="str">
        <f>"07718869000115"</f>
        <v>07718869000115</v>
      </c>
      <c r="AC29" s="3"/>
      <c r="AD29" s="3" t="s">
        <v>325</v>
      </c>
      <c r="AE29" s="3"/>
      <c r="AF29" s="3">
        <v>-42.7695</v>
      </c>
      <c r="AG29" s="3">
        <v>-5.069194</v>
      </c>
      <c r="AH29" s="3" t="s">
        <v>5120</v>
      </c>
      <c r="AI29" s="3"/>
      <c r="AJ29" s="3" t="s">
        <v>295</v>
      </c>
      <c r="AK29" s="3"/>
      <c r="AL29" s="3"/>
      <c r="AM29" s="3" t="s">
        <v>65</v>
      </c>
      <c r="AN29" s="3" t="s">
        <v>159</v>
      </c>
      <c r="AO29" s="3"/>
      <c r="AP29" s="4">
        <v>44280.7162384259</v>
      </c>
      <c r="AQ29" s="3"/>
      <c r="AR29" s="3" t="s">
        <v>3029</v>
      </c>
      <c r="AS29" s="3"/>
      <c r="AT29" s="4">
        <v>44281.0337152778</v>
      </c>
    </row>
    <row r="30" ht="15.75" customHeight="1">
      <c r="A30" s="3"/>
      <c r="B30" s="3" t="s">
        <v>46</v>
      </c>
      <c r="C30" s="3" t="s">
        <v>47</v>
      </c>
      <c r="D30" s="3"/>
      <c r="E30" s="3" t="s">
        <v>5121</v>
      </c>
      <c r="F30" s="3"/>
      <c r="G30" s="3" t="s">
        <v>49</v>
      </c>
      <c r="H30" s="3" t="s">
        <v>72</v>
      </c>
      <c r="I30" s="3">
        <v>1040.0</v>
      </c>
      <c r="J30" s="3"/>
      <c r="K30" s="3"/>
      <c r="L30" s="3"/>
      <c r="M30" s="3" t="s">
        <v>5112</v>
      </c>
      <c r="N30" s="3" t="s">
        <v>74</v>
      </c>
      <c r="O30" s="3" t="s">
        <v>75</v>
      </c>
      <c r="P30" s="4">
        <v>44280.681099537</v>
      </c>
      <c r="Q30" s="3" t="s">
        <v>56</v>
      </c>
      <c r="R30" s="3"/>
      <c r="S30" s="3" t="s">
        <v>280</v>
      </c>
      <c r="T30" s="3">
        <v>3550704.0</v>
      </c>
      <c r="U30" s="3" t="s">
        <v>5113</v>
      </c>
      <c r="V30" s="3" t="s">
        <v>139</v>
      </c>
      <c r="W30" s="3" t="s">
        <v>60</v>
      </c>
      <c r="X30" s="3"/>
      <c r="Y30" s="3"/>
      <c r="Z30" s="3" t="s">
        <v>79</v>
      </c>
      <c r="AA30" s="3" t="s">
        <v>5122</v>
      </c>
      <c r="AB30" s="3" t="str">
        <f>"***342148**"</f>
        <v>***342148**</v>
      </c>
      <c r="AC30" s="3"/>
      <c r="AD30" s="3" t="s">
        <v>81</v>
      </c>
      <c r="AE30" s="3"/>
      <c r="AF30" s="3">
        <v>-47.933056</v>
      </c>
      <c r="AG30" s="3">
        <v>-15.83</v>
      </c>
      <c r="AH30" s="3" t="s">
        <v>5123</v>
      </c>
      <c r="AI30" s="3"/>
      <c r="AJ30" s="3" t="s">
        <v>1037</v>
      </c>
      <c r="AK30" s="3"/>
      <c r="AL30" s="3"/>
      <c r="AM30" s="3" t="s">
        <v>65</v>
      </c>
      <c r="AN30" s="3"/>
      <c r="AO30" s="3"/>
      <c r="AP30" s="4">
        <v>44280.685150463</v>
      </c>
      <c r="AQ30" s="3"/>
      <c r="AR30" s="3" t="s">
        <v>5116</v>
      </c>
      <c r="AS30" s="3"/>
      <c r="AT30" s="4">
        <v>44281.0337152778</v>
      </c>
    </row>
    <row r="31" ht="15.75" customHeight="1">
      <c r="A31" s="3"/>
      <c r="B31" s="3" t="s">
        <v>46</v>
      </c>
      <c r="C31" s="3" t="s">
        <v>47</v>
      </c>
      <c r="D31" s="3"/>
      <c r="E31" s="3" t="s">
        <v>5124</v>
      </c>
      <c r="F31" s="3"/>
      <c r="G31" s="3" t="s">
        <v>49</v>
      </c>
      <c r="H31" s="3" t="s">
        <v>72</v>
      </c>
      <c r="I31" s="3">
        <v>182700.0</v>
      </c>
      <c r="J31" s="3"/>
      <c r="K31" s="3"/>
      <c r="L31" s="3"/>
      <c r="M31" s="3" t="s">
        <v>5125</v>
      </c>
      <c r="N31" s="3" t="s">
        <v>109</v>
      </c>
      <c r="O31" s="3" t="s">
        <v>110</v>
      </c>
      <c r="P31" s="4">
        <v>44280.6726157407</v>
      </c>
      <c r="Q31" s="3" t="s">
        <v>77</v>
      </c>
      <c r="R31" s="3"/>
      <c r="S31" s="3" t="s">
        <v>123</v>
      </c>
      <c r="T31" s="3">
        <v>1100205.0</v>
      </c>
      <c r="U31" s="3" t="s">
        <v>242</v>
      </c>
      <c r="V31" s="3" t="s">
        <v>125</v>
      </c>
      <c r="W31" s="3" t="s">
        <v>100</v>
      </c>
      <c r="X31" s="3"/>
      <c r="Y31" s="3"/>
      <c r="Z31" s="3" t="s">
        <v>112</v>
      </c>
      <c r="AA31" s="3" t="s">
        <v>5126</v>
      </c>
      <c r="AB31" s="3" t="str">
        <f>"32845550000106"</f>
        <v>32845550000106</v>
      </c>
      <c r="AC31" s="3"/>
      <c r="AD31" s="3" t="s">
        <v>81</v>
      </c>
      <c r="AE31" s="3"/>
      <c r="AF31" s="3">
        <v>-65.738611</v>
      </c>
      <c r="AG31" s="3">
        <v>-9.660556</v>
      </c>
      <c r="AH31" s="3" t="s">
        <v>5127</v>
      </c>
      <c r="AI31" s="3"/>
      <c r="AJ31" s="3" t="s">
        <v>120</v>
      </c>
      <c r="AK31" s="3"/>
      <c r="AL31" s="3"/>
      <c r="AM31" s="3" t="s">
        <v>65</v>
      </c>
      <c r="AN31" s="3" t="s">
        <v>5102</v>
      </c>
      <c r="AO31" s="3"/>
      <c r="AP31" s="4">
        <v>44280.6839236111</v>
      </c>
      <c r="AQ31" s="3"/>
      <c r="AR31" s="3" t="s">
        <v>177</v>
      </c>
      <c r="AS31" s="3"/>
      <c r="AT31" s="4">
        <v>44281.0337152778</v>
      </c>
    </row>
    <row r="32" ht="15.75" customHeight="1">
      <c r="A32" s="3">
        <v>2044744.0</v>
      </c>
      <c r="B32" s="3" t="s">
        <v>116</v>
      </c>
      <c r="C32" s="3" t="s">
        <v>117</v>
      </c>
      <c r="D32" s="3" t="s">
        <v>46</v>
      </c>
      <c r="E32" s="3" t="s">
        <v>5128</v>
      </c>
      <c r="F32" s="3"/>
      <c r="G32" s="3" t="s">
        <v>119</v>
      </c>
      <c r="H32" s="3" t="s">
        <v>50</v>
      </c>
      <c r="I32" s="3">
        <v>161500.0</v>
      </c>
      <c r="J32" s="3"/>
      <c r="K32" s="3"/>
      <c r="L32" s="3" t="s">
        <v>1227</v>
      </c>
      <c r="M32" s="3" t="s">
        <v>5129</v>
      </c>
      <c r="N32" s="3" t="s">
        <v>186</v>
      </c>
      <c r="O32" s="3" t="s">
        <v>95</v>
      </c>
      <c r="P32" s="4">
        <v>44280.6666666667</v>
      </c>
      <c r="Q32" s="3" t="s">
        <v>77</v>
      </c>
      <c r="R32" s="5">
        <v>44280.0</v>
      </c>
      <c r="S32" s="3" t="s">
        <v>123</v>
      </c>
      <c r="T32" s="3">
        <v>1100098.0</v>
      </c>
      <c r="U32" s="3" t="s">
        <v>2306</v>
      </c>
      <c r="V32" s="3" t="s">
        <v>125</v>
      </c>
      <c r="W32" s="3" t="s">
        <v>100</v>
      </c>
      <c r="X32" s="3"/>
      <c r="Y32" s="3" t="str">
        <f>"02049000100202148"</f>
        <v>02049000100202148</v>
      </c>
      <c r="Z32" s="3" t="s">
        <v>101</v>
      </c>
      <c r="AA32" s="3" t="s">
        <v>5130</v>
      </c>
      <c r="AB32" s="3" t="str">
        <f t="shared" ref="AB32:AB33" si="7">"09643466000180"</f>
        <v>09643466000180</v>
      </c>
      <c r="AC32" s="3"/>
      <c r="AD32" s="3"/>
      <c r="AE32" s="3"/>
      <c r="AF32" s="3">
        <v>-61.015833</v>
      </c>
      <c r="AG32" s="3">
        <v>-11.54575</v>
      </c>
      <c r="AH32" s="3" t="s">
        <v>5131</v>
      </c>
      <c r="AI32" s="3"/>
      <c r="AJ32" s="3" t="s">
        <v>1227</v>
      </c>
      <c r="AK32" s="3"/>
      <c r="AL32" s="3" t="s">
        <v>128</v>
      </c>
      <c r="AM32" s="3" t="s">
        <v>65</v>
      </c>
      <c r="AN32" s="3" t="s">
        <v>274</v>
      </c>
      <c r="AO32" s="4">
        <v>44280.0</v>
      </c>
      <c r="AP32" s="4">
        <v>44280.7927546296</v>
      </c>
      <c r="AQ32" s="3" t="s">
        <v>132</v>
      </c>
      <c r="AR32" s="3" t="s">
        <v>247</v>
      </c>
      <c r="AS32" s="3" t="s">
        <v>5132</v>
      </c>
      <c r="AT32" s="4">
        <v>44281.0337152778</v>
      </c>
    </row>
    <row r="33" ht="15.75" customHeight="1">
      <c r="A33" s="3">
        <v>2044745.0</v>
      </c>
      <c r="B33" s="3" t="s">
        <v>116</v>
      </c>
      <c r="C33" s="3" t="s">
        <v>117</v>
      </c>
      <c r="D33" s="3" t="s">
        <v>46</v>
      </c>
      <c r="E33" s="3" t="s">
        <v>5133</v>
      </c>
      <c r="F33" s="3"/>
      <c r="G33" s="3" t="s">
        <v>119</v>
      </c>
      <c r="H33" s="3" t="s">
        <v>50</v>
      </c>
      <c r="I33" s="3">
        <v>161500.0</v>
      </c>
      <c r="J33" s="3"/>
      <c r="K33" s="3"/>
      <c r="L33" s="3" t="s">
        <v>1227</v>
      </c>
      <c r="M33" s="3" t="s">
        <v>5134</v>
      </c>
      <c r="N33" s="3" t="s">
        <v>186</v>
      </c>
      <c r="O33" s="3" t="s">
        <v>95</v>
      </c>
      <c r="P33" s="4">
        <v>44280.6666666667</v>
      </c>
      <c r="Q33" s="3" t="s">
        <v>77</v>
      </c>
      <c r="R33" s="5">
        <v>44280.0</v>
      </c>
      <c r="S33" s="3" t="s">
        <v>148</v>
      </c>
      <c r="T33" s="3">
        <v>1100098.0</v>
      </c>
      <c r="U33" s="3" t="s">
        <v>2306</v>
      </c>
      <c r="V33" s="3" t="s">
        <v>125</v>
      </c>
      <c r="W33" s="3" t="s">
        <v>100</v>
      </c>
      <c r="X33" s="3"/>
      <c r="Y33" s="3" t="str">
        <f>"02049000101202192"</f>
        <v>02049000101202192</v>
      </c>
      <c r="Z33" s="3" t="s">
        <v>101</v>
      </c>
      <c r="AA33" s="3" t="s">
        <v>5130</v>
      </c>
      <c r="AB33" s="3" t="str">
        <f t="shared" si="7"/>
        <v>09643466000180</v>
      </c>
      <c r="AC33" s="3"/>
      <c r="AD33" s="3"/>
      <c r="AE33" s="3"/>
      <c r="AF33" s="3">
        <v>-61.015833</v>
      </c>
      <c r="AG33" s="3">
        <v>-11.54575</v>
      </c>
      <c r="AH33" s="3" t="s">
        <v>5135</v>
      </c>
      <c r="AI33" s="3"/>
      <c r="AJ33" s="3" t="s">
        <v>1227</v>
      </c>
      <c r="AK33" s="3"/>
      <c r="AL33" s="3" t="s">
        <v>128</v>
      </c>
      <c r="AM33" s="3" t="s">
        <v>65</v>
      </c>
      <c r="AN33" s="3" t="s">
        <v>274</v>
      </c>
      <c r="AO33" s="4">
        <v>44280.0</v>
      </c>
      <c r="AP33" s="4">
        <v>44280.7993287037</v>
      </c>
      <c r="AQ33" s="3" t="s">
        <v>132</v>
      </c>
      <c r="AR33" s="3" t="s">
        <v>247</v>
      </c>
      <c r="AS33" s="3" t="s">
        <v>5132</v>
      </c>
      <c r="AT33" s="4">
        <v>44281.0337152778</v>
      </c>
    </row>
    <row r="34" ht="15.75" customHeight="1">
      <c r="A34" s="3"/>
      <c r="B34" s="3" t="s">
        <v>46</v>
      </c>
      <c r="C34" s="3" t="s">
        <v>47</v>
      </c>
      <c r="D34" s="3"/>
      <c r="E34" s="3" t="s">
        <v>5136</v>
      </c>
      <c r="F34" s="3"/>
      <c r="G34" s="3" t="s">
        <v>49</v>
      </c>
      <c r="H34" s="3" t="s">
        <v>72</v>
      </c>
      <c r="I34" s="3">
        <v>860.0</v>
      </c>
      <c r="J34" s="3"/>
      <c r="K34" s="3"/>
      <c r="L34" s="3"/>
      <c r="M34" s="3" t="s">
        <v>5112</v>
      </c>
      <c r="N34" s="3" t="s">
        <v>74</v>
      </c>
      <c r="O34" s="3" t="s">
        <v>75</v>
      </c>
      <c r="P34" s="4">
        <v>44280.6641087963</v>
      </c>
      <c r="Q34" s="3" t="s">
        <v>56</v>
      </c>
      <c r="R34" s="3"/>
      <c r="S34" s="3" t="s">
        <v>359</v>
      </c>
      <c r="T34" s="3">
        <v>3550704.0</v>
      </c>
      <c r="U34" s="3" t="s">
        <v>5113</v>
      </c>
      <c r="V34" s="3" t="s">
        <v>139</v>
      </c>
      <c r="W34" s="3" t="s">
        <v>60</v>
      </c>
      <c r="X34" s="3"/>
      <c r="Y34" s="3"/>
      <c r="Z34" s="3" t="s">
        <v>79</v>
      </c>
      <c r="AA34" s="3" t="s">
        <v>5137</v>
      </c>
      <c r="AB34" s="3" t="str">
        <f>"***613818**"</f>
        <v>***613818**</v>
      </c>
      <c r="AC34" s="3"/>
      <c r="AD34" s="3" t="s">
        <v>81</v>
      </c>
      <c r="AE34" s="3"/>
      <c r="AF34" s="3">
        <v>-47.933056</v>
      </c>
      <c r="AG34" s="3">
        <v>-15.83</v>
      </c>
      <c r="AH34" s="3" t="s">
        <v>5123</v>
      </c>
      <c r="AI34" s="3"/>
      <c r="AJ34" s="3" t="s">
        <v>1037</v>
      </c>
      <c r="AK34" s="3"/>
      <c r="AL34" s="3"/>
      <c r="AM34" s="3" t="s">
        <v>65</v>
      </c>
      <c r="AN34" s="3"/>
      <c r="AO34" s="3"/>
      <c r="AP34" s="4">
        <v>44280.6683333333</v>
      </c>
      <c r="AQ34" s="3"/>
      <c r="AR34" s="3" t="s">
        <v>5116</v>
      </c>
      <c r="AS34" s="3"/>
      <c r="AT34" s="4">
        <v>44281.0337152778</v>
      </c>
    </row>
    <row r="35" ht="15.75" customHeight="1">
      <c r="A35" s="3"/>
      <c r="B35" s="3" t="s">
        <v>46</v>
      </c>
      <c r="C35" s="3" t="s">
        <v>47</v>
      </c>
      <c r="D35" s="3"/>
      <c r="E35" s="3" t="s">
        <v>5138</v>
      </c>
      <c r="F35" s="3"/>
      <c r="G35" s="3" t="s">
        <v>49</v>
      </c>
      <c r="H35" s="3" t="s">
        <v>72</v>
      </c>
      <c r="I35" s="3">
        <v>212502.0</v>
      </c>
      <c r="J35" s="3"/>
      <c r="K35" s="3"/>
      <c r="L35" s="3"/>
      <c r="M35" s="3" t="s">
        <v>5139</v>
      </c>
      <c r="N35" s="3" t="s">
        <v>109</v>
      </c>
      <c r="O35" s="3" t="s">
        <v>110</v>
      </c>
      <c r="P35" s="4">
        <v>44280.6513657407</v>
      </c>
      <c r="Q35" s="3" t="s">
        <v>77</v>
      </c>
      <c r="R35" s="3"/>
      <c r="S35" s="3" t="s">
        <v>1349</v>
      </c>
      <c r="T35" s="3">
        <v>1508100.0</v>
      </c>
      <c r="U35" s="3" t="s">
        <v>5107</v>
      </c>
      <c r="V35" s="3" t="s">
        <v>917</v>
      </c>
      <c r="W35" s="3" t="s">
        <v>100</v>
      </c>
      <c r="X35" s="3"/>
      <c r="Y35" s="3"/>
      <c r="Z35" s="3" t="s">
        <v>112</v>
      </c>
      <c r="AA35" s="3" t="s">
        <v>5108</v>
      </c>
      <c r="AB35" s="3" t="str">
        <f>"06289189000160"</f>
        <v>06289189000160</v>
      </c>
      <c r="AC35" s="3"/>
      <c r="AD35" s="3" t="s">
        <v>325</v>
      </c>
      <c r="AE35" s="3"/>
      <c r="AF35" s="3">
        <v>-49.683889</v>
      </c>
      <c r="AG35" s="3">
        <v>-3.733056</v>
      </c>
      <c r="AH35" s="3" t="s">
        <v>5140</v>
      </c>
      <c r="AI35" s="3"/>
      <c r="AJ35" s="3" t="s">
        <v>120</v>
      </c>
      <c r="AK35" s="3"/>
      <c r="AL35" s="3"/>
      <c r="AM35" s="3" t="s">
        <v>65</v>
      </c>
      <c r="AN35" s="3" t="s">
        <v>5110</v>
      </c>
      <c r="AO35" s="3"/>
      <c r="AP35" s="4">
        <v>44280.6646180556</v>
      </c>
      <c r="AQ35" s="3"/>
      <c r="AR35" s="3" t="s">
        <v>1295</v>
      </c>
      <c r="AS35" s="3"/>
      <c r="AT35" s="4">
        <v>44281.0337152778</v>
      </c>
    </row>
    <row r="36" ht="15.75" customHeight="1">
      <c r="A36" s="3"/>
      <c r="B36" s="3" t="s">
        <v>46</v>
      </c>
      <c r="C36" s="3" t="s">
        <v>47</v>
      </c>
      <c r="D36" s="3"/>
      <c r="E36" s="3" t="s">
        <v>5141</v>
      </c>
      <c r="F36" s="3"/>
      <c r="G36" s="3" t="s">
        <v>49</v>
      </c>
      <c r="H36" s="3" t="s">
        <v>72</v>
      </c>
      <c r="I36" s="3">
        <v>880.0</v>
      </c>
      <c r="J36" s="3"/>
      <c r="K36" s="3"/>
      <c r="L36" s="3"/>
      <c r="M36" s="3" t="s">
        <v>5112</v>
      </c>
      <c r="N36" s="3" t="s">
        <v>74</v>
      </c>
      <c r="O36" s="3" t="s">
        <v>75</v>
      </c>
      <c r="P36" s="4">
        <v>44280.6471412037</v>
      </c>
      <c r="Q36" s="3" t="s">
        <v>56</v>
      </c>
      <c r="R36" s="3"/>
      <c r="S36" s="3" t="s">
        <v>359</v>
      </c>
      <c r="T36" s="3">
        <v>3550704.0</v>
      </c>
      <c r="U36" s="3" t="s">
        <v>5113</v>
      </c>
      <c r="V36" s="3" t="s">
        <v>139</v>
      </c>
      <c r="W36" s="3" t="s">
        <v>60</v>
      </c>
      <c r="X36" s="3"/>
      <c r="Y36" s="3"/>
      <c r="Z36" s="3" t="s">
        <v>79</v>
      </c>
      <c r="AA36" s="3" t="s">
        <v>5142</v>
      </c>
      <c r="AB36" s="3" t="str">
        <f>"***946158**"</f>
        <v>***946158**</v>
      </c>
      <c r="AC36" s="3"/>
      <c r="AD36" s="3" t="s">
        <v>81</v>
      </c>
      <c r="AE36" s="3"/>
      <c r="AF36" s="3">
        <v>-47.933056</v>
      </c>
      <c r="AG36" s="3">
        <v>-15.83</v>
      </c>
      <c r="AH36" s="3" t="s">
        <v>5115</v>
      </c>
      <c r="AI36" s="3"/>
      <c r="AJ36" s="3" t="s">
        <v>1037</v>
      </c>
      <c r="AK36" s="3"/>
      <c r="AL36" s="3"/>
      <c r="AM36" s="3" t="s">
        <v>65</v>
      </c>
      <c r="AN36" s="3"/>
      <c r="AO36" s="3"/>
      <c r="AP36" s="4">
        <v>44280.6508680556</v>
      </c>
      <c r="AQ36" s="3"/>
      <c r="AR36" s="3" t="s">
        <v>5116</v>
      </c>
      <c r="AS36" s="3"/>
      <c r="AT36" s="4">
        <v>44281.0337152778</v>
      </c>
    </row>
    <row r="37" ht="15.75" customHeight="1">
      <c r="A37" s="3"/>
      <c r="B37" s="3" t="s">
        <v>46</v>
      </c>
      <c r="C37" s="3" t="s">
        <v>47</v>
      </c>
      <c r="D37" s="3"/>
      <c r="E37" s="3" t="s">
        <v>5143</v>
      </c>
      <c r="F37" s="3"/>
      <c r="G37" s="3" t="s">
        <v>49</v>
      </c>
      <c r="H37" s="3" t="s">
        <v>50</v>
      </c>
      <c r="I37" s="3">
        <v>52500.0</v>
      </c>
      <c r="J37" s="3"/>
      <c r="K37" s="3" t="s">
        <v>51</v>
      </c>
      <c r="L37" s="3"/>
      <c r="M37" s="3" t="s">
        <v>5144</v>
      </c>
      <c r="N37" s="3" t="s">
        <v>109</v>
      </c>
      <c r="O37" s="3" t="s">
        <v>110</v>
      </c>
      <c r="P37" s="4">
        <v>44280.6470601852</v>
      </c>
      <c r="Q37" s="3" t="s">
        <v>77</v>
      </c>
      <c r="R37" s="3"/>
      <c r="S37" s="3" t="s">
        <v>148</v>
      </c>
      <c r="T37" s="3">
        <v>1100205.0</v>
      </c>
      <c r="U37" s="3" t="s">
        <v>242</v>
      </c>
      <c r="V37" s="3" t="s">
        <v>125</v>
      </c>
      <c r="W37" s="3" t="s">
        <v>100</v>
      </c>
      <c r="X37" s="3"/>
      <c r="Y37" s="3"/>
      <c r="Z37" s="3" t="s">
        <v>112</v>
      </c>
      <c r="AA37" s="3" t="s">
        <v>5145</v>
      </c>
      <c r="AB37" s="3" t="str">
        <f>"32845550000106"</f>
        <v>32845550000106</v>
      </c>
      <c r="AC37" s="3"/>
      <c r="AD37" s="3" t="s">
        <v>81</v>
      </c>
      <c r="AE37" s="3"/>
      <c r="AF37" s="3">
        <v>-65.738611</v>
      </c>
      <c r="AG37" s="3">
        <v>-9.660556</v>
      </c>
      <c r="AH37" s="3" t="s">
        <v>5146</v>
      </c>
      <c r="AI37" s="3"/>
      <c r="AJ37" s="3" t="s">
        <v>120</v>
      </c>
      <c r="AK37" s="3"/>
      <c r="AL37" s="3"/>
      <c r="AM37" s="3" t="s">
        <v>65</v>
      </c>
      <c r="AN37" s="3" t="s">
        <v>5102</v>
      </c>
      <c r="AO37" s="3"/>
      <c r="AP37" s="4">
        <v>44280.6823958333</v>
      </c>
      <c r="AQ37" s="3"/>
      <c r="AR37" s="3" t="s">
        <v>106</v>
      </c>
      <c r="AS37" s="3"/>
      <c r="AT37" s="4">
        <v>44281.0337152778</v>
      </c>
    </row>
    <row r="38" ht="15.75" customHeight="1">
      <c r="A38" s="3"/>
      <c r="B38" s="3" t="s">
        <v>46</v>
      </c>
      <c r="C38" s="3" t="s">
        <v>47</v>
      </c>
      <c r="D38" s="3"/>
      <c r="E38" s="3" t="s">
        <v>5147</v>
      </c>
      <c r="F38" s="3"/>
      <c r="G38" s="3" t="s">
        <v>49</v>
      </c>
      <c r="H38" s="3" t="s">
        <v>72</v>
      </c>
      <c r="I38" s="3">
        <v>1100.0</v>
      </c>
      <c r="J38" s="3"/>
      <c r="K38" s="3"/>
      <c r="L38" s="3"/>
      <c r="M38" s="3" t="s">
        <v>5112</v>
      </c>
      <c r="N38" s="3" t="s">
        <v>74</v>
      </c>
      <c r="O38" s="3" t="s">
        <v>75</v>
      </c>
      <c r="P38" s="4">
        <v>44280.6242592593</v>
      </c>
      <c r="Q38" s="3" t="s">
        <v>56</v>
      </c>
      <c r="R38" s="3"/>
      <c r="S38" s="3" t="s">
        <v>359</v>
      </c>
      <c r="T38" s="3">
        <v>3550704.0</v>
      </c>
      <c r="U38" s="3" t="s">
        <v>5113</v>
      </c>
      <c r="V38" s="3" t="s">
        <v>139</v>
      </c>
      <c r="W38" s="3" t="s">
        <v>60</v>
      </c>
      <c r="X38" s="3"/>
      <c r="Y38" s="3"/>
      <c r="Z38" s="3" t="s">
        <v>79</v>
      </c>
      <c r="AA38" s="3" t="s">
        <v>5148</v>
      </c>
      <c r="AB38" s="3" t="str">
        <f>"***550938**"</f>
        <v>***550938**</v>
      </c>
      <c r="AC38" s="3"/>
      <c r="AD38" s="3" t="s">
        <v>81</v>
      </c>
      <c r="AE38" s="3"/>
      <c r="AF38" s="3">
        <v>-47.933056</v>
      </c>
      <c r="AG38" s="3">
        <v>-15.83</v>
      </c>
      <c r="AH38" s="3" t="s">
        <v>5123</v>
      </c>
      <c r="AI38" s="3"/>
      <c r="AJ38" s="3" t="s">
        <v>1037</v>
      </c>
      <c r="AK38" s="3"/>
      <c r="AL38" s="3"/>
      <c r="AM38" s="3" t="s">
        <v>65</v>
      </c>
      <c r="AN38" s="3"/>
      <c r="AO38" s="3"/>
      <c r="AP38" s="4">
        <v>44280.629849537</v>
      </c>
      <c r="AQ38" s="3"/>
      <c r="AR38" s="3" t="s">
        <v>5116</v>
      </c>
      <c r="AS38" s="3"/>
      <c r="AT38" s="4">
        <v>44281.0337152778</v>
      </c>
    </row>
    <row r="39" ht="15.75" customHeight="1">
      <c r="A39" s="3"/>
      <c r="B39" s="3" t="s">
        <v>46</v>
      </c>
      <c r="C39" s="3" t="s">
        <v>47</v>
      </c>
      <c r="D39" s="3"/>
      <c r="E39" s="3" t="s">
        <v>5149</v>
      </c>
      <c r="F39" s="3"/>
      <c r="G39" s="3" t="s">
        <v>49</v>
      </c>
      <c r="H39" s="3" t="s">
        <v>72</v>
      </c>
      <c r="I39" s="3">
        <v>122700.0</v>
      </c>
      <c r="J39" s="3"/>
      <c r="K39" s="3"/>
      <c r="L39" s="3"/>
      <c r="M39" s="3" t="s">
        <v>5150</v>
      </c>
      <c r="N39" s="3" t="s">
        <v>109</v>
      </c>
      <c r="O39" s="3" t="s">
        <v>110</v>
      </c>
      <c r="P39" s="4">
        <v>44280.6064814815</v>
      </c>
      <c r="Q39" s="3" t="s">
        <v>77</v>
      </c>
      <c r="R39" s="3"/>
      <c r="S39" s="3" t="s">
        <v>148</v>
      </c>
      <c r="T39" s="3">
        <v>1100205.0</v>
      </c>
      <c r="U39" s="3" t="s">
        <v>242</v>
      </c>
      <c r="V39" s="3" t="s">
        <v>125</v>
      </c>
      <c r="W39" s="3" t="s">
        <v>100</v>
      </c>
      <c r="X39" s="3"/>
      <c r="Y39" s="3"/>
      <c r="Z39" s="3" t="s">
        <v>112</v>
      </c>
      <c r="AA39" s="3" t="s">
        <v>5151</v>
      </c>
      <c r="AB39" s="3" t="str">
        <f>"***984402**"</f>
        <v>***984402**</v>
      </c>
      <c r="AC39" s="3"/>
      <c r="AD39" s="3" t="s">
        <v>62</v>
      </c>
      <c r="AE39" s="3"/>
      <c r="AF39" s="3">
        <v>-65.749417</v>
      </c>
      <c r="AG39" s="3">
        <v>-9.655556</v>
      </c>
      <c r="AH39" s="3" t="s">
        <v>5152</v>
      </c>
      <c r="AI39" s="3"/>
      <c r="AJ39" s="3" t="s">
        <v>120</v>
      </c>
      <c r="AK39" s="3"/>
      <c r="AL39" s="3"/>
      <c r="AM39" s="3" t="s">
        <v>65</v>
      </c>
      <c r="AN39" s="3" t="s">
        <v>5102</v>
      </c>
      <c r="AO39" s="3"/>
      <c r="AP39" s="4">
        <v>44280.635787037</v>
      </c>
      <c r="AQ39" s="3"/>
      <c r="AR39" s="3" t="s">
        <v>177</v>
      </c>
      <c r="AS39" s="3"/>
      <c r="AT39" s="4">
        <v>44281.0337152778</v>
      </c>
    </row>
    <row r="40" ht="15.75" customHeight="1">
      <c r="A40" s="3"/>
      <c r="B40" s="3" t="s">
        <v>46</v>
      </c>
      <c r="C40" s="3" t="s">
        <v>47</v>
      </c>
      <c r="D40" s="3"/>
      <c r="E40" s="3" t="s">
        <v>5153</v>
      </c>
      <c r="F40" s="3"/>
      <c r="G40" s="3" t="s">
        <v>49</v>
      </c>
      <c r="H40" s="3" t="s">
        <v>72</v>
      </c>
      <c r="I40" s="3">
        <v>1040.0</v>
      </c>
      <c r="J40" s="3"/>
      <c r="K40" s="3"/>
      <c r="L40" s="3"/>
      <c r="M40" s="3" t="s">
        <v>5112</v>
      </c>
      <c r="N40" s="3" t="s">
        <v>74</v>
      </c>
      <c r="O40" s="3" t="s">
        <v>75</v>
      </c>
      <c r="P40" s="4">
        <v>44280.5932638889</v>
      </c>
      <c r="Q40" s="3" t="s">
        <v>56</v>
      </c>
      <c r="R40" s="3"/>
      <c r="S40" s="3" t="s">
        <v>359</v>
      </c>
      <c r="T40" s="3">
        <v>3550704.0</v>
      </c>
      <c r="U40" s="3" t="s">
        <v>5113</v>
      </c>
      <c r="V40" s="3" t="s">
        <v>139</v>
      </c>
      <c r="W40" s="3" t="s">
        <v>60</v>
      </c>
      <c r="X40" s="3"/>
      <c r="Y40" s="3"/>
      <c r="Z40" s="3" t="s">
        <v>79</v>
      </c>
      <c r="AA40" s="3" t="s">
        <v>5154</v>
      </c>
      <c r="AB40" s="3" t="str">
        <f>"***031281**"</f>
        <v>***031281**</v>
      </c>
      <c r="AC40" s="3"/>
      <c r="AD40" s="3" t="s">
        <v>81</v>
      </c>
      <c r="AE40" s="3"/>
      <c r="AF40" s="3">
        <v>-47.933056</v>
      </c>
      <c r="AG40" s="3">
        <v>-15.83</v>
      </c>
      <c r="AH40" s="3" t="s">
        <v>5123</v>
      </c>
      <c r="AI40" s="3"/>
      <c r="AJ40" s="3" t="s">
        <v>1037</v>
      </c>
      <c r="AK40" s="3"/>
      <c r="AL40" s="3"/>
      <c r="AM40" s="3" t="s">
        <v>65</v>
      </c>
      <c r="AN40" s="3"/>
      <c r="AO40" s="3"/>
      <c r="AP40" s="4">
        <v>44280.6036921296</v>
      </c>
      <c r="AQ40" s="3"/>
      <c r="AR40" s="3" t="s">
        <v>5116</v>
      </c>
      <c r="AS40" s="3"/>
      <c r="AT40" s="4">
        <v>44281.0337152778</v>
      </c>
    </row>
    <row r="41" ht="15.75" customHeight="1">
      <c r="A41" s="3"/>
      <c r="B41" s="3" t="s">
        <v>46</v>
      </c>
      <c r="C41" s="3" t="s">
        <v>47</v>
      </c>
      <c r="D41" s="3"/>
      <c r="E41" s="3" t="s">
        <v>5155</v>
      </c>
      <c r="F41" s="3"/>
      <c r="G41" s="3" t="s">
        <v>217</v>
      </c>
      <c r="H41" s="3" t="s">
        <v>50</v>
      </c>
      <c r="I41" s="3"/>
      <c r="J41" s="3"/>
      <c r="K41" s="3"/>
      <c r="L41" s="3"/>
      <c r="M41" s="3" t="s">
        <v>5156</v>
      </c>
      <c r="N41" s="3" t="s">
        <v>257</v>
      </c>
      <c r="O41" s="3" t="s">
        <v>258</v>
      </c>
      <c r="P41" s="4">
        <v>44280.583599537</v>
      </c>
      <c r="Q41" s="3"/>
      <c r="R41" s="3"/>
      <c r="S41" s="3" t="s">
        <v>475</v>
      </c>
      <c r="T41" s="3">
        <v>3161700.0</v>
      </c>
      <c r="U41" s="3" t="s">
        <v>5157</v>
      </c>
      <c r="V41" s="3" t="s">
        <v>477</v>
      </c>
      <c r="W41" s="3" t="s">
        <v>172</v>
      </c>
      <c r="X41" s="3"/>
      <c r="Y41" s="3"/>
      <c r="Z41" s="3" t="s">
        <v>1427</v>
      </c>
      <c r="AA41" s="3" t="s">
        <v>5158</v>
      </c>
      <c r="AB41" s="3" t="str">
        <f>"***559606**"</f>
        <v>***559606**</v>
      </c>
      <c r="AC41" s="3"/>
      <c r="AD41" s="3" t="s">
        <v>81</v>
      </c>
      <c r="AE41" s="3"/>
      <c r="AF41" s="3">
        <v>-45.835278</v>
      </c>
      <c r="AG41" s="3">
        <v>-18.342778</v>
      </c>
      <c r="AH41" s="3" t="s">
        <v>5159</v>
      </c>
      <c r="AI41" s="3"/>
      <c r="AJ41" s="3" t="s">
        <v>1096</v>
      </c>
      <c r="AK41" s="3"/>
      <c r="AL41" s="3"/>
      <c r="AM41" s="3" t="s">
        <v>65</v>
      </c>
      <c r="AN41" s="3" t="s">
        <v>481</v>
      </c>
      <c r="AO41" s="3"/>
      <c r="AP41" s="4">
        <v>44280.5927777778</v>
      </c>
      <c r="AQ41" s="3"/>
      <c r="AR41" s="3" t="s">
        <v>5160</v>
      </c>
      <c r="AS41" s="3"/>
      <c r="AT41" s="4">
        <v>44281.0337152778</v>
      </c>
    </row>
    <row r="42" ht="15.75" customHeight="1">
      <c r="A42" s="3"/>
      <c r="B42" s="3" t="s">
        <v>46</v>
      </c>
      <c r="C42" s="3" t="s">
        <v>47</v>
      </c>
      <c r="D42" s="3"/>
      <c r="E42" s="3" t="s">
        <v>5161</v>
      </c>
      <c r="F42" s="3"/>
      <c r="G42" s="3" t="s">
        <v>49</v>
      </c>
      <c r="H42" s="3" t="s">
        <v>72</v>
      </c>
      <c r="I42" s="3">
        <v>180000.0</v>
      </c>
      <c r="J42" s="3"/>
      <c r="K42" s="3"/>
      <c r="L42" s="3"/>
      <c r="M42" s="3" t="s">
        <v>5162</v>
      </c>
      <c r="N42" s="3" t="s">
        <v>109</v>
      </c>
      <c r="O42" s="3" t="s">
        <v>110</v>
      </c>
      <c r="P42" s="4">
        <v>44280.5748958333</v>
      </c>
      <c r="Q42" s="3" t="s">
        <v>77</v>
      </c>
      <c r="R42" s="3"/>
      <c r="S42" s="3" t="s">
        <v>915</v>
      </c>
      <c r="T42" s="3">
        <v>1505031.0</v>
      </c>
      <c r="U42" s="3" t="s">
        <v>5077</v>
      </c>
      <c r="V42" s="3" t="s">
        <v>917</v>
      </c>
      <c r="W42" s="3" t="s">
        <v>100</v>
      </c>
      <c r="X42" s="3"/>
      <c r="Y42" s="3"/>
      <c r="Z42" s="3" t="s">
        <v>112</v>
      </c>
      <c r="AA42" s="3" t="s">
        <v>5163</v>
      </c>
      <c r="AB42" s="3" t="str">
        <f>"***865402**"</f>
        <v>***865402**</v>
      </c>
      <c r="AC42" s="3"/>
      <c r="AD42" s="3" t="s">
        <v>325</v>
      </c>
      <c r="AE42" s="3"/>
      <c r="AF42" s="3">
        <v>-55.570944</v>
      </c>
      <c r="AG42" s="3">
        <v>-7.25525</v>
      </c>
      <c r="AH42" s="3" t="s">
        <v>5164</v>
      </c>
      <c r="AI42" s="3"/>
      <c r="AJ42" s="3" t="s">
        <v>120</v>
      </c>
      <c r="AK42" s="3"/>
      <c r="AL42" s="3"/>
      <c r="AM42" s="3" t="s">
        <v>65</v>
      </c>
      <c r="AN42" s="3" t="s">
        <v>5110</v>
      </c>
      <c r="AO42" s="3"/>
      <c r="AP42" s="4">
        <v>44280.5822800926</v>
      </c>
      <c r="AQ42" s="3"/>
      <c r="AR42" s="3" t="s">
        <v>5165</v>
      </c>
      <c r="AS42" s="3"/>
      <c r="AT42" s="4">
        <v>44281.0337152778</v>
      </c>
    </row>
    <row r="43" ht="15.75" customHeight="1">
      <c r="A43" s="3"/>
      <c r="B43" s="3" t="s">
        <v>46</v>
      </c>
      <c r="C43" s="3" t="s">
        <v>47</v>
      </c>
      <c r="D43" s="3"/>
      <c r="E43" s="3" t="s">
        <v>5166</v>
      </c>
      <c r="F43" s="3"/>
      <c r="G43" s="3" t="s">
        <v>49</v>
      </c>
      <c r="H43" s="3" t="s">
        <v>50</v>
      </c>
      <c r="I43" s="3">
        <v>13100.0</v>
      </c>
      <c r="J43" s="3"/>
      <c r="K43" s="3" t="s">
        <v>92</v>
      </c>
      <c r="L43" s="3"/>
      <c r="M43" s="3" t="s">
        <v>5167</v>
      </c>
      <c r="N43" s="3" t="s">
        <v>74</v>
      </c>
      <c r="O43" s="3" t="s">
        <v>75</v>
      </c>
      <c r="P43" s="4">
        <v>44280.573125</v>
      </c>
      <c r="Q43" s="3" t="s">
        <v>77</v>
      </c>
      <c r="R43" s="3"/>
      <c r="S43" s="3" t="s">
        <v>2022</v>
      </c>
      <c r="T43" s="3">
        <v>3300100.0</v>
      </c>
      <c r="U43" s="3" t="s">
        <v>5168</v>
      </c>
      <c r="V43" s="3" t="s">
        <v>1741</v>
      </c>
      <c r="W43" s="3" t="s">
        <v>60</v>
      </c>
      <c r="X43" s="3"/>
      <c r="Y43" s="3"/>
      <c r="Z43" s="3" t="s">
        <v>79</v>
      </c>
      <c r="AA43" s="3" t="s">
        <v>5169</v>
      </c>
      <c r="AB43" s="3" t="str">
        <f>"26102977000103"</f>
        <v>26102977000103</v>
      </c>
      <c r="AC43" s="3"/>
      <c r="AD43" s="3" t="s">
        <v>81</v>
      </c>
      <c r="AE43" s="3"/>
      <c r="AF43" s="3">
        <v>-44.438611</v>
      </c>
      <c r="AG43" s="3">
        <v>-22.961111</v>
      </c>
      <c r="AH43" s="3" t="s">
        <v>5170</v>
      </c>
      <c r="AI43" s="3"/>
      <c r="AJ43" s="3" t="s">
        <v>2051</v>
      </c>
      <c r="AK43" s="3"/>
      <c r="AL43" s="3"/>
      <c r="AM43" s="3" t="s">
        <v>65</v>
      </c>
      <c r="AN43" s="3" t="s">
        <v>83</v>
      </c>
      <c r="AO43" s="3"/>
      <c r="AP43" s="4">
        <v>44280.5870601852</v>
      </c>
      <c r="AQ43" s="3"/>
      <c r="AR43" s="3" t="s">
        <v>5171</v>
      </c>
      <c r="AS43" s="3" t="s">
        <v>5172</v>
      </c>
      <c r="AT43" s="4">
        <v>44281.0337152778</v>
      </c>
    </row>
    <row r="44" ht="15.75" customHeight="1">
      <c r="A44" s="3"/>
      <c r="B44" s="3" t="s">
        <v>46</v>
      </c>
      <c r="C44" s="3" t="s">
        <v>47</v>
      </c>
      <c r="D44" s="3"/>
      <c r="E44" s="3" t="s">
        <v>5173</v>
      </c>
      <c r="F44" s="3"/>
      <c r="G44" s="3" t="s">
        <v>49</v>
      </c>
      <c r="H44" s="3" t="s">
        <v>72</v>
      </c>
      <c r="I44" s="3">
        <v>3500.0</v>
      </c>
      <c r="J44" s="3"/>
      <c r="K44" s="3"/>
      <c r="L44" s="3"/>
      <c r="M44" s="3" t="s">
        <v>5174</v>
      </c>
      <c r="N44" s="3" t="s">
        <v>257</v>
      </c>
      <c r="O44" s="3" t="s">
        <v>258</v>
      </c>
      <c r="P44" s="4">
        <v>44280.5584027778</v>
      </c>
      <c r="Q44" s="3" t="s">
        <v>56</v>
      </c>
      <c r="R44" s="3"/>
      <c r="S44" s="3" t="s">
        <v>475</v>
      </c>
      <c r="T44" s="3">
        <v>3161700.0</v>
      </c>
      <c r="U44" s="3" t="s">
        <v>5157</v>
      </c>
      <c r="V44" s="3" t="s">
        <v>477</v>
      </c>
      <c r="W44" s="3" t="s">
        <v>172</v>
      </c>
      <c r="X44" s="3"/>
      <c r="Y44" s="3"/>
      <c r="Z44" s="3" t="s">
        <v>260</v>
      </c>
      <c r="AA44" s="3" t="s">
        <v>5175</v>
      </c>
      <c r="AB44" s="3" t="str">
        <f>"***878396**"</f>
        <v>***878396**</v>
      </c>
      <c r="AC44" s="3"/>
      <c r="AD44" s="3" t="s">
        <v>81</v>
      </c>
      <c r="AE44" s="3"/>
      <c r="AF44" s="3">
        <v>-45.835278</v>
      </c>
      <c r="AG44" s="3">
        <v>-18.342778</v>
      </c>
      <c r="AH44" s="3" t="s">
        <v>5159</v>
      </c>
      <c r="AI44" s="3"/>
      <c r="AJ44" s="3" t="s">
        <v>1096</v>
      </c>
      <c r="AK44" s="3"/>
      <c r="AL44" s="3"/>
      <c r="AM44" s="3" t="s">
        <v>65</v>
      </c>
      <c r="AN44" s="3" t="s">
        <v>481</v>
      </c>
      <c r="AO44" s="3"/>
      <c r="AP44" s="4">
        <v>44280.5668055556</v>
      </c>
      <c r="AQ44" s="3"/>
      <c r="AR44" s="3" t="s">
        <v>4033</v>
      </c>
      <c r="AS44" s="3"/>
      <c r="AT44" s="4">
        <v>44281.0337152778</v>
      </c>
    </row>
    <row r="45" ht="15.75" customHeight="1">
      <c r="A45" s="3"/>
      <c r="B45" s="3" t="s">
        <v>46</v>
      </c>
      <c r="C45" s="3" t="s">
        <v>47</v>
      </c>
      <c r="D45" s="3"/>
      <c r="E45" s="3" t="s">
        <v>5176</v>
      </c>
      <c r="F45" s="3"/>
      <c r="G45" s="3" t="s">
        <v>49</v>
      </c>
      <c r="H45" s="3" t="s">
        <v>72</v>
      </c>
      <c r="I45" s="3">
        <v>670000.0</v>
      </c>
      <c r="J45" s="3"/>
      <c r="K45" s="3"/>
      <c r="L45" s="3"/>
      <c r="M45" s="3" t="s">
        <v>5177</v>
      </c>
      <c r="N45" s="3" t="s">
        <v>109</v>
      </c>
      <c r="O45" s="3" t="s">
        <v>110</v>
      </c>
      <c r="P45" s="4">
        <v>44280.5547569444</v>
      </c>
      <c r="Q45" s="3" t="s">
        <v>77</v>
      </c>
      <c r="R45" s="3"/>
      <c r="S45" s="3" t="s">
        <v>608</v>
      </c>
      <c r="T45" s="3">
        <v>1505031.0</v>
      </c>
      <c r="U45" s="3" t="s">
        <v>5077</v>
      </c>
      <c r="V45" s="3" t="s">
        <v>917</v>
      </c>
      <c r="W45" s="3" t="s">
        <v>100</v>
      </c>
      <c r="X45" s="3" t="s">
        <v>5178</v>
      </c>
      <c r="Y45" s="3"/>
      <c r="Z45" s="3" t="s">
        <v>112</v>
      </c>
      <c r="AA45" s="3" t="s">
        <v>5179</v>
      </c>
      <c r="AB45" s="3" t="str">
        <f>"***865402**"</f>
        <v>***865402**</v>
      </c>
      <c r="AC45" s="3"/>
      <c r="AD45" s="3" t="s">
        <v>325</v>
      </c>
      <c r="AE45" s="3"/>
      <c r="AF45" s="3">
        <v>-55.582694</v>
      </c>
      <c r="AG45" s="3">
        <v>-7.2585</v>
      </c>
      <c r="AH45" s="3" t="s">
        <v>5164</v>
      </c>
      <c r="AI45" s="3"/>
      <c r="AJ45" s="3" t="s">
        <v>120</v>
      </c>
      <c r="AK45" s="3"/>
      <c r="AL45" s="3"/>
      <c r="AM45" s="3" t="s">
        <v>65</v>
      </c>
      <c r="AN45" s="3" t="s">
        <v>5110</v>
      </c>
      <c r="AO45" s="3"/>
      <c r="AP45" s="4">
        <v>44280.5655092593</v>
      </c>
      <c r="AQ45" s="3"/>
      <c r="AR45" s="3" t="s">
        <v>5180</v>
      </c>
      <c r="AS45" s="3"/>
      <c r="AT45" s="4">
        <v>44281.0337152778</v>
      </c>
    </row>
    <row r="46" ht="15.75" customHeight="1">
      <c r="A46" s="3"/>
      <c r="B46" s="3" t="s">
        <v>46</v>
      </c>
      <c r="C46" s="3" t="s">
        <v>47</v>
      </c>
      <c r="D46" s="3"/>
      <c r="E46" s="3" t="s">
        <v>5181</v>
      </c>
      <c r="F46" s="3"/>
      <c r="G46" s="3" t="s">
        <v>49</v>
      </c>
      <c r="H46" s="3" t="s">
        <v>50</v>
      </c>
      <c r="I46" s="3">
        <v>13100.0</v>
      </c>
      <c r="J46" s="3"/>
      <c r="K46" s="3" t="s">
        <v>92</v>
      </c>
      <c r="L46" s="3"/>
      <c r="M46" s="3" t="s">
        <v>5182</v>
      </c>
      <c r="N46" s="3" t="s">
        <v>74</v>
      </c>
      <c r="O46" s="3" t="s">
        <v>75</v>
      </c>
      <c r="P46" s="4">
        <v>44280.5471064815</v>
      </c>
      <c r="Q46" s="3" t="s">
        <v>77</v>
      </c>
      <c r="R46" s="3"/>
      <c r="S46" s="3" t="s">
        <v>2022</v>
      </c>
      <c r="T46" s="3">
        <v>3300100.0</v>
      </c>
      <c r="U46" s="3" t="s">
        <v>5168</v>
      </c>
      <c r="V46" s="3" t="s">
        <v>1741</v>
      </c>
      <c r="W46" s="3" t="s">
        <v>60</v>
      </c>
      <c r="X46" s="3"/>
      <c r="Y46" s="3"/>
      <c r="Z46" s="3" t="s">
        <v>79</v>
      </c>
      <c r="AA46" s="3" t="s">
        <v>5169</v>
      </c>
      <c r="AB46" s="3" t="str">
        <f>"26102977000103"</f>
        <v>26102977000103</v>
      </c>
      <c r="AC46" s="3"/>
      <c r="AD46" s="3" t="s">
        <v>81</v>
      </c>
      <c r="AE46" s="3"/>
      <c r="AF46" s="3">
        <v>-44.435833</v>
      </c>
      <c r="AG46" s="3">
        <v>-22.963889</v>
      </c>
      <c r="AH46" s="3" t="s">
        <v>5183</v>
      </c>
      <c r="AI46" s="3"/>
      <c r="AJ46" s="3" t="s">
        <v>2051</v>
      </c>
      <c r="AK46" s="3"/>
      <c r="AL46" s="3"/>
      <c r="AM46" s="3" t="s">
        <v>65</v>
      </c>
      <c r="AN46" s="3" t="s">
        <v>83</v>
      </c>
      <c r="AO46" s="3"/>
      <c r="AP46" s="4">
        <v>44280.5692476852</v>
      </c>
      <c r="AQ46" s="3"/>
      <c r="AR46" s="3" t="s">
        <v>5171</v>
      </c>
      <c r="AS46" s="3" t="s">
        <v>5184</v>
      </c>
      <c r="AT46" s="4">
        <v>44281.0337152778</v>
      </c>
    </row>
    <row r="47" ht="15.75" customHeight="1">
      <c r="A47" s="3"/>
      <c r="B47" s="3" t="s">
        <v>46</v>
      </c>
      <c r="C47" s="3" t="s">
        <v>47</v>
      </c>
      <c r="D47" s="3"/>
      <c r="E47" s="3" t="s">
        <v>5185</v>
      </c>
      <c r="F47" s="3"/>
      <c r="G47" s="3" t="s">
        <v>49</v>
      </c>
      <c r="H47" s="3" t="s">
        <v>72</v>
      </c>
      <c r="I47" s="3">
        <v>19859.94</v>
      </c>
      <c r="J47" s="3"/>
      <c r="K47" s="3"/>
      <c r="L47" s="3"/>
      <c r="M47" s="3" t="s">
        <v>5186</v>
      </c>
      <c r="N47" s="3" t="s">
        <v>109</v>
      </c>
      <c r="O47" s="3" t="s">
        <v>110</v>
      </c>
      <c r="P47" s="4">
        <v>44280.5032291667</v>
      </c>
      <c r="Q47" s="3" t="s">
        <v>137</v>
      </c>
      <c r="R47" s="3"/>
      <c r="S47" s="3" t="s">
        <v>97</v>
      </c>
      <c r="T47" s="3">
        <v>1302405.0</v>
      </c>
      <c r="U47" s="3" t="s">
        <v>5187</v>
      </c>
      <c r="V47" s="3" t="s">
        <v>99</v>
      </c>
      <c r="W47" s="3" t="s">
        <v>100</v>
      </c>
      <c r="X47" s="3"/>
      <c r="Y47" s="3"/>
      <c r="Z47" s="3" t="s">
        <v>112</v>
      </c>
      <c r="AA47" s="3" t="s">
        <v>5188</v>
      </c>
      <c r="AB47" s="3" t="str">
        <f>"05930683000108"</f>
        <v>05930683000108</v>
      </c>
      <c r="AC47" s="3"/>
      <c r="AD47" s="3" t="s">
        <v>62</v>
      </c>
      <c r="AE47" s="3"/>
      <c r="AF47" s="3">
        <v>-66.569167</v>
      </c>
      <c r="AG47" s="3">
        <v>-9.653056</v>
      </c>
      <c r="AH47" s="3" t="s">
        <v>5189</v>
      </c>
      <c r="AI47" s="3"/>
      <c r="AJ47" s="3" t="s">
        <v>120</v>
      </c>
      <c r="AK47" s="3"/>
      <c r="AL47" s="3"/>
      <c r="AM47" s="3" t="s">
        <v>65</v>
      </c>
      <c r="AN47" s="3" t="s">
        <v>5102</v>
      </c>
      <c r="AO47" s="3"/>
      <c r="AP47" s="4">
        <v>44280.6123726852</v>
      </c>
      <c r="AQ47" s="3"/>
      <c r="AR47" s="3" t="s">
        <v>177</v>
      </c>
      <c r="AS47" s="3"/>
      <c r="AT47" s="4">
        <v>44281.0337152778</v>
      </c>
    </row>
    <row r="48" ht="15.75" customHeight="1">
      <c r="A48" s="3"/>
      <c r="B48" s="3" t="s">
        <v>46</v>
      </c>
      <c r="C48" s="3" t="s">
        <v>47</v>
      </c>
      <c r="D48" s="3"/>
      <c r="E48" s="3" t="s">
        <v>5190</v>
      </c>
      <c r="F48" s="3"/>
      <c r="G48" s="3" t="s">
        <v>49</v>
      </c>
      <c r="H48" s="3" t="s">
        <v>50</v>
      </c>
      <c r="I48" s="3">
        <v>5000.0</v>
      </c>
      <c r="J48" s="3"/>
      <c r="K48" s="3" t="s">
        <v>51</v>
      </c>
      <c r="L48" s="3"/>
      <c r="M48" s="3" t="s">
        <v>5191</v>
      </c>
      <c r="N48" s="3" t="s">
        <v>94</v>
      </c>
      <c r="O48" s="3" t="s">
        <v>95</v>
      </c>
      <c r="P48" s="4">
        <v>44280.4806481482</v>
      </c>
      <c r="Q48" s="3" t="s">
        <v>56</v>
      </c>
      <c r="R48" s="5">
        <v>44280.0</v>
      </c>
      <c r="S48" s="3" t="s">
        <v>288</v>
      </c>
      <c r="T48" s="3">
        <v>2211209.0</v>
      </c>
      <c r="U48" s="3" t="s">
        <v>5192</v>
      </c>
      <c r="V48" s="3" t="s">
        <v>290</v>
      </c>
      <c r="W48" s="3" t="s">
        <v>172</v>
      </c>
      <c r="X48" s="3"/>
      <c r="Y48" s="3"/>
      <c r="Z48" s="3" t="s">
        <v>101</v>
      </c>
      <c r="AA48" s="3" t="s">
        <v>5193</v>
      </c>
      <c r="AB48" s="3" t="str">
        <f>"41265190000156"</f>
        <v>41265190000156</v>
      </c>
      <c r="AC48" s="3"/>
      <c r="AD48" s="3" t="s">
        <v>62</v>
      </c>
      <c r="AE48" s="3"/>
      <c r="AF48" s="3">
        <v>-42.783889</v>
      </c>
      <c r="AG48" s="3">
        <v>-5.065</v>
      </c>
      <c r="AH48" s="3" t="s">
        <v>1162</v>
      </c>
      <c r="AI48" s="3"/>
      <c r="AJ48" s="3" t="s">
        <v>295</v>
      </c>
      <c r="AK48" s="3"/>
      <c r="AL48" s="3"/>
      <c r="AM48" s="3" t="s">
        <v>65</v>
      </c>
      <c r="AN48" s="3" t="s">
        <v>296</v>
      </c>
      <c r="AO48" s="3"/>
      <c r="AP48" s="4">
        <v>44280.4913888889</v>
      </c>
      <c r="AQ48" s="3"/>
      <c r="AR48" s="3" t="s">
        <v>106</v>
      </c>
      <c r="AS48" s="3"/>
      <c r="AT48" s="4">
        <v>44281.0337152778</v>
      </c>
    </row>
    <row r="49" ht="15.75" customHeight="1">
      <c r="A49" s="3"/>
      <c r="B49" s="3" t="s">
        <v>46</v>
      </c>
      <c r="C49" s="3" t="s">
        <v>47</v>
      </c>
      <c r="D49" s="3"/>
      <c r="E49" s="3" t="s">
        <v>5194</v>
      </c>
      <c r="F49" s="3"/>
      <c r="G49" s="3" t="s">
        <v>49</v>
      </c>
      <c r="H49" s="3" t="s">
        <v>50</v>
      </c>
      <c r="I49" s="3">
        <v>52500.0</v>
      </c>
      <c r="J49" s="3"/>
      <c r="K49" s="3"/>
      <c r="L49" s="3"/>
      <c r="M49" s="3" t="s">
        <v>5195</v>
      </c>
      <c r="N49" s="3" t="s">
        <v>186</v>
      </c>
      <c r="O49" s="3" t="s">
        <v>187</v>
      </c>
      <c r="P49" s="4">
        <v>44280.4681365741</v>
      </c>
      <c r="Q49" s="3" t="s">
        <v>56</v>
      </c>
      <c r="R49" s="3"/>
      <c r="S49" s="3" t="s">
        <v>123</v>
      </c>
      <c r="T49" s="3">
        <v>1100502.0</v>
      </c>
      <c r="U49" s="3" t="s">
        <v>155</v>
      </c>
      <c r="V49" s="3" t="s">
        <v>125</v>
      </c>
      <c r="W49" s="3" t="s">
        <v>100</v>
      </c>
      <c r="X49" s="3"/>
      <c r="Y49" s="3" t="str">
        <f>"02502000114202167"</f>
        <v>02502000114202167</v>
      </c>
      <c r="Z49" s="3"/>
      <c r="AA49" s="3" t="s">
        <v>5196</v>
      </c>
      <c r="AB49" s="3" t="str">
        <f>"24792793000197"</f>
        <v>24792793000197</v>
      </c>
      <c r="AC49" s="3"/>
      <c r="AD49" s="3" t="s">
        <v>62</v>
      </c>
      <c r="AE49" s="3"/>
      <c r="AF49" s="3">
        <v>-61.141667</v>
      </c>
      <c r="AG49" s="3">
        <v>-11.725556</v>
      </c>
      <c r="AH49" s="3" t="s">
        <v>5197</v>
      </c>
      <c r="AI49" s="3"/>
      <c r="AJ49" s="3" t="s">
        <v>158</v>
      </c>
      <c r="AK49" s="3"/>
      <c r="AL49" s="3"/>
      <c r="AM49" s="3" t="s">
        <v>65</v>
      </c>
      <c r="AN49" s="3" t="s">
        <v>159</v>
      </c>
      <c r="AO49" s="3"/>
      <c r="AP49" s="4">
        <v>44280.5273148148</v>
      </c>
      <c r="AQ49" s="3"/>
      <c r="AR49" s="3" t="s">
        <v>106</v>
      </c>
      <c r="AS49" s="3"/>
      <c r="AT49" s="4">
        <v>44281.0337152778</v>
      </c>
    </row>
    <row r="50" ht="15.75" customHeight="1">
      <c r="A50" s="3"/>
      <c r="B50" s="3" t="s">
        <v>46</v>
      </c>
      <c r="C50" s="3" t="s">
        <v>47</v>
      </c>
      <c r="D50" s="3"/>
      <c r="E50" s="3" t="s">
        <v>5198</v>
      </c>
      <c r="F50" s="3"/>
      <c r="G50" s="3" t="s">
        <v>49</v>
      </c>
      <c r="H50" s="3" t="s">
        <v>50</v>
      </c>
      <c r="I50" s="3">
        <v>21000.0</v>
      </c>
      <c r="J50" s="3"/>
      <c r="K50" s="3" t="s">
        <v>92</v>
      </c>
      <c r="L50" s="3"/>
      <c r="M50" s="3" t="s">
        <v>5199</v>
      </c>
      <c r="N50" s="3" t="s">
        <v>301</v>
      </c>
      <c r="O50" s="3" t="s">
        <v>302</v>
      </c>
      <c r="P50" s="4">
        <v>44280.4619097222</v>
      </c>
      <c r="Q50" s="3" t="s">
        <v>77</v>
      </c>
      <c r="R50" s="3"/>
      <c r="S50" s="3" t="s">
        <v>437</v>
      </c>
      <c r="T50" s="3">
        <v>2301109.0</v>
      </c>
      <c r="U50" s="3" t="s">
        <v>1130</v>
      </c>
      <c r="V50" s="3" t="s">
        <v>439</v>
      </c>
      <c r="W50" s="3" t="s">
        <v>60</v>
      </c>
      <c r="X50" s="3"/>
      <c r="Y50" s="3"/>
      <c r="Z50" s="3" t="s">
        <v>306</v>
      </c>
      <c r="AA50" s="3" t="s">
        <v>5200</v>
      </c>
      <c r="AB50" s="3" t="str">
        <f>"01790257000157"</f>
        <v>01790257000157</v>
      </c>
      <c r="AC50" s="3"/>
      <c r="AD50" s="3" t="s">
        <v>62</v>
      </c>
      <c r="AE50" s="3"/>
      <c r="AF50" s="3">
        <v>-37.703056</v>
      </c>
      <c r="AG50" s="3">
        <v>-4.523056</v>
      </c>
      <c r="AH50" s="3" t="s">
        <v>5201</v>
      </c>
      <c r="AI50" s="3"/>
      <c r="AJ50" s="3" t="s">
        <v>442</v>
      </c>
      <c r="AK50" s="3"/>
      <c r="AL50" s="3"/>
      <c r="AM50" s="3" t="s">
        <v>65</v>
      </c>
      <c r="AN50" s="3" t="s">
        <v>159</v>
      </c>
      <c r="AO50" s="3"/>
      <c r="AP50" s="4">
        <v>44280.4658796296</v>
      </c>
      <c r="AQ50" s="3"/>
      <c r="AR50" s="3" t="s">
        <v>5202</v>
      </c>
      <c r="AS50" s="3"/>
      <c r="AT50" s="4">
        <v>44281.0337152778</v>
      </c>
    </row>
    <row r="51" ht="15.75" customHeight="1">
      <c r="A51" s="3"/>
      <c r="B51" s="3" t="s">
        <v>46</v>
      </c>
      <c r="C51" s="3" t="s">
        <v>47</v>
      </c>
      <c r="D51" s="3"/>
      <c r="E51" s="3" t="s">
        <v>5203</v>
      </c>
      <c r="F51" s="3"/>
      <c r="G51" s="3" t="s">
        <v>49</v>
      </c>
      <c r="H51" s="3" t="s">
        <v>50</v>
      </c>
      <c r="I51" s="3">
        <v>21000.0</v>
      </c>
      <c r="J51" s="3"/>
      <c r="K51" s="3" t="s">
        <v>92</v>
      </c>
      <c r="L51" s="3"/>
      <c r="M51" s="3" t="s">
        <v>5204</v>
      </c>
      <c r="N51" s="3" t="s">
        <v>301</v>
      </c>
      <c r="O51" s="3" t="s">
        <v>302</v>
      </c>
      <c r="P51" s="4">
        <v>44280.4519328704</v>
      </c>
      <c r="Q51" s="3" t="s">
        <v>77</v>
      </c>
      <c r="R51" s="3"/>
      <c r="S51" s="3" t="s">
        <v>437</v>
      </c>
      <c r="T51" s="3">
        <v>2301109.0</v>
      </c>
      <c r="U51" s="3" t="s">
        <v>1130</v>
      </c>
      <c r="V51" s="3" t="s">
        <v>439</v>
      </c>
      <c r="W51" s="3" t="s">
        <v>60</v>
      </c>
      <c r="X51" s="3"/>
      <c r="Y51" s="3"/>
      <c r="Z51" s="3" t="s">
        <v>306</v>
      </c>
      <c r="AA51" s="3" t="s">
        <v>5205</v>
      </c>
      <c r="AB51" s="3" t="str">
        <f>"***470733**"</f>
        <v>***470733**</v>
      </c>
      <c r="AC51" s="3"/>
      <c r="AD51" s="3" t="s">
        <v>62</v>
      </c>
      <c r="AE51" s="3"/>
      <c r="AF51" s="3">
        <v>-37.699722</v>
      </c>
      <c r="AG51" s="3">
        <v>-4.525</v>
      </c>
      <c r="AH51" s="3" t="s">
        <v>5201</v>
      </c>
      <c r="AI51" s="3"/>
      <c r="AJ51" s="3" t="s">
        <v>442</v>
      </c>
      <c r="AK51" s="3"/>
      <c r="AL51" s="3"/>
      <c r="AM51" s="3" t="s">
        <v>65</v>
      </c>
      <c r="AN51" s="3" t="s">
        <v>159</v>
      </c>
      <c r="AO51" s="3"/>
      <c r="AP51" s="4">
        <v>44280.4598263889</v>
      </c>
      <c r="AQ51" s="3"/>
      <c r="AR51" s="3" t="s">
        <v>5202</v>
      </c>
      <c r="AS51" s="3"/>
      <c r="AT51" s="4">
        <v>44281.0337152778</v>
      </c>
    </row>
    <row r="52" ht="15.75" customHeight="1">
      <c r="A52" s="3"/>
      <c r="B52" s="3" t="s">
        <v>46</v>
      </c>
      <c r="C52" s="3" t="s">
        <v>47</v>
      </c>
      <c r="D52" s="3"/>
      <c r="E52" s="3" t="s">
        <v>5206</v>
      </c>
      <c r="F52" s="3"/>
      <c r="G52" s="3" t="s">
        <v>49</v>
      </c>
      <c r="H52" s="3" t="s">
        <v>50</v>
      </c>
      <c r="I52" s="3">
        <v>52500.0</v>
      </c>
      <c r="J52" s="3"/>
      <c r="K52" s="3"/>
      <c r="L52" s="3"/>
      <c r="M52" s="3" t="s">
        <v>5207</v>
      </c>
      <c r="N52" s="3" t="s">
        <v>186</v>
      </c>
      <c r="O52" s="3" t="s">
        <v>187</v>
      </c>
      <c r="P52" s="4">
        <v>44280.4512384259</v>
      </c>
      <c r="Q52" s="3" t="s">
        <v>56</v>
      </c>
      <c r="R52" s="3"/>
      <c r="S52" s="3" t="s">
        <v>148</v>
      </c>
      <c r="T52" s="3">
        <v>1100288.0</v>
      </c>
      <c r="U52" s="3" t="s">
        <v>423</v>
      </c>
      <c r="V52" s="3" t="s">
        <v>125</v>
      </c>
      <c r="W52" s="3" t="s">
        <v>100</v>
      </c>
      <c r="X52" s="3"/>
      <c r="Y52" s="3" t="str">
        <f>"02502000113202112"</f>
        <v>02502000113202112</v>
      </c>
      <c r="Z52" s="3"/>
      <c r="AA52" s="3" t="s">
        <v>424</v>
      </c>
      <c r="AB52" s="3" t="str">
        <f>"12535196000106"</f>
        <v>12535196000106</v>
      </c>
      <c r="AC52" s="3"/>
      <c r="AD52" s="3" t="s">
        <v>62</v>
      </c>
      <c r="AE52" s="3"/>
      <c r="AF52" s="3">
        <v>-61.776667</v>
      </c>
      <c r="AG52" s="3">
        <v>-11.721667</v>
      </c>
      <c r="AH52" s="3" t="s">
        <v>5208</v>
      </c>
      <c r="AI52" s="3"/>
      <c r="AJ52" s="3" t="s">
        <v>158</v>
      </c>
      <c r="AK52" s="3"/>
      <c r="AL52" s="3"/>
      <c r="AM52" s="3" t="s">
        <v>65</v>
      </c>
      <c r="AN52" s="3" t="s">
        <v>159</v>
      </c>
      <c r="AO52" s="3"/>
      <c r="AP52" s="4">
        <v>44280.5110416667</v>
      </c>
      <c r="AQ52" s="3"/>
      <c r="AR52" s="3" t="s">
        <v>106</v>
      </c>
      <c r="AS52" s="3"/>
      <c r="AT52" s="4">
        <v>44281.0337152778</v>
      </c>
    </row>
    <row r="53" ht="15.75" customHeight="1">
      <c r="A53" s="3"/>
      <c r="B53" s="3" t="s">
        <v>46</v>
      </c>
      <c r="C53" s="3" t="s">
        <v>47</v>
      </c>
      <c r="D53" s="3"/>
      <c r="E53" s="3" t="s">
        <v>5209</v>
      </c>
      <c r="F53" s="3"/>
      <c r="G53" s="3" t="s">
        <v>49</v>
      </c>
      <c r="H53" s="3" t="s">
        <v>50</v>
      </c>
      <c r="I53" s="3">
        <v>21000.0</v>
      </c>
      <c r="J53" s="3"/>
      <c r="K53" s="3" t="s">
        <v>92</v>
      </c>
      <c r="L53" s="3"/>
      <c r="M53" s="3" t="s">
        <v>5210</v>
      </c>
      <c r="N53" s="3" t="s">
        <v>301</v>
      </c>
      <c r="O53" s="3" t="s">
        <v>302</v>
      </c>
      <c r="P53" s="4">
        <v>44280.4437962963</v>
      </c>
      <c r="Q53" s="3" t="s">
        <v>77</v>
      </c>
      <c r="R53" s="3"/>
      <c r="S53" s="3" t="s">
        <v>437</v>
      </c>
      <c r="T53" s="3">
        <v>2301109.0</v>
      </c>
      <c r="U53" s="3" t="s">
        <v>1130</v>
      </c>
      <c r="V53" s="3" t="s">
        <v>439</v>
      </c>
      <c r="W53" s="3" t="s">
        <v>60</v>
      </c>
      <c r="X53" s="3"/>
      <c r="Y53" s="3"/>
      <c r="Z53" s="3" t="s">
        <v>306</v>
      </c>
      <c r="AA53" s="3" t="s">
        <v>5211</v>
      </c>
      <c r="AB53" s="3" t="str">
        <f>"05357699000165"</f>
        <v>05357699000165</v>
      </c>
      <c r="AC53" s="3"/>
      <c r="AD53" s="3" t="s">
        <v>62</v>
      </c>
      <c r="AE53" s="3"/>
      <c r="AF53" s="3">
        <v>-37.7</v>
      </c>
      <c r="AG53" s="3">
        <v>-4.524722</v>
      </c>
      <c r="AH53" s="3" t="s">
        <v>5212</v>
      </c>
      <c r="AI53" s="3"/>
      <c r="AJ53" s="3" t="s">
        <v>442</v>
      </c>
      <c r="AK53" s="3"/>
      <c r="AL53" s="3"/>
      <c r="AM53" s="3" t="s">
        <v>65</v>
      </c>
      <c r="AN53" s="3" t="s">
        <v>159</v>
      </c>
      <c r="AO53" s="3"/>
      <c r="AP53" s="4">
        <v>44280.447662037</v>
      </c>
      <c r="AQ53" s="3"/>
      <c r="AR53" s="3" t="s">
        <v>5202</v>
      </c>
      <c r="AS53" s="3"/>
      <c r="AT53" s="4">
        <v>44281.0337152778</v>
      </c>
    </row>
    <row r="54" ht="15.75" customHeight="1">
      <c r="A54" s="3"/>
      <c r="B54" s="3" t="s">
        <v>46</v>
      </c>
      <c r="C54" s="3" t="s">
        <v>47</v>
      </c>
      <c r="D54" s="3"/>
      <c r="E54" s="3" t="s">
        <v>5213</v>
      </c>
      <c r="F54" s="3"/>
      <c r="G54" s="3" t="s">
        <v>49</v>
      </c>
      <c r="H54" s="3" t="s">
        <v>50</v>
      </c>
      <c r="I54" s="3">
        <v>21000.0</v>
      </c>
      <c r="J54" s="3"/>
      <c r="K54" s="3" t="s">
        <v>92</v>
      </c>
      <c r="L54" s="3"/>
      <c r="M54" s="3" t="s">
        <v>5214</v>
      </c>
      <c r="N54" s="3" t="s">
        <v>301</v>
      </c>
      <c r="O54" s="3" t="s">
        <v>302</v>
      </c>
      <c r="P54" s="4">
        <v>44280.4355902778</v>
      </c>
      <c r="Q54" s="3" t="s">
        <v>77</v>
      </c>
      <c r="R54" s="3"/>
      <c r="S54" s="3" t="s">
        <v>437</v>
      </c>
      <c r="T54" s="3">
        <v>2301109.0</v>
      </c>
      <c r="U54" s="3" t="s">
        <v>1130</v>
      </c>
      <c r="V54" s="3" t="s">
        <v>439</v>
      </c>
      <c r="W54" s="3" t="s">
        <v>60</v>
      </c>
      <c r="X54" s="3"/>
      <c r="Y54" s="3"/>
      <c r="Z54" s="3" t="s">
        <v>306</v>
      </c>
      <c r="AA54" s="3" t="s">
        <v>5215</v>
      </c>
      <c r="AB54" s="3" t="str">
        <f>"08894635000191"</f>
        <v>08894635000191</v>
      </c>
      <c r="AC54" s="3"/>
      <c r="AD54" s="3" t="s">
        <v>62</v>
      </c>
      <c r="AE54" s="3"/>
      <c r="AF54" s="3">
        <v>-37.702778</v>
      </c>
      <c r="AG54" s="3">
        <v>-4.523333</v>
      </c>
      <c r="AH54" s="3" t="s">
        <v>5201</v>
      </c>
      <c r="AI54" s="3"/>
      <c r="AJ54" s="3" t="s">
        <v>442</v>
      </c>
      <c r="AK54" s="3"/>
      <c r="AL54" s="3"/>
      <c r="AM54" s="3" t="s">
        <v>65</v>
      </c>
      <c r="AN54" s="3" t="s">
        <v>159</v>
      </c>
      <c r="AO54" s="3"/>
      <c r="AP54" s="4">
        <v>44280.441099537</v>
      </c>
      <c r="AQ54" s="3"/>
      <c r="AR54" s="3" t="s">
        <v>5202</v>
      </c>
      <c r="AS54" s="3"/>
      <c r="AT54" s="4">
        <v>44281.0337152778</v>
      </c>
    </row>
    <row r="55" ht="15.75" customHeight="1">
      <c r="A55" s="3"/>
      <c r="B55" s="3" t="s">
        <v>46</v>
      </c>
      <c r="C55" s="3" t="s">
        <v>47</v>
      </c>
      <c r="D55" s="3"/>
      <c r="E55" s="3" t="s">
        <v>5216</v>
      </c>
      <c r="F55" s="3"/>
      <c r="G55" s="3" t="s">
        <v>49</v>
      </c>
      <c r="H55" s="3" t="s">
        <v>72</v>
      </c>
      <c r="I55" s="3">
        <v>4500.0</v>
      </c>
      <c r="J55" s="3"/>
      <c r="K55" s="3"/>
      <c r="L55" s="3"/>
      <c r="M55" s="3" t="s">
        <v>5217</v>
      </c>
      <c r="N55" s="3" t="s">
        <v>257</v>
      </c>
      <c r="O55" s="3" t="s">
        <v>258</v>
      </c>
      <c r="P55" s="4">
        <v>44280.3907523148</v>
      </c>
      <c r="Q55" s="3" t="s">
        <v>56</v>
      </c>
      <c r="R55" s="3"/>
      <c r="S55" s="3" t="s">
        <v>475</v>
      </c>
      <c r="T55" s="3">
        <v>3170206.0</v>
      </c>
      <c r="U55" s="3" t="s">
        <v>1099</v>
      </c>
      <c r="V55" s="3" t="s">
        <v>477</v>
      </c>
      <c r="W55" s="3" t="s">
        <v>172</v>
      </c>
      <c r="X55" s="3"/>
      <c r="Y55" s="3"/>
      <c r="Z55" s="3" t="s">
        <v>260</v>
      </c>
      <c r="AA55" s="3" t="s">
        <v>5218</v>
      </c>
      <c r="AB55" s="3" t="str">
        <f>"***809986**"</f>
        <v>***809986**</v>
      </c>
      <c r="AC55" s="3"/>
      <c r="AD55" s="3" t="s">
        <v>81</v>
      </c>
      <c r="AE55" s="3"/>
      <c r="AF55" s="3">
        <v>-48.255</v>
      </c>
      <c r="AG55" s="3">
        <v>-18.891667</v>
      </c>
      <c r="AH55" s="3" t="s">
        <v>5159</v>
      </c>
      <c r="AI55" s="3"/>
      <c r="AJ55" s="3" t="s">
        <v>1096</v>
      </c>
      <c r="AK55" s="3"/>
      <c r="AL55" s="3"/>
      <c r="AM55" s="3" t="s">
        <v>65</v>
      </c>
      <c r="AN55" s="3" t="s">
        <v>481</v>
      </c>
      <c r="AO55" s="3"/>
      <c r="AP55" s="4">
        <v>44280.4131828704</v>
      </c>
      <c r="AQ55" s="3"/>
      <c r="AR55" s="3" t="s">
        <v>5219</v>
      </c>
      <c r="AS55" s="3"/>
      <c r="AT55" s="4">
        <v>44281.0337152778</v>
      </c>
    </row>
    <row r="56" ht="15.75" customHeight="1">
      <c r="A56" s="3"/>
      <c r="B56" s="3" t="s">
        <v>46</v>
      </c>
      <c r="C56" s="3" t="s">
        <v>47</v>
      </c>
      <c r="D56" s="3"/>
      <c r="E56" s="3" t="s">
        <v>5220</v>
      </c>
      <c r="F56" s="3"/>
      <c r="G56" s="3" t="s">
        <v>49</v>
      </c>
      <c r="H56" s="3" t="s">
        <v>72</v>
      </c>
      <c r="I56" s="3">
        <v>984000.0</v>
      </c>
      <c r="J56" s="3"/>
      <c r="K56" s="3"/>
      <c r="L56" s="3"/>
      <c r="M56" s="3" t="s">
        <v>5221</v>
      </c>
      <c r="N56" s="3" t="s">
        <v>109</v>
      </c>
      <c r="O56" s="3" t="s">
        <v>110</v>
      </c>
      <c r="P56" s="4">
        <v>44280.3895833333</v>
      </c>
      <c r="Q56" s="3" t="s">
        <v>56</v>
      </c>
      <c r="R56" s="3"/>
      <c r="S56" s="3" t="s">
        <v>241</v>
      </c>
      <c r="T56" s="3">
        <v>1507805.0</v>
      </c>
      <c r="U56" s="3" t="s">
        <v>5222</v>
      </c>
      <c r="V56" s="3" t="s">
        <v>917</v>
      </c>
      <c r="W56" s="3" t="s">
        <v>100</v>
      </c>
      <c r="X56" s="3"/>
      <c r="Y56" s="3"/>
      <c r="Z56" s="3" t="s">
        <v>112</v>
      </c>
      <c r="AA56" s="3" t="s">
        <v>5223</v>
      </c>
      <c r="AB56" s="3" t="str">
        <f>"***999162**"</f>
        <v>***999162**</v>
      </c>
      <c r="AC56" s="3"/>
      <c r="AD56" s="3" t="s">
        <v>325</v>
      </c>
      <c r="AE56" s="3"/>
      <c r="AF56" s="3">
        <v>-52.095917</v>
      </c>
      <c r="AG56" s="3">
        <v>-3.998472</v>
      </c>
      <c r="AH56" s="3" t="s">
        <v>5224</v>
      </c>
      <c r="AI56" s="3"/>
      <c r="AJ56" s="3" t="s">
        <v>120</v>
      </c>
      <c r="AK56" s="3"/>
      <c r="AL56" s="3"/>
      <c r="AM56" s="3" t="s">
        <v>65</v>
      </c>
      <c r="AN56" s="3" t="s">
        <v>5110</v>
      </c>
      <c r="AO56" s="3"/>
      <c r="AP56" s="4">
        <v>44280.5663773148</v>
      </c>
      <c r="AQ56" s="3"/>
      <c r="AR56" s="3" t="s">
        <v>5225</v>
      </c>
      <c r="AS56" s="3" t="s">
        <v>5226</v>
      </c>
      <c r="AT56" s="4">
        <v>44281.0337152778</v>
      </c>
    </row>
    <row r="57" ht="15.75" customHeight="1">
      <c r="A57" s="3">
        <v>2044690.0</v>
      </c>
      <c r="B57" s="3" t="s">
        <v>116</v>
      </c>
      <c r="C57" s="3" t="s">
        <v>117</v>
      </c>
      <c r="D57" s="3" t="s">
        <v>46</v>
      </c>
      <c r="E57" s="3" t="s">
        <v>5227</v>
      </c>
      <c r="F57" s="3"/>
      <c r="G57" s="3" t="s">
        <v>119</v>
      </c>
      <c r="H57" s="3" t="s">
        <v>50</v>
      </c>
      <c r="I57" s="3">
        <v>2000.0</v>
      </c>
      <c r="J57" s="3"/>
      <c r="K57" s="3"/>
      <c r="L57" s="3" t="s">
        <v>485</v>
      </c>
      <c r="M57" s="3" t="s">
        <v>5228</v>
      </c>
      <c r="N57" s="3" t="s">
        <v>285</v>
      </c>
      <c r="O57" s="3" t="s">
        <v>286</v>
      </c>
      <c r="P57" s="4">
        <v>44280.375</v>
      </c>
      <c r="Q57" s="3" t="s">
        <v>56</v>
      </c>
      <c r="R57" s="5">
        <v>44280.0</v>
      </c>
      <c r="S57" s="3" t="s">
        <v>488</v>
      </c>
      <c r="T57" s="3">
        <v>1721000.0</v>
      </c>
      <c r="U57" s="3" t="s">
        <v>886</v>
      </c>
      <c r="V57" s="3" t="s">
        <v>490</v>
      </c>
      <c r="W57" s="3" t="s">
        <v>172</v>
      </c>
      <c r="X57" s="3"/>
      <c r="Y57" s="3" t="str">
        <f>"02029000326202187"</f>
        <v>02029000326202187</v>
      </c>
      <c r="Z57" s="3" t="s">
        <v>292</v>
      </c>
      <c r="AA57" s="3" t="s">
        <v>5229</v>
      </c>
      <c r="AB57" s="3" t="str">
        <f>"25138634000136"</f>
        <v>25138634000136</v>
      </c>
      <c r="AC57" s="3"/>
      <c r="AD57" s="3"/>
      <c r="AE57" s="3"/>
      <c r="AF57" s="3">
        <v>-48.332778</v>
      </c>
      <c r="AG57" s="3">
        <v>-10.208611</v>
      </c>
      <c r="AH57" s="3" t="s">
        <v>5230</v>
      </c>
      <c r="AI57" s="3"/>
      <c r="AJ57" s="3" t="s">
        <v>485</v>
      </c>
      <c r="AK57" s="3"/>
      <c r="AL57" s="3" t="s">
        <v>128</v>
      </c>
      <c r="AM57" s="3" t="s">
        <v>65</v>
      </c>
      <c r="AN57" s="3" t="s">
        <v>296</v>
      </c>
      <c r="AO57" s="4">
        <v>44280.0</v>
      </c>
      <c r="AP57" s="4">
        <v>44280.447025463</v>
      </c>
      <c r="AQ57" s="3" t="s">
        <v>132</v>
      </c>
      <c r="AR57" s="3" t="s">
        <v>693</v>
      </c>
      <c r="AS57" s="3"/>
      <c r="AT57" s="4">
        <v>44281.0337152778</v>
      </c>
    </row>
    <row r="58" ht="15.75" customHeight="1">
      <c r="A58" s="3"/>
      <c r="B58" s="3" t="s">
        <v>46</v>
      </c>
      <c r="C58" s="3" t="s">
        <v>47</v>
      </c>
      <c r="D58" s="3"/>
      <c r="E58" s="3" t="s">
        <v>5231</v>
      </c>
      <c r="F58" s="3"/>
      <c r="G58" s="3" t="s">
        <v>49</v>
      </c>
      <c r="H58" s="3" t="s">
        <v>50</v>
      </c>
      <c r="I58" s="3">
        <v>100140.0</v>
      </c>
      <c r="J58" s="3"/>
      <c r="K58" s="3" t="s">
        <v>51</v>
      </c>
      <c r="L58" s="3"/>
      <c r="M58" s="3" t="s">
        <v>5232</v>
      </c>
      <c r="N58" s="3" t="s">
        <v>301</v>
      </c>
      <c r="O58" s="3" t="s">
        <v>302</v>
      </c>
      <c r="P58" s="4">
        <v>44280.3666782408</v>
      </c>
      <c r="Q58" s="3" t="s">
        <v>56</v>
      </c>
      <c r="R58" s="3"/>
      <c r="S58" s="3" t="s">
        <v>169</v>
      </c>
      <c r="T58" s="3">
        <v>5300108.0</v>
      </c>
      <c r="U58" s="3" t="s">
        <v>304</v>
      </c>
      <c r="V58" s="3" t="s">
        <v>305</v>
      </c>
      <c r="W58" s="3" t="s">
        <v>60</v>
      </c>
      <c r="X58" s="3"/>
      <c r="Y58" s="3"/>
      <c r="Z58" s="3" t="s">
        <v>306</v>
      </c>
      <c r="AA58" s="3" t="s">
        <v>61</v>
      </c>
      <c r="AB58" s="3" t="str">
        <f>"33000167000101"</f>
        <v>33000167000101</v>
      </c>
      <c r="AC58" s="3"/>
      <c r="AD58" s="3" t="s">
        <v>62</v>
      </c>
      <c r="AE58" s="3"/>
      <c r="AF58" s="3">
        <v>-48.023333</v>
      </c>
      <c r="AG58" s="3">
        <v>-15.879444</v>
      </c>
      <c r="AH58" s="3" t="s">
        <v>5233</v>
      </c>
      <c r="AI58" s="3"/>
      <c r="AJ58" s="3" t="s">
        <v>1763</v>
      </c>
      <c r="AK58" s="3"/>
      <c r="AL58" s="3"/>
      <c r="AM58" s="3" t="s">
        <v>65</v>
      </c>
      <c r="AN58" s="3" t="s">
        <v>1743</v>
      </c>
      <c r="AO58" s="3"/>
      <c r="AP58" s="4">
        <v>44280.4300578704</v>
      </c>
      <c r="AQ58" s="3"/>
      <c r="AR58" s="3" t="s">
        <v>1765</v>
      </c>
      <c r="AS58" s="3" t="s">
        <v>5234</v>
      </c>
      <c r="AT58" s="4">
        <v>44281.0337152778</v>
      </c>
    </row>
    <row r="59" ht="15.75" customHeight="1">
      <c r="A59" s="3"/>
      <c r="B59" s="3" t="s">
        <v>46</v>
      </c>
      <c r="C59" s="3" t="s">
        <v>47</v>
      </c>
      <c r="D59" s="3"/>
      <c r="E59" s="3" t="s">
        <v>5235</v>
      </c>
      <c r="F59" s="3"/>
      <c r="G59" s="3" t="s">
        <v>49</v>
      </c>
      <c r="H59" s="3" t="s">
        <v>50</v>
      </c>
      <c r="I59" s="3">
        <v>3500.0</v>
      </c>
      <c r="J59" s="3"/>
      <c r="K59" s="3" t="s">
        <v>51</v>
      </c>
      <c r="L59" s="3"/>
      <c r="M59" s="3" t="s">
        <v>5236</v>
      </c>
      <c r="N59" s="3" t="s">
        <v>109</v>
      </c>
      <c r="O59" s="3" t="s">
        <v>110</v>
      </c>
      <c r="P59" s="4">
        <v>44280.3110763889</v>
      </c>
      <c r="Q59" s="3" t="s">
        <v>137</v>
      </c>
      <c r="R59" s="3"/>
      <c r="S59" s="3" t="s">
        <v>97</v>
      </c>
      <c r="T59" s="3">
        <v>1302405.0</v>
      </c>
      <c r="U59" s="3" t="s">
        <v>5187</v>
      </c>
      <c r="V59" s="3" t="s">
        <v>99</v>
      </c>
      <c r="W59" s="3" t="s">
        <v>100</v>
      </c>
      <c r="X59" s="3"/>
      <c r="Y59" s="3"/>
      <c r="Z59" s="3" t="s">
        <v>112</v>
      </c>
      <c r="AA59" s="3" t="s">
        <v>5188</v>
      </c>
      <c r="AB59" s="3" t="str">
        <f>"05930683000108"</f>
        <v>05930683000108</v>
      </c>
      <c r="AC59" s="3"/>
      <c r="AD59" s="3" t="s">
        <v>62</v>
      </c>
      <c r="AE59" s="3"/>
      <c r="AF59" s="3">
        <v>-66.569167</v>
      </c>
      <c r="AG59" s="3">
        <v>-9.653056</v>
      </c>
      <c r="AH59" s="3" t="s">
        <v>5189</v>
      </c>
      <c r="AI59" s="3"/>
      <c r="AJ59" s="3" t="s">
        <v>120</v>
      </c>
      <c r="AK59" s="3"/>
      <c r="AL59" s="3"/>
      <c r="AM59" s="3" t="s">
        <v>65</v>
      </c>
      <c r="AN59" s="3" t="s">
        <v>5102</v>
      </c>
      <c r="AO59" s="3"/>
      <c r="AP59" s="4">
        <v>44280.6258101852</v>
      </c>
      <c r="AQ59" s="3"/>
      <c r="AR59" s="3" t="s">
        <v>603</v>
      </c>
      <c r="AS59" s="3"/>
      <c r="AT59" s="4">
        <v>44281.0337152778</v>
      </c>
    </row>
    <row r="60" ht="15.75" customHeight="1">
      <c r="A60" s="3"/>
      <c r="B60" s="3" t="s">
        <v>46</v>
      </c>
      <c r="C60" s="3" t="s">
        <v>47</v>
      </c>
      <c r="D60" s="3"/>
      <c r="E60" s="3" t="s">
        <v>5237</v>
      </c>
      <c r="F60" s="3"/>
      <c r="G60" s="3" t="s">
        <v>49</v>
      </c>
      <c r="H60" s="3" t="s">
        <v>50</v>
      </c>
      <c r="I60" s="3">
        <v>5000.0</v>
      </c>
      <c r="J60" s="3"/>
      <c r="K60" s="3"/>
      <c r="L60" s="3"/>
      <c r="M60" s="3" t="s">
        <v>5238</v>
      </c>
      <c r="N60" s="3" t="s">
        <v>186</v>
      </c>
      <c r="O60" s="3" t="s">
        <v>187</v>
      </c>
      <c r="P60" s="4">
        <v>44280.2453009259</v>
      </c>
      <c r="Q60" s="3" t="s">
        <v>56</v>
      </c>
      <c r="R60" s="5">
        <v>44280.0</v>
      </c>
      <c r="S60" s="3" t="s">
        <v>1173</v>
      </c>
      <c r="T60" s="3">
        <v>2507507.0</v>
      </c>
      <c r="U60" s="3" t="s">
        <v>1189</v>
      </c>
      <c r="V60" s="3" t="s">
        <v>1175</v>
      </c>
      <c r="W60" s="3" t="s">
        <v>78</v>
      </c>
      <c r="X60" s="3"/>
      <c r="Y60" s="3"/>
      <c r="Z60" s="3"/>
      <c r="AA60" s="3" t="s">
        <v>5239</v>
      </c>
      <c r="AB60" s="3" t="str">
        <f>"12611713000170"</f>
        <v>12611713000170</v>
      </c>
      <c r="AC60" s="3"/>
      <c r="AD60" s="3" t="s">
        <v>81</v>
      </c>
      <c r="AE60" s="3"/>
      <c r="AF60" s="3">
        <v>-34.872417</v>
      </c>
      <c r="AG60" s="3">
        <v>-7.136694</v>
      </c>
      <c r="AH60" s="3" t="s">
        <v>5240</v>
      </c>
      <c r="AI60" s="3"/>
      <c r="AJ60" s="3" t="s">
        <v>1178</v>
      </c>
      <c r="AK60" s="3"/>
      <c r="AL60" s="3"/>
      <c r="AM60" s="3" t="s">
        <v>65</v>
      </c>
      <c r="AN60" s="3" t="s">
        <v>296</v>
      </c>
      <c r="AO60" s="3"/>
      <c r="AP60" s="4">
        <v>44280.307025463</v>
      </c>
      <c r="AQ60" s="3"/>
      <c r="AR60" s="3" t="s">
        <v>298</v>
      </c>
      <c r="AS60" s="3"/>
      <c r="AT60" s="4">
        <v>44281.0337152778</v>
      </c>
    </row>
    <row r="61" ht="15.75" customHeight="1">
      <c r="A61" s="3"/>
      <c r="B61" s="3" t="s">
        <v>46</v>
      </c>
      <c r="C61" s="3" t="s">
        <v>47</v>
      </c>
      <c r="D61" s="3"/>
      <c r="E61" s="3" t="s">
        <v>5241</v>
      </c>
      <c r="F61" s="3"/>
      <c r="G61" s="3" t="s">
        <v>49</v>
      </c>
      <c r="H61" s="3" t="s">
        <v>72</v>
      </c>
      <c r="I61" s="3">
        <v>6000.0</v>
      </c>
      <c r="J61" s="3"/>
      <c r="K61" s="3"/>
      <c r="L61" s="3"/>
      <c r="M61" s="3" t="s">
        <v>5242</v>
      </c>
      <c r="N61" s="3" t="s">
        <v>257</v>
      </c>
      <c r="O61" s="3" t="s">
        <v>258</v>
      </c>
      <c r="P61" s="4">
        <v>44280.2382175926</v>
      </c>
      <c r="Q61" s="3" t="s">
        <v>56</v>
      </c>
      <c r="R61" s="3"/>
      <c r="S61" s="3" t="s">
        <v>220</v>
      </c>
      <c r="T61" s="3">
        <v>2910727.0</v>
      </c>
      <c r="U61" s="3" t="s">
        <v>813</v>
      </c>
      <c r="V61" s="3" t="s">
        <v>552</v>
      </c>
      <c r="W61" s="3" t="s">
        <v>78</v>
      </c>
      <c r="X61" s="3"/>
      <c r="Y61" s="3"/>
      <c r="Z61" s="3" t="s">
        <v>260</v>
      </c>
      <c r="AA61" s="3" t="s">
        <v>5243</v>
      </c>
      <c r="AB61" s="3" t="str">
        <f>"***491415**"</f>
        <v>***491415**</v>
      </c>
      <c r="AC61" s="3"/>
      <c r="AD61" s="3" t="s">
        <v>81</v>
      </c>
      <c r="AE61" s="3"/>
      <c r="AF61" s="3">
        <v>-39.586389</v>
      </c>
      <c r="AG61" s="3">
        <v>-16.38</v>
      </c>
      <c r="AH61" s="3" t="s">
        <v>5244</v>
      </c>
      <c r="AI61" s="3"/>
      <c r="AJ61" s="3" t="s">
        <v>681</v>
      </c>
      <c r="AK61" s="3"/>
      <c r="AL61" s="3"/>
      <c r="AM61" s="3" t="s">
        <v>65</v>
      </c>
      <c r="AN61" s="3" t="s">
        <v>5245</v>
      </c>
      <c r="AO61" s="3"/>
      <c r="AP61" s="4">
        <v>44280.2659027778</v>
      </c>
      <c r="AQ61" s="3"/>
      <c r="AR61" s="3" t="s">
        <v>5246</v>
      </c>
      <c r="AS61" s="3" t="s">
        <v>5247</v>
      </c>
      <c r="AT61" s="4">
        <v>44281.0337152778</v>
      </c>
    </row>
    <row r="62" ht="15.75" customHeight="1">
      <c r="A62" s="3"/>
      <c r="B62" s="3" t="s">
        <v>46</v>
      </c>
      <c r="C62" s="3" t="s">
        <v>47</v>
      </c>
      <c r="D62" s="3"/>
      <c r="E62" s="3" t="s">
        <v>5248</v>
      </c>
      <c r="F62" s="3"/>
      <c r="G62" s="3" t="s">
        <v>49</v>
      </c>
      <c r="H62" s="3" t="s">
        <v>50</v>
      </c>
      <c r="I62" s="3">
        <v>2100.0</v>
      </c>
      <c r="J62" s="3"/>
      <c r="K62" s="3" t="s">
        <v>92</v>
      </c>
      <c r="L62" s="3"/>
      <c r="M62" s="3" t="s">
        <v>5249</v>
      </c>
      <c r="N62" s="3" t="s">
        <v>381</v>
      </c>
      <c r="O62" s="3" t="s">
        <v>382</v>
      </c>
      <c r="P62" s="4">
        <v>44280.0129861111</v>
      </c>
      <c r="Q62" s="3" t="s">
        <v>56</v>
      </c>
      <c r="R62" s="3"/>
      <c r="S62" s="3" t="s">
        <v>220</v>
      </c>
      <c r="T62" s="3">
        <v>1506609.0</v>
      </c>
      <c r="U62" s="3" t="s">
        <v>5250</v>
      </c>
      <c r="V62" s="3" t="s">
        <v>917</v>
      </c>
      <c r="W62" s="3" t="s">
        <v>100</v>
      </c>
      <c r="X62" s="3"/>
      <c r="Y62" s="3"/>
      <c r="Z62" s="3" t="s">
        <v>384</v>
      </c>
      <c r="AA62" s="3" t="s">
        <v>5251</v>
      </c>
      <c r="AB62" s="3" t="str">
        <f>"***307642**"</f>
        <v>***307642**</v>
      </c>
      <c r="AC62" s="3"/>
      <c r="AD62" s="3" t="s">
        <v>81</v>
      </c>
      <c r="AE62" s="3"/>
      <c r="AF62" s="3">
        <v>-47.584444</v>
      </c>
      <c r="AG62" s="3">
        <v>-1.338333</v>
      </c>
      <c r="AH62" s="3" t="s">
        <v>5252</v>
      </c>
      <c r="AI62" s="3"/>
      <c r="AJ62" s="3" t="s">
        <v>1346</v>
      </c>
      <c r="AK62" s="3"/>
      <c r="AL62" s="3"/>
      <c r="AM62" s="3" t="s">
        <v>65</v>
      </c>
      <c r="AN62" s="3"/>
      <c r="AO62" s="3"/>
      <c r="AP62" s="4">
        <v>44280.0243171296</v>
      </c>
      <c r="AQ62" s="3"/>
      <c r="AR62" s="3" t="s">
        <v>3983</v>
      </c>
      <c r="AS62" s="3"/>
      <c r="AT62" s="4">
        <v>44281.0337152778</v>
      </c>
    </row>
    <row r="63" ht="15.75" customHeight="1">
      <c r="A63" s="3"/>
      <c r="B63" s="3" t="s">
        <v>46</v>
      </c>
      <c r="C63" s="3" t="s">
        <v>47</v>
      </c>
      <c r="D63" s="3"/>
      <c r="E63" s="3" t="s">
        <v>5253</v>
      </c>
      <c r="F63" s="3"/>
      <c r="G63" s="3" t="s">
        <v>49</v>
      </c>
      <c r="H63" s="3" t="s">
        <v>50</v>
      </c>
      <c r="I63" s="3">
        <v>5000.0</v>
      </c>
      <c r="J63" s="3"/>
      <c r="K63" s="3" t="s">
        <v>92</v>
      </c>
      <c r="L63" s="3"/>
      <c r="M63" s="3" t="s">
        <v>5254</v>
      </c>
      <c r="N63" s="3" t="s">
        <v>381</v>
      </c>
      <c r="O63" s="3" t="s">
        <v>382</v>
      </c>
      <c r="P63" s="4">
        <v>44279.9765740741</v>
      </c>
      <c r="Q63" s="3" t="s">
        <v>56</v>
      </c>
      <c r="R63" s="3"/>
      <c r="S63" s="3" t="s">
        <v>220</v>
      </c>
      <c r="T63" s="3">
        <v>1506609.0</v>
      </c>
      <c r="U63" s="3" t="s">
        <v>5250</v>
      </c>
      <c r="V63" s="3" t="s">
        <v>917</v>
      </c>
      <c r="W63" s="3" t="s">
        <v>100</v>
      </c>
      <c r="X63" s="3"/>
      <c r="Y63" s="3"/>
      <c r="Z63" s="3" t="s">
        <v>384</v>
      </c>
      <c r="AA63" s="3" t="s">
        <v>5255</v>
      </c>
      <c r="AB63" s="3" t="str">
        <f>"15703164000152"</f>
        <v>15703164000152</v>
      </c>
      <c r="AC63" s="3"/>
      <c r="AD63" s="3" t="s">
        <v>81</v>
      </c>
      <c r="AE63" s="3"/>
      <c r="AF63" s="3">
        <v>-47.584444</v>
      </c>
      <c r="AG63" s="3">
        <v>-1.338333</v>
      </c>
      <c r="AH63" s="3" t="s">
        <v>5252</v>
      </c>
      <c r="AI63" s="3"/>
      <c r="AJ63" s="3" t="s">
        <v>1346</v>
      </c>
      <c r="AK63" s="3"/>
      <c r="AL63" s="3"/>
      <c r="AM63" s="3" t="s">
        <v>65</v>
      </c>
      <c r="AN63" s="3"/>
      <c r="AO63" s="3"/>
      <c r="AP63" s="4">
        <v>44279.9936342593</v>
      </c>
      <c r="AQ63" s="3"/>
      <c r="AR63" s="3" t="s">
        <v>3983</v>
      </c>
      <c r="AS63" s="3"/>
      <c r="AT63" s="4">
        <v>44281.0337152778</v>
      </c>
    </row>
    <row r="64" ht="15.75" customHeight="1">
      <c r="A64" s="3"/>
      <c r="B64" s="3" t="s">
        <v>46</v>
      </c>
      <c r="C64" s="3" t="s">
        <v>47</v>
      </c>
      <c r="D64" s="3"/>
      <c r="E64" s="3" t="s">
        <v>5256</v>
      </c>
      <c r="F64" s="3"/>
      <c r="G64" s="3" t="s">
        <v>49</v>
      </c>
      <c r="H64" s="3" t="s">
        <v>72</v>
      </c>
      <c r="I64" s="3">
        <v>15650.0</v>
      </c>
      <c r="J64" s="3"/>
      <c r="K64" s="3"/>
      <c r="L64" s="3"/>
      <c r="M64" s="3" t="s">
        <v>5257</v>
      </c>
      <c r="N64" s="3" t="s">
        <v>109</v>
      </c>
      <c r="O64" s="3" t="s">
        <v>110</v>
      </c>
      <c r="P64" s="4">
        <v>44279.8359375</v>
      </c>
      <c r="Q64" s="3" t="s">
        <v>77</v>
      </c>
      <c r="R64" s="3"/>
      <c r="S64" s="3" t="s">
        <v>1468</v>
      </c>
      <c r="T64" s="3">
        <v>5003207.0</v>
      </c>
      <c r="U64" s="3" t="s">
        <v>2929</v>
      </c>
      <c r="V64" s="3" t="s">
        <v>1470</v>
      </c>
      <c r="W64" s="3" t="s">
        <v>1658</v>
      </c>
      <c r="X64" s="3"/>
      <c r="Y64" s="3"/>
      <c r="Z64" s="3" t="s">
        <v>112</v>
      </c>
      <c r="AA64" s="3" t="s">
        <v>5258</v>
      </c>
      <c r="AB64" s="3" t="str">
        <f>"***004721**"</f>
        <v>***004721**</v>
      </c>
      <c r="AC64" s="3"/>
      <c r="AD64" s="3" t="s">
        <v>325</v>
      </c>
      <c r="AE64" s="3"/>
      <c r="AF64" s="3">
        <v>-57.1225</v>
      </c>
      <c r="AG64" s="3">
        <v>-19.111667</v>
      </c>
      <c r="AH64" s="3" t="s">
        <v>5259</v>
      </c>
      <c r="AI64" s="3"/>
      <c r="AJ64" s="3" t="s">
        <v>1473</v>
      </c>
      <c r="AK64" s="3"/>
      <c r="AL64" s="3"/>
      <c r="AM64" s="3" t="s">
        <v>65</v>
      </c>
      <c r="AN64" s="3"/>
      <c r="AO64" s="3"/>
      <c r="AP64" s="4">
        <v>44279.8410763889</v>
      </c>
      <c r="AQ64" s="3"/>
      <c r="AR64" s="3" t="s">
        <v>991</v>
      </c>
      <c r="AS64" s="3"/>
      <c r="AT64" s="4">
        <v>44281.0337152778</v>
      </c>
    </row>
    <row r="65" ht="15.75" customHeight="1">
      <c r="A65" s="3"/>
      <c r="B65" s="3" t="s">
        <v>46</v>
      </c>
      <c r="C65" s="3" t="s">
        <v>47</v>
      </c>
      <c r="D65" s="3"/>
      <c r="E65" s="3" t="s">
        <v>5260</v>
      </c>
      <c r="F65" s="3"/>
      <c r="G65" s="3" t="s">
        <v>49</v>
      </c>
      <c r="H65" s="3" t="s">
        <v>72</v>
      </c>
      <c r="I65" s="3">
        <v>9750.0</v>
      </c>
      <c r="J65" s="3"/>
      <c r="K65" s="3"/>
      <c r="L65" s="3"/>
      <c r="M65" s="3" t="s">
        <v>5261</v>
      </c>
      <c r="N65" s="3" t="s">
        <v>109</v>
      </c>
      <c r="O65" s="3" t="s">
        <v>110</v>
      </c>
      <c r="P65" s="4">
        <v>44279.8231365741</v>
      </c>
      <c r="Q65" s="3" t="s">
        <v>77</v>
      </c>
      <c r="R65" s="3"/>
      <c r="S65" s="3" t="s">
        <v>1468</v>
      </c>
      <c r="T65" s="3">
        <v>5003207.0</v>
      </c>
      <c r="U65" s="3" t="s">
        <v>2929</v>
      </c>
      <c r="V65" s="3" t="s">
        <v>1470</v>
      </c>
      <c r="W65" s="3" t="s">
        <v>1658</v>
      </c>
      <c r="X65" s="3"/>
      <c r="Y65" s="3"/>
      <c r="Z65" s="3" t="s">
        <v>112</v>
      </c>
      <c r="AA65" s="3" t="s">
        <v>5262</v>
      </c>
      <c r="AB65" s="3" t="str">
        <f>"***270331**"</f>
        <v>***270331**</v>
      </c>
      <c r="AC65" s="3"/>
      <c r="AD65" s="3" t="s">
        <v>325</v>
      </c>
      <c r="AE65" s="3"/>
      <c r="AF65" s="3">
        <v>-57.695833</v>
      </c>
      <c r="AG65" s="3">
        <v>-19.894167</v>
      </c>
      <c r="AH65" s="3" t="s">
        <v>5263</v>
      </c>
      <c r="AI65" s="3"/>
      <c r="AJ65" s="3" t="s">
        <v>1473</v>
      </c>
      <c r="AK65" s="3"/>
      <c r="AL65" s="3"/>
      <c r="AM65" s="3" t="s">
        <v>65</v>
      </c>
      <c r="AN65" s="3"/>
      <c r="AO65" s="3"/>
      <c r="AP65" s="4">
        <v>44279.8280671296</v>
      </c>
      <c r="AQ65" s="3"/>
      <c r="AR65" s="3" t="s">
        <v>991</v>
      </c>
      <c r="AS65" s="3"/>
      <c r="AT65" s="4">
        <v>44281.0337152778</v>
      </c>
    </row>
    <row r="66" ht="15.75" customHeight="1">
      <c r="A66" s="3"/>
      <c r="B66" s="3" t="s">
        <v>46</v>
      </c>
      <c r="C66" s="3" t="s">
        <v>47</v>
      </c>
      <c r="D66" s="3"/>
      <c r="E66" s="3" t="s">
        <v>5264</v>
      </c>
      <c r="F66" s="3"/>
      <c r="G66" s="3" t="s">
        <v>49</v>
      </c>
      <c r="H66" s="3" t="s">
        <v>72</v>
      </c>
      <c r="I66" s="3">
        <v>5742000.0</v>
      </c>
      <c r="J66" s="3"/>
      <c r="K66" s="3"/>
      <c r="L66" s="3"/>
      <c r="M66" s="3" t="s">
        <v>5265</v>
      </c>
      <c r="N66" s="3" t="s">
        <v>109</v>
      </c>
      <c r="O66" s="3" t="s">
        <v>110</v>
      </c>
      <c r="P66" s="4">
        <v>44279.6463194444</v>
      </c>
      <c r="Q66" s="3" t="s">
        <v>56</v>
      </c>
      <c r="R66" s="3"/>
      <c r="S66" s="3" t="s">
        <v>241</v>
      </c>
      <c r="T66" s="3">
        <v>1507805.0</v>
      </c>
      <c r="U66" s="3" t="s">
        <v>5222</v>
      </c>
      <c r="V66" s="3" t="s">
        <v>917</v>
      </c>
      <c r="W66" s="3" t="s">
        <v>100</v>
      </c>
      <c r="X66" s="3"/>
      <c r="Y66" s="3"/>
      <c r="Z66" s="3" t="s">
        <v>112</v>
      </c>
      <c r="AA66" s="3" t="s">
        <v>5266</v>
      </c>
      <c r="AB66" s="3" t="str">
        <f>"***514251**"</f>
        <v>***514251**</v>
      </c>
      <c r="AC66" s="3"/>
      <c r="AD66" s="3" t="s">
        <v>325</v>
      </c>
      <c r="AE66" s="3"/>
      <c r="AF66" s="3">
        <v>-52.00075</v>
      </c>
      <c r="AG66" s="3">
        <v>-4.076278</v>
      </c>
      <c r="AH66" s="3" t="s">
        <v>5267</v>
      </c>
      <c r="AI66" s="3"/>
      <c r="AJ66" s="3" t="s">
        <v>120</v>
      </c>
      <c r="AK66" s="3"/>
      <c r="AL66" s="3"/>
      <c r="AM66" s="3" t="s">
        <v>65</v>
      </c>
      <c r="AN66" s="3" t="s">
        <v>5110</v>
      </c>
      <c r="AO66" s="3"/>
      <c r="AP66" s="4">
        <v>44280.4320949074</v>
      </c>
      <c r="AQ66" s="3"/>
      <c r="AR66" s="3" t="s">
        <v>5225</v>
      </c>
      <c r="AS66" s="3" t="s">
        <v>5268</v>
      </c>
      <c r="AT66" s="4">
        <v>44281.0337152778</v>
      </c>
    </row>
    <row r="67" ht="15.75" customHeight="1">
      <c r="A67" s="3"/>
      <c r="B67" s="3" t="s">
        <v>46</v>
      </c>
      <c r="C67" s="3" t="s">
        <v>47</v>
      </c>
      <c r="D67" s="3"/>
      <c r="E67" s="3" t="s">
        <v>5269</v>
      </c>
      <c r="F67" s="3"/>
      <c r="G67" s="3" t="s">
        <v>49</v>
      </c>
      <c r="H67" s="3" t="s">
        <v>72</v>
      </c>
      <c r="I67" s="3">
        <v>258000.0</v>
      </c>
      <c r="J67" s="3"/>
      <c r="K67" s="3"/>
      <c r="L67" s="3"/>
      <c r="M67" s="3" t="s">
        <v>5270</v>
      </c>
      <c r="N67" s="3" t="s">
        <v>109</v>
      </c>
      <c r="O67" s="3" t="s">
        <v>110</v>
      </c>
      <c r="P67" s="4">
        <v>44279.6424652778</v>
      </c>
      <c r="Q67" s="3" t="s">
        <v>56</v>
      </c>
      <c r="R67" s="3"/>
      <c r="S67" s="3" t="s">
        <v>220</v>
      </c>
      <c r="T67" s="3">
        <v>1507805.0</v>
      </c>
      <c r="U67" s="3" t="s">
        <v>5222</v>
      </c>
      <c r="V67" s="3" t="s">
        <v>917</v>
      </c>
      <c r="W67" s="3" t="s">
        <v>100</v>
      </c>
      <c r="X67" s="3"/>
      <c r="Y67" s="3"/>
      <c r="Z67" s="3" t="s">
        <v>112</v>
      </c>
      <c r="AA67" s="3" t="s">
        <v>5271</v>
      </c>
      <c r="AB67" s="3" t="str">
        <f>"***311962**"</f>
        <v>***311962**</v>
      </c>
      <c r="AC67" s="3"/>
      <c r="AD67" s="3" t="s">
        <v>325</v>
      </c>
      <c r="AE67" s="3"/>
      <c r="AF67" s="3">
        <v>-52.141306</v>
      </c>
      <c r="AG67" s="3">
        <v>-4.001639</v>
      </c>
      <c r="AH67" s="3" t="s">
        <v>5272</v>
      </c>
      <c r="AI67" s="3"/>
      <c r="AJ67" s="3" t="s">
        <v>120</v>
      </c>
      <c r="AK67" s="3"/>
      <c r="AL67" s="3"/>
      <c r="AM67" s="3" t="s">
        <v>65</v>
      </c>
      <c r="AN67" s="3" t="s">
        <v>5110</v>
      </c>
      <c r="AO67" s="3"/>
      <c r="AP67" s="4">
        <v>44280.5643634259</v>
      </c>
      <c r="AQ67" s="3"/>
      <c r="AR67" s="3" t="s">
        <v>5273</v>
      </c>
      <c r="AS67" s="3" t="s">
        <v>5226</v>
      </c>
      <c r="AT67" s="4">
        <v>44281.0337152778</v>
      </c>
    </row>
    <row r="68" ht="15.75" customHeight="1">
      <c r="A68" s="3"/>
      <c r="B68" s="3" t="s">
        <v>46</v>
      </c>
      <c r="C68" s="3" t="s">
        <v>47</v>
      </c>
      <c r="D68" s="3"/>
      <c r="E68" s="3" t="s">
        <v>5274</v>
      </c>
      <c r="F68" s="3"/>
      <c r="G68" s="3" t="s">
        <v>49</v>
      </c>
      <c r="H68" s="3" t="s">
        <v>72</v>
      </c>
      <c r="I68" s="3">
        <v>1740000.0</v>
      </c>
      <c r="J68" s="3"/>
      <c r="K68" s="3"/>
      <c r="L68" s="3"/>
      <c r="M68" s="3" t="s">
        <v>5275</v>
      </c>
      <c r="N68" s="3" t="s">
        <v>109</v>
      </c>
      <c r="O68" s="3" t="s">
        <v>110</v>
      </c>
      <c r="P68" s="4">
        <v>44279.6303356482</v>
      </c>
      <c r="Q68" s="3" t="s">
        <v>56</v>
      </c>
      <c r="R68" s="3"/>
      <c r="S68" s="3" t="s">
        <v>608</v>
      </c>
      <c r="T68" s="3">
        <v>1507805.0</v>
      </c>
      <c r="U68" s="3" t="s">
        <v>5222</v>
      </c>
      <c r="V68" s="3" t="s">
        <v>917</v>
      </c>
      <c r="W68" s="3" t="s">
        <v>100</v>
      </c>
      <c r="X68" s="3"/>
      <c r="Y68" s="3"/>
      <c r="Z68" s="3" t="s">
        <v>112</v>
      </c>
      <c r="AA68" s="3" t="s">
        <v>5276</v>
      </c>
      <c r="AB68" s="3" t="str">
        <f>"***834232**"</f>
        <v>***834232**</v>
      </c>
      <c r="AC68" s="3"/>
      <c r="AD68" s="3" t="s">
        <v>325</v>
      </c>
      <c r="AE68" s="3"/>
      <c r="AF68" s="3">
        <v>-52.114083</v>
      </c>
      <c r="AG68" s="3">
        <v>-4.018556</v>
      </c>
      <c r="AH68" s="3" t="s">
        <v>5267</v>
      </c>
      <c r="AI68" s="3"/>
      <c r="AJ68" s="3" t="s">
        <v>120</v>
      </c>
      <c r="AK68" s="3"/>
      <c r="AL68" s="3"/>
      <c r="AM68" s="3" t="s">
        <v>65</v>
      </c>
      <c r="AN68" s="3" t="s">
        <v>5110</v>
      </c>
      <c r="AO68" s="3"/>
      <c r="AP68" s="4">
        <v>44280.433275463</v>
      </c>
      <c r="AQ68" s="3"/>
      <c r="AR68" s="3" t="s">
        <v>5273</v>
      </c>
      <c r="AS68" s="3" t="s">
        <v>5268</v>
      </c>
      <c r="AT68" s="4">
        <v>44281.0337152778</v>
      </c>
    </row>
    <row r="69" ht="15.75" customHeight="1">
      <c r="A69" s="3"/>
      <c r="B69" s="3" t="s">
        <v>46</v>
      </c>
      <c r="C69" s="3" t="s">
        <v>47</v>
      </c>
      <c r="D69" s="3"/>
      <c r="E69" s="3" t="s">
        <v>5277</v>
      </c>
      <c r="F69" s="3"/>
      <c r="G69" s="3" t="s">
        <v>49</v>
      </c>
      <c r="H69" s="3" t="s">
        <v>72</v>
      </c>
      <c r="I69" s="3">
        <v>186000.0</v>
      </c>
      <c r="J69" s="3"/>
      <c r="K69" s="3"/>
      <c r="L69" s="3"/>
      <c r="M69" s="3" t="s">
        <v>5278</v>
      </c>
      <c r="N69" s="3" t="s">
        <v>109</v>
      </c>
      <c r="O69" s="3" t="s">
        <v>110</v>
      </c>
      <c r="P69" s="4">
        <v>44279.6228703704</v>
      </c>
      <c r="Q69" s="3" t="s">
        <v>56</v>
      </c>
      <c r="R69" s="3"/>
      <c r="S69" s="3" t="s">
        <v>220</v>
      </c>
      <c r="T69" s="3">
        <v>1507805.0</v>
      </c>
      <c r="U69" s="3" t="s">
        <v>5222</v>
      </c>
      <c r="V69" s="3" t="s">
        <v>917</v>
      </c>
      <c r="W69" s="3" t="s">
        <v>100</v>
      </c>
      <c r="X69" s="3"/>
      <c r="Y69" s="3"/>
      <c r="Z69" s="3" t="s">
        <v>112</v>
      </c>
      <c r="AA69" s="3" t="s">
        <v>5279</v>
      </c>
      <c r="AB69" s="3" t="str">
        <f>"***143202**"</f>
        <v>***143202**</v>
      </c>
      <c r="AC69" s="3"/>
      <c r="AD69" s="3" t="s">
        <v>325</v>
      </c>
      <c r="AE69" s="3"/>
      <c r="AF69" s="3">
        <v>-52.145694</v>
      </c>
      <c r="AG69" s="3">
        <v>-3.999722</v>
      </c>
      <c r="AH69" s="3" t="s">
        <v>5280</v>
      </c>
      <c r="AI69" s="3"/>
      <c r="AJ69" s="3" t="s">
        <v>120</v>
      </c>
      <c r="AK69" s="3"/>
      <c r="AL69" s="3"/>
      <c r="AM69" s="3" t="s">
        <v>65</v>
      </c>
      <c r="AN69" s="3" t="s">
        <v>5110</v>
      </c>
      <c r="AO69" s="3"/>
      <c r="AP69" s="4">
        <v>44280.5653703704</v>
      </c>
      <c r="AQ69" s="3"/>
      <c r="AR69" s="3" t="s">
        <v>5225</v>
      </c>
      <c r="AS69" s="3"/>
      <c r="AT69" s="4">
        <v>44281.0337152778</v>
      </c>
    </row>
    <row r="70" ht="15.75" customHeight="1">
      <c r="A70" s="3"/>
      <c r="B70" s="3" t="s">
        <v>46</v>
      </c>
      <c r="C70" s="3" t="s">
        <v>47</v>
      </c>
      <c r="D70" s="3"/>
      <c r="E70" s="3" t="s">
        <v>5281</v>
      </c>
      <c r="F70" s="3"/>
      <c r="G70" s="3" t="s">
        <v>49</v>
      </c>
      <c r="H70" s="3" t="s">
        <v>72</v>
      </c>
      <c r="I70" s="3">
        <v>120000.0</v>
      </c>
      <c r="J70" s="3"/>
      <c r="K70" s="3"/>
      <c r="L70" s="3"/>
      <c r="M70" s="3" t="s">
        <v>5282</v>
      </c>
      <c r="N70" s="3" t="s">
        <v>109</v>
      </c>
      <c r="O70" s="3" t="s">
        <v>110</v>
      </c>
      <c r="P70" s="4">
        <v>44279.610462963</v>
      </c>
      <c r="Q70" s="3" t="s">
        <v>56</v>
      </c>
      <c r="R70" s="3"/>
      <c r="S70" s="3" t="s">
        <v>1349</v>
      </c>
      <c r="T70" s="3">
        <v>1507805.0</v>
      </c>
      <c r="U70" s="3" t="s">
        <v>5222</v>
      </c>
      <c r="V70" s="3" t="s">
        <v>917</v>
      </c>
      <c r="W70" s="3" t="s">
        <v>100</v>
      </c>
      <c r="X70" s="3"/>
      <c r="Y70" s="3"/>
      <c r="Z70" s="3" t="s">
        <v>112</v>
      </c>
      <c r="AA70" s="3" t="s">
        <v>5276</v>
      </c>
      <c r="AB70" s="3" t="str">
        <f>"***834232**"</f>
        <v>***834232**</v>
      </c>
      <c r="AC70" s="3"/>
      <c r="AD70" s="3" t="s">
        <v>325</v>
      </c>
      <c r="AE70" s="3"/>
      <c r="AF70" s="3">
        <v>-52.112361</v>
      </c>
      <c r="AG70" s="3">
        <v>-4.05475</v>
      </c>
      <c r="AH70" s="3" t="s">
        <v>5267</v>
      </c>
      <c r="AI70" s="3"/>
      <c r="AJ70" s="3" t="s">
        <v>120</v>
      </c>
      <c r="AK70" s="3"/>
      <c r="AL70" s="3"/>
      <c r="AM70" s="3" t="s">
        <v>65</v>
      </c>
      <c r="AN70" s="3" t="s">
        <v>5110</v>
      </c>
      <c r="AO70" s="3"/>
      <c r="AP70" s="4">
        <v>44280.4333912037</v>
      </c>
      <c r="AQ70" s="3"/>
      <c r="AR70" s="3" t="s">
        <v>5273</v>
      </c>
      <c r="AS70" s="3" t="s">
        <v>5268</v>
      </c>
      <c r="AT70" s="4">
        <v>44281.0337152778</v>
      </c>
    </row>
    <row r="71" ht="15.75" customHeight="1">
      <c r="A71" s="3"/>
      <c r="B71" s="3" t="s">
        <v>46</v>
      </c>
      <c r="C71" s="3" t="s">
        <v>47</v>
      </c>
      <c r="D71" s="3"/>
      <c r="E71" s="3" t="s">
        <v>5283</v>
      </c>
      <c r="F71" s="3"/>
      <c r="G71" s="3" t="s">
        <v>49</v>
      </c>
      <c r="H71" s="3" t="s">
        <v>50</v>
      </c>
      <c r="I71" s="3">
        <v>102285.0</v>
      </c>
      <c r="J71" s="3"/>
      <c r="K71" s="3" t="s">
        <v>51</v>
      </c>
      <c r="L71" s="3"/>
      <c r="M71" s="3" t="s">
        <v>5284</v>
      </c>
      <c r="N71" s="3" t="s">
        <v>301</v>
      </c>
      <c r="O71" s="3" t="s">
        <v>302</v>
      </c>
      <c r="P71" s="4">
        <v>44279.5993865741</v>
      </c>
      <c r="Q71" s="3" t="s">
        <v>56</v>
      </c>
      <c r="R71" s="3"/>
      <c r="S71" s="3" t="s">
        <v>169</v>
      </c>
      <c r="T71" s="3">
        <v>5300108.0</v>
      </c>
      <c r="U71" s="3" t="s">
        <v>304</v>
      </c>
      <c r="V71" s="3" t="s">
        <v>305</v>
      </c>
      <c r="W71" s="3" t="s">
        <v>60</v>
      </c>
      <c r="X71" s="3"/>
      <c r="Y71" s="3"/>
      <c r="Z71" s="3" t="s">
        <v>306</v>
      </c>
      <c r="AA71" s="3" t="s">
        <v>61</v>
      </c>
      <c r="AB71" s="3" t="str">
        <f>"33000167000101"</f>
        <v>33000167000101</v>
      </c>
      <c r="AC71" s="3"/>
      <c r="AD71" s="3" t="s">
        <v>62</v>
      </c>
      <c r="AE71" s="3"/>
      <c r="AF71" s="3">
        <v>-48.023333</v>
      </c>
      <c r="AG71" s="3">
        <v>-15.879444</v>
      </c>
      <c r="AH71" s="3" t="s">
        <v>5285</v>
      </c>
      <c r="AI71" s="3"/>
      <c r="AJ71" s="3" t="s">
        <v>1763</v>
      </c>
      <c r="AK71" s="3"/>
      <c r="AL71" s="3"/>
      <c r="AM71" s="3" t="s">
        <v>65</v>
      </c>
      <c r="AN71" s="3" t="s">
        <v>1743</v>
      </c>
      <c r="AO71" s="3"/>
      <c r="AP71" s="4">
        <v>44280.4309490741</v>
      </c>
      <c r="AQ71" s="3"/>
      <c r="AR71" s="3" t="s">
        <v>1765</v>
      </c>
      <c r="AS71" s="3" t="s">
        <v>5286</v>
      </c>
      <c r="AT71" s="4">
        <v>44281.0337152778</v>
      </c>
    </row>
    <row r="72" ht="15.75" customHeight="1">
      <c r="A72" s="3"/>
      <c r="B72" s="3" t="s">
        <v>46</v>
      </c>
      <c r="C72" s="3" t="s">
        <v>47</v>
      </c>
      <c r="D72" s="3"/>
      <c r="E72" s="3" t="s">
        <v>5287</v>
      </c>
      <c r="F72" s="3"/>
      <c r="G72" s="3" t="s">
        <v>49</v>
      </c>
      <c r="H72" s="3" t="s">
        <v>72</v>
      </c>
      <c r="I72" s="3">
        <v>864000.0</v>
      </c>
      <c r="J72" s="3"/>
      <c r="K72" s="3"/>
      <c r="L72" s="3"/>
      <c r="M72" s="3" t="s">
        <v>5288</v>
      </c>
      <c r="N72" s="3" t="s">
        <v>109</v>
      </c>
      <c r="O72" s="3" t="s">
        <v>110</v>
      </c>
      <c r="P72" s="4">
        <v>44279.5972453704</v>
      </c>
      <c r="Q72" s="3" t="s">
        <v>56</v>
      </c>
      <c r="R72" s="3"/>
      <c r="S72" s="3" t="s">
        <v>220</v>
      </c>
      <c r="T72" s="3">
        <v>1507805.0</v>
      </c>
      <c r="U72" s="3" t="s">
        <v>5222</v>
      </c>
      <c r="V72" s="3" t="s">
        <v>917</v>
      </c>
      <c r="W72" s="3" t="s">
        <v>100</v>
      </c>
      <c r="X72" s="3"/>
      <c r="Y72" s="3"/>
      <c r="Z72" s="3" t="s">
        <v>112</v>
      </c>
      <c r="AA72" s="3" t="s">
        <v>5289</v>
      </c>
      <c r="AB72" s="3" t="str">
        <f>"***177791**"</f>
        <v>***177791**</v>
      </c>
      <c r="AC72" s="3"/>
      <c r="AD72" s="3" t="s">
        <v>325</v>
      </c>
      <c r="AE72" s="3"/>
      <c r="AF72" s="3">
        <v>-58.136778</v>
      </c>
      <c r="AG72" s="3">
        <v>-5.990528</v>
      </c>
      <c r="AH72" s="3" t="s">
        <v>5290</v>
      </c>
      <c r="AI72" s="3"/>
      <c r="AJ72" s="3" t="s">
        <v>120</v>
      </c>
      <c r="AK72" s="3"/>
      <c r="AL72" s="3"/>
      <c r="AM72" s="3" t="s">
        <v>65</v>
      </c>
      <c r="AN72" s="3" t="s">
        <v>5110</v>
      </c>
      <c r="AO72" s="3"/>
      <c r="AP72" s="4">
        <v>44280.5663773148</v>
      </c>
      <c r="AQ72" s="3"/>
      <c r="AR72" s="3" t="s">
        <v>5273</v>
      </c>
      <c r="AS72" s="3" t="s">
        <v>5226</v>
      </c>
      <c r="AT72" s="4">
        <v>44281.0337152778</v>
      </c>
    </row>
    <row r="73" ht="15.75" customHeight="1">
      <c r="A73" s="3"/>
      <c r="B73" s="3" t="s">
        <v>46</v>
      </c>
      <c r="C73" s="3" t="s">
        <v>47</v>
      </c>
      <c r="D73" s="3"/>
      <c r="E73" s="3" t="s">
        <v>5291</v>
      </c>
      <c r="F73" s="3"/>
      <c r="G73" s="3" t="s">
        <v>49</v>
      </c>
      <c r="H73" s="3" t="s">
        <v>72</v>
      </c>
      <c r="I73" s="3">
        <v>1248000.0</v>
      </c>
      <c r="J73" s="3"/>
      <c r="K73" s="3"/>
      <c r="L73" s="3"/>
      <c r="M73" s="3" t="s">
        <v>5292</v>
      </c>
      <c r="N73" s="3" t="s">
        <v>109</v>
      </c>
      <c r="O73" s="3" t="s">
        <v>110</v>
      </c>
      <c r="P73" s="4">
        <v>44279.5920486111</v>
      </c>
      <c r="Q73" s="3" t="s">
        <v>56</v>
      </c>
      <c r="R73" s="3"/>
      <c r="S73" s="3" t="s">
        <v>608</v>
      </c>
      <c r="T73" s="3">
        <v>1507805.0</v>
      </c>
      <c r="U73" s="3" t="s">
        <v>5222</v>
      </c>
      <c r="V73" s="3" t="s">
        <v>917</v>
      </c>
      <c r="W73" s="3" t="s">
        <v>100</v>
      </c>
      <c r="X73" s="3"/>
      <c r="Y73" s="3"/>
      <c r="Z73" s="3" t="s">
        <v>112</v>
      </c>
      <c r="AA73" s="3" t="s">
        <v>5293</v>
      </c>
      <c r="AB73" s="3" t="str">
        <f>"***940209**"</f>
        <v>***940209**</v>
      </c>
      <c r="AC73" s="3"/>
      <c r="AD73" s="3" t="s">
        <v>325</v>
      </c>
      <c r="AE73" s="3"/>
      <c r="AF73" s="3">
        <v>-52.098972</v>
      </c>
      <c r="AG73" s="3">
        <v>-4.040694</v>
      </c>
      <c r="AH73" s="3" t="s">
        <v>5267</v>
      </c>
      <c r="AI73" s="3"/>
      <c r="AJ73" s="3" t="s">
        <v>120</v>
      </c>
      <c r="AK73" s="3"/>
      <c r="AL73" s="3"/>
      <c r="AM73" s="3" t="s">
        <v>65</v>
      </c>
      <c r="AN73" s="3" t="s">
        <v>5110</v>
      </c>
      <c r="AO73" s="3"/>
      <c r="AP73" s="4">
        <v>44280.433599537</v>
      </c>
      <c r="AQ73" s="3"/>
      <c r="AR73" s="3" t="s">
        <v>5273</v>
      </c>
      <c r="AS73" s="3" t="s">
        <v>5268</v>
      </c>
      <c r="AT73" s="4">
        <v>44281.0337152778</v>
      </c>
    </row>
    <row r="74" ht="15.75" customHeight="1">
      <c r="A74" s="3">
        <v>2044727.0</v>
      </c>
      <c r="B74" s="3" t="s">
        <v>116</v>
      </c>
      <c r="C74" s="3" t="s">
        <v>117</v>
      </c>
      <c r="D74" s="3" t="s">
        <v>46</v>
      </c>
      <c r="E74" s="3" t="s">
        <v>5294</v>
      </c>
      <c r="F74" s="3"/>
      <c r="G74" s="3" t="s">
        <v>119</v>
      </c>
      <c r="H74" s="3" t="s">
        <v>72</v>
      </c>
      <c r="I74" s="3">
        <v>2334000.0</v>
      </c>
      <c r="J74" s="3"/>
      <c r="K74" s="3"/>
      <c r="L74" s="3" t="s">
        <v>120</v>
      </c>
      <c r="M74" s="3" t="s">
        <v>5295</v>
      </c>
      <c r="N74" s="3" t="s">
        <v>109</v>
      </c>
      <c r="O74" s="3" t="s">
        <v>110</v>
      </c>
      <c r="P74" s="4">
        <v>44279.5833333333</v>
      </c>
      <c r="Q74" s="3" t="s">
        <v>56</v>
      </c>
      <c r="R74" s="3"/>
      <c r="S74" s="3" t="s">
        <v>220</v>
      </c>
      <c r="T74" s="3">
        <v>1507805.0</v>
      </c>
      <c r="U74" s="3" t="s">
        <v>5222</v>
      </c>
      <c r="V74" s="3" t="s">
        <v>917</v>
      </c>
      <c r="W74" s="3" t="s">
        <v>100</v>
      </c>
      <c r="X74" s="3"/>
      <c r="Y74" s="3" t="str">
        <f>"02001006157202105"</f>
        <v>02001006157202105</v>
      </c>
      <c r="Z74" s="3" t="s">
        <v>112</v>
      </c>
      <c r="AA74" s="3" t="s">
        <v>5296</v>
      </c>
      <c r="AB74" s="3" t="str">
        <f>"***825761**"</f>
        <v>***825761**</v>
      </c>
      <c r="AC74" s="3"/>
      <c r="AD74" s="3"/>
      <c r="AE74" s="3"/>
      <c r="AF74" s="3">
        <v>-4.086111</v>
      </c>
      <c r="AG74" s="3">
        <v>-51.932222</v>
      </c>
      <c r="AH74" s="3" t="s">
        <v>5297</v>
      </c>
      <c r="AI74" s="3"/>
      <c r="AJ74" s="3" t="s">
        <v>120</v>
      </c>
      <c r="AK74" s="3"/>
      <c r="AL74" s="3" t="s">
        <v>128</v>
      </c>
      <c r="AM74" s="3" t="s">
        <v>65</v>
      </c>
      <c r="AN74" s="3" t="s">
        <v>5110</v>
      </c>
      <c r="AO74" s="4">
        <v>44280.0</v>
      </c>
      <c r="AP74" s="4">
        <v>44280.6823148148</v>
      </c>
      <c r="AQ74" s="3" t="s">
        <v>132</v>
      </c>
      <c r="AR74" s="3" t="s">
        <v>5298</v>
      </c>
      <c r="AS74" s="3"/>
      <c r="AT74" s="4">
        <v>44281.0337152778</v>
      </c>
    </row>
    <row r="75" ht="15.75" customHeight="1">
      <c r="A75" s="3">
        <v>2044726.0</v>
      </c>
      <c r="B75" s="3" t="s">
        <v>116</v>
      </c>
      <c r="C75" s="3" t="s">
        <v>117</v>
      </c>
      <c r="D75" s="3" t="s">
        <v>46</v>
      </c>
      <c r="E75" s="3" t="s">
        <v>5299</v>
      </c>
      <c r="F75" s="3"/>
      <c r="G75" s="3" t="s">
        <v>119</v>
      </c>
      <c r="H75" s="3" t="s">
        <v>72</v>
      </c>
      <c r="I75" s="3">
        <v>2718000.0</v>
      </c>
      <c r="J75" s="3"/>
      <c r="K75" s="3"/>
      <c r="L75" s="3" t="s">
        <v>120</v>
      </c>
      <c r="M75" s="3" t="s">
        <v>5300</v>
      </c>
      <c r="N75" s="3" t="s">
        <v>109</v>
      </c>
      <c r="O75" s="3" t="s">
        <v>110</v>
      </c>
      <c r="P75" s="4">
        <v>44279.5416666667</v>
      </c>
      <c r="Q75" s="3" t="s">
        <v>56</v>
      </c>
      <c r="R75" s="3"/>
      <c r="S75" s="3" t="s">
        <v>608</v>
      </c>
      <c r="T75" s="3">
        <v>1507805.0</v>
      </c>
      <c r="U75" s="3" t="s">
        <v>5222</v>
      </c>
      <c r="V75" s="3" t="s">
        <v>917</v>
      </c>
      <c r="W75" s="3" t="s">
        <v>100</v>
      </c>
      <c r="X75" s="3"/>
      <c r="Y75" s="3" t="str">
        <f>"02001006156202152"</f>
        <v>02001006156202152</v>
      </c>
      <c r="Z75" s="3" t="s">
        <v>112</v>
      </c>
      <c r="AA75" s="3" t="s">
        <v>5301</v>
      </c>
      <c r="AB75" s="3" t="str">
        <f>"***335112**"</f>
        <v>***335112**</v>
      </c>
      <c r="AC75" s="3"/>
      <c r="AD75" s="3"/>
      <c r="AE75" s="3"/>
      <c r="AF75" s="3">
        <v>-52.084389</v>
      </c>
      <c r="AG75" s="3">
        <v>-4.026472</v>
      </c>
      <c r="AH75" s="3" t="s">
        <v>5302</v>
      </c>
      <c r="AI75" s="3"/>
      <c r="AJ75" s="3" t="s">
        <v>120</v>
      </c>
      <c r="AK75" s="3"/>
      <c r="AL75" s="3" t="s">
        <v>128</v>
      </c>
      <c r="AM75" s="3" t="s">
        <v>65</v>
      </c>
      <c r="AN75" s="3" t="s">
        <v>5110</v>
      </c>
      <c r="AO75" s="4">
        <v>44280.0</v>
      </c>
      <c r="AP75" s="4">
        <v>44280.6811458333</v>
      </c>
      <c r="AQ75" s="3" t="s">
        <v>132</v>
      </c>
      <c r="AR75" s="3" t="s">
        <v>5298</v>
      </c>
      <c r="AS75" s="3" t="s">
        <v>5303</v>
      </c>
      <c r="AT75" s="4">
        <v>44281.0337152778</v>
      </c>
    </row>
    <row r="76" ht="15.75" customHeight="1">
      <c r="A76" s="3">
        <v>2044680.0</v>
      </c>
      <c r="B76" s="3" t="s">
        <v>116</v>
      </c>
      <c r="C76" s="3" t="s">
        <v>117</v>
      </c>
      <c r="D76" s="3" t="s">
        <v>46</v>
      </c>
      <c r="E76" s="3" t="s">
        <v>5304</v>
      </c>
      <c r="F76" s="3"/>
      <c r="G76" s="3" t="s">
        <v>119</v>
      </c>
      <c r="H76" s="3" t="s">
        <v>50</v>
      </c>
      <c r="I76" s="3">
        <v>1100.0</v>
      </c>
      <c r="J76" s="3"/>
      <c r="K76" s="3"/>
      <c r="L76" s="3" t="s">
        <v>485</v>
      </c>
      <c r="M76" s="3" t="s">
        <v>5305</v>
      </c>
      <c r="N76" s="3" t="s">
        <v>53</v>
      </c>
      <c r="O76" s="3" t="s">
        <v>187</v>
      </c>
      <c r="P76" s="4">
        <v>44279.5</v>
      </c>
      <c r="Q76" s="3" t="s">
        <v>56</v>
      </c>
      <c r="R76" s="5">
        <v>44279.0</v>
      </c>
      <c r="S76" s="3" t="s">
        <v>488</v>
      </c>
      <c r="T76" s="3">
        <v>1707009.0</v>
      </c>
      <c r="U76" s="3" t="s">
        <v>5306</v>
      </c>
      <c r="V76" s="3" t="s">
        <v>490</v>
      </c>
      <c r="W76" s="3" t="s">
        <v>172</v>
      </c>
      <c r="X76" s="3"/>
      <c r="Y76" s="3" t="str">
        <f>"02029000322202107"</f>
        <v>02029000322202107</v>
      </c>
      <c r="Z76" s="3" t="s">
        <v>223</v>
      </c>
      <c r="AA76" s="3" t="s">
        <v>5307</v>
      </c>
      <c r="AB76" s="3" t="str">
        <f>"03613579000156"</f>
        <v>03613579000156</v>
      </c>
      <c r="AC76" s="3"/>
      <c r="AD76" s="3"/>
      <c r="AE76" s="3"/>
      <c r="AF76" s="3">
        <v>-48.332778</v>
      </c>
      <c r="AG76" s="3">
        <v>40.208611</v>
      </c>
      <c r="AH76" s="3" t="s">
        <v>5308</v>
      </c>
      <c r="AI76" s="3"/>
      <c r="AJ76" s="3" t="s">
        <v>485</v>
      </c>
      <c r="AK76" s="3"/>
      <c r="AL76" s="3" t="s">
        <v>128</v>
      </c>
      <c r="AM76" s="3" t="s">
        <v>65</v>
      </c>
      <c r="AN76" s="3" t="s">
        <v>296</v>
      </c>
      <c r="AO76" s="4">
        <v>44279.0</v>
      </c>
      <c r="AP76" s="4">
        <v>44279.7264351852</v>
      </c>
      <c r="AQ76" s="3" t="s">
        <v>132</v>
      </c>
      <c r="AR76" s="3" t="s">
        <v>531</v>
      </c>
      <c r="AS76" s="3"/>
      <c r="AT76" s="4">
        <v>44281.0337152778</v>
      </c>
    </row>
    <row r="77" ht="15.75" customHeight="1">
      <c r="A77" s="3">
        <v>2044737.0</v>
      </c>
      <c r="B77" s="3" t="s">
        <v>116</v>
      </c>
      <c r="C77" s="3" t="s">
        <v>117</v>
      </c>
      <c r="D77" s="3" t="s">
        <v>46</v>
      </c>
      <c r="E77" s="3" t="s">
        <v>5309</v>
      </c>
      <c r="F77" s="3"/>
      <c r="G77" s="3" t="s">
        <v>119</v>
      </c>
      <c r="H77" s="3" t="s">
        <v>50</v>
      </c>
      <c r="I77" s="3">
        <v>100155.0</v>
      </c>
      <c r="J77" s="3"/>
      <c r="K77" s="3"/>
      <c r="L77" s="3" t="s">
        <v>1737</v>
      </c>
      <c r="M77" s="3" t="s">
        <v>5310</v>
      </c>
      <c r="N77" s="3" t="s">
        <v>186</v>
      </c>
      <c r="O77" s="3" t="s">
        <v>302</v>
      </c>
      <c r="P77" s="4">
        <v>44279.5</v>
      </c>
      <c r="Q77" s="3" t="s">
        <v>56</v>
      </c>
      <c r="R77" s="5">
        <v>44279.0</v>
      </c>
      <c r="S77" s="3" t="s">
        <v>2022</v>
      </c>
      <c r="T77" s="3">
        <v>3304557.0</v>
      </c>
      <c r="U77" s="3" t="s">
        <v>1740</v>
      </c>
      <c r="V77" s="3" t="s">
        <v>1741</v>
      </c>
      <c r="W77" s="3" t="s">
        <v>60</v>
      </c>
      <c r="X77" s="3"/>
      <c r="Y77" s="3"/>
      <c r="Z77" s="3" t="s">
        <v>306</v>
      </c>
      <c r="AA77" s="3" t="s">
        <v>61</v>
      </c>
      <c r="AB77" s="3" t="str">
        <f>"33000167000101"</f>
        <v>33000167000101</v>
      </c>
      <c r="AC77" s="3"/>
      <c r="AD77" s="3"/>
      <c r="AE77" s="3"/>
      <c r="AF77" s="3">
        <v>-39.826944</v>
      </c>
      <c r="AG77" s="3">
        <v>-21.967222</v>
      </c>
      <c r="AH77" s="3" t="s">
        <v>5311</v>
      </c>
      <c r="AI77" s="3"/>
      <c r="AJ77" s="3" t="s">
        <v>1737</v>
      </c>
      <c r="AK77" s="3"/>
      <c r="AL77" s="3" t="s">
        <v>128</v>
      </c>
      <c r="AM77" s="3" t="s">
        <v>65</v>
      </c>
      <c r="AN77" s="3" t="s">
        <v>1743</v>
      </c>
      <c r="AO77" s="4">
        <v>44280.0</v>
      </c>
      <c r="AP77" s="4">
        <v>44280.7452662037</v>
      </c>
      <c r="AQ77" s="3" t="s">
        <v>132</v>
      </c>
      <c r="AR77" s="3" t="s">
        <v>1745</v>
      </c>
      <c r="AS77" s="3" t="s">
        <v>5312</v>
      </c>
      <c r="AT77" s="4">
        <v>44281.0337152778</v>
      </c>
    </row>
    <row r="78" ht="15.75" customHeight="1">
      <c r="A78" s="3"/>
      <c r="B78" s="3" t="s">
        <v>46</v>
      </c>
      <c r="C78" s="3" t="s">
        <v>47</v>
      </c>
      <c r="D78" s="3"/>
      <c r="E78" s="3" t="s">
        <v>5313</v>
      </c>
      <c r="F78" s="3"/>
      <c r="G78" s="3" t="s">
        <v>49</v>
      </c>
      <c r="H78" s="3" t="s">
        <v>50</v>
      </c>
      <c r="I78" s="3">
        <v>1000.0</v>
      </c>
      <c r="J78" s="3"/>
      <c r="K78" s="3"/>
      <c r="L78" s="3"/>
      <c r="M78" s="3" t="s">
        <v>5314</v>
      </c>
      <c r="N78" s="3" t="s">
        <v>381</v>
      </c>
      <c r="O78" s="3" t="s">
        <v>382</v>
      </c>
      <c r="P78" s="4">
        <v>44279.4817708333</v>
      </c>
      <c r="Q78" s="3" t="s">
        <v>56</v>
      </c>
      <c r="R78" s="3"/>
      <c r="S78" s="3" t="s">
        <v>784</v>
      </c>
      <c r="T78" s="3">
        <v>4208500.0</v>
      </c>
      <c r="U78" s="3" t="s">
        <v>5315</v>
      </c>
      <c r="V78" s="3" t="s">
        <v>222</v>
      </c>
      <c r="W78" s="3" t="s">
        <v>314</v>
      </c>
      <c r="X78" s="3"/>
      <c r="Y78" s="3"/>
      <c r="Z78" s="3" t="s">
        <v>384</v>
      </c>
      <c r="AA78" s="3" t="s">
        <v>5316</v>
      </c>
      <c r="AB78" s="3" t="str">
        <f>"29121826000190"</f>
        <v>29121826000190</v>
      </c>
      <c r="AC78" s="3"/>
      <c r="AD78" s="3" t="s">
        <v>81</v>
      </c>
      <c r="AE78" s="3"/>
      <c r="AF78" s="3">
        <v>-49.246667</v>
      </c>
      <c r="AG78" s="3">
        <v>-16.674167</v>
      </c>
      <c r="AH78" s="3" t="s">
        <v>5316</v>
      </c>
      <c r="AI78" s="3"/>
      <c r="AJ78" s="3" t="s">
        <v>1763</v>
      </c>
      <c r="AK78" s="3"/>
      <c r="AL78" s="3"/>
      <c r="AM78" s="3" t="s">
        <v>65</v>
      </c>
      <c r="AN78" s="3" t="s">
        <v>5317</v>
      </c>
      <c r="AO78" s="3"/>
      <c r="AP78" s="4">
        <v>44279.5147106482</v>
      </c>
      <c r="AQ78" s="3"/>
      <c r="AR78" s="3" t="s">
        <v>298</v>
      </c>
      <c r="AS78" s="3"/>
      <c r="AT78" s="4">
        <v>44281.0337152778</v>
      </c>
    </row>
    <row r="79" ht="15.75" customHeight="1">
      <c r="A79" s="3"/>
      <c r="B79" s="3" t="s">
        <v>46</v>
      </c>
      <c r="C79" s="3" t="s">
        <v>47</v>
      </c>
      <c r="D79" s="3"/>
      <c r="E79" s="3" t="s">
        <v>5318</v>
      </c>
      <c r="F79" s="3"/>
      <c r="G79" s="3" t="s">
        <v>49</v>
      </c>
      <c r="H79" s="3" t="s">
        <v>72</v>
      </c>
      <c r="I79" s="3">
        <v>300000.0</v>
      </c>
      <c r="J79" s="3"/>
      <c r="K79" s="3"/>
      <c r="L79" s="3"/>
      <c r="M79" s="3"/>
      <c r="N79" s="3" t="s">
        <v>109</v>
      </c>
      <c r="O79" s="3" t="s">
        <v>110</v>
      </c>
      <c r="P79" s="4">
        <v>44279.4801273148</v>
      </c>
      <c r="Q79" s="3" t="s">
        <v>56</v>
      </c>
      <c r="R79" s="3"/>
      <c r="S79" s="3" t="s">
        <v>220</v>
      </c>
      <c r="T79" s="3">
        <v>1505486.0</v>
      </c>
      <c r="U79" s="3" t="s">
        <v>5319</v>
      </c>
      <c r="V79" s="3" t="s">
        <v>917</v>
      </c>
      <c r="W79" s="3" t="s">
        <v>100</v>
      </c>
      <c r="X79" s="3"/>
      <c r="Y79" s="3"/>
      <c r="Z79" s="3" t="s">
        <v>112</v>
      </c>
      <c r="AA79" s="3" t="s">
        <v>5320</v>
      </c>
      <c r="AB79" s="3" t="str">
        <f>"***636012**"</f>
        <v>***636012**</v>
      </c>
      <c r="AC79" s="3"/>
      <c r="AD79" s="3" t="s">
        <v>325</v>
      </c>
      <c r="AE79" s="3"/>
      <c r="AF79" s="3">
        <v>-51.136417</v>
      </c>
      <c r="AG79" s="3">
        <v>-4.084528</v>
      </c>
      <c r="AH79" s="3" t="s">
        <v>5321</v>
      </c>
      <c r="AI79" s="3"/>
      <c r="AJ79" s="3" t="s">
        <v>120</v>
      </c>
      <c r="AK79" s="3"/>
      <c r="AL79" s="3"/>
      <c r="AM79" s="3" t="s">
        <v>65</v>
      </c>
      <c r="AN79" s="3" t="s">
        <v>5110</v>
      </c>
      <c r="AO79" s="3"/>
      <c r="AP79" s="4">
        <v>44280.5674421296</v>
      </c>
      <c r="AQ79" s="3"/>
      <c r="AR79" s="3" t="s">
        <v>746</v>
      </c>
      <c r="AS79" s="3"/>
      <c r="AT79" s="4">
        <v>44281.0337152778</v>
      </c>
    </row>
    <row r="80" ht="15.75" customHeight="1">
      <c r="A80" s="3"/>
      <c r="B80" s="3" t="s">
        <v>46</v>
      </c>
      <c r="C80" s="3" t="s">
        <v>47</v>
      </c>
      <c r="D80" s="3"/>
      <c r="E80" s="3" t="s">
        <v>5322</v>
      </c>
      <c r="F80" s="3"/>
      <c r="G80" s="3" t="s">
        <v>49</v>
      </c>
      <c r="H80" s="3" t="s">
        <v>72</v>
      </c>
      <c r="I80" s="3">
        <v>26863.8</v>
      </c>
      <c r="J80" s="3"/>
      <c r="K80" s="3"/>
      <c r="L80" s="3"/>
      <c r="M80" s="3" t="s">
        <v>5323</v>
      </c>
      <c r="N80" s="3" t="s">
        <v>109</v>
      </c>
      <c r="O80" s="3" t="s">
        <v>110</v>
      </c>
      <c r="P80" s="4">
        <v>44279.4710648148</v>
      </c>
      <c r="Q80" s="3" t="s">
        <v>137</v>
      </c>
      <c r="R80" s="3"/>
      <c r="S80" s="3" t="s">
        <v>220</v>
      </c>
      <c r="T80" s="3">
        <v>1100205.0</v>
      </c>
      <c r="U80" s="3" t="s">
        <v>242</v>
      </c>
      <c r="V80" s="3" t="s">
        <v>125</v>
      </c>
      <c r="W80" s="3" t="s">
        <v>100</v>
      </c>
      <c r="X80" s="3"/>
      <c r="Y80" s="3"/>
      <c r="Z80" s="3" t="s">
        <v>112</v>
      </c>
      <c r="AA80" s="3" t="s">
        <v>5324</v>
      </c>
      <c r="AB80" s="3" t="str">
        <f>"33741503000177"</f>
        <v>33741503000177</v>
      </c>
      <c r="AC80" s="3"/>
      <c r="AD80" s="3" t="s">
        <v>62</v>
      </c>
      <c r="AE80" s="3"/>
      <c r="AF80" s="3">
        <v>-66.630278</v>
      </c>
      <c r="AG80" s="3">
        <v>-9.785833</v>
      </c>
      <c r="AH80" s="3" t="s">
        <v>5325</v>
      </c>
      <c r="AI80" s="3"/>
      <c r="AJ80" s="3" t="s">
        <v>120</v>
      </c>
      <c r="AK80" s="3"/>
      <c r="AL80" s="3"/>
      <c r="AM80" s="3" t="s">
        <v>65</v>
      </c>
      <c r="AN80" s="3" t="s">
        <v>5102</v>
      </c>
      <c r="AO80" s="3"/>
      <c r="AP80" s="4">
        <v>44280.4102199074</v>
      </c>
      <c r="AQ80" s="3"/>
      <c r="AR80" s="3" t="s">
        <v>177</v>
      </c>
      <c r="AS80" s="3"/>
      <c r="AT80" s="4">
        <v>44281.0337152778</v>
      </c>
    </row>
    <row r="81" ht="15.75" customHeight="1">
      <c r="A81" s="3"/>
      <c r="B81" s="3" t="s">
        <v>46</v>
      </c>
      <c r="C81" s="3" t="s">
        <v>47</v>
      </c>
      <c r="D81" s="3"/>
      <c r="E81" s="3" t="s">
        <v>5326</v>
      </c>
      <c r="F81" s="3"/>
      <c r="G81" s="3" t="s">
        <v>49</v>
      </c>
      <c r="H81" s="3" t="s">
        <v>72</v>
      </c>
      <c r="I81" s="3">
        <v>426000.0</v>
      </c>
      <c r="J81" s="3"/>
      <c r="K81" s="3"/>
      <c r="L81" s="3"/>
      <c r="M81" s="3" t="s">
        <v>5327</v>
      </c>
      <c r="N81" s="3" t="s">
        <v>109</v>
      </c>
      <c r="O81" s="3" t="s">
        <v>110</v>
      </c>
      <c r="P81" s="4">
        <v>44279.4654166667</v>
      </c>
      <c r="Q81" s="3" t="s">
        <v>77</v>
      </c>
      <c r="R81" s="3"/>
      <c r="S81" s="3" t="s">
        <v>220</v>
      </c>
      <c r="T81" s="3">
        <v>1500859.0</v>
      </c>
      <c r="U81" s="3" t="s">
        <v>1723</v>
      </c>
      <c r="V81" s="3" t="s">
        <v>917</v>
      </c>
      <c r="W81" s="3" t="s">
        <v>100</v>
      </c>
      <c r="X81" s="3"/>
      <c r="Y81" s="3"/>
      <c r="Z81" s="3" t="s">
        <v>112</v>
      </c>
      <c r="AA81" s="3" t="s">
        <v>5328</v>
      </c>
      <c r="AB81" s="3" t="str">
        <f>"***399242**"</f>
        <v>***399242**</v>
      </c>
      <c r="AC81" s="3"/>
      <c r="AD81" s="3" t="s">
        <v>325</v>
      </c>
      <c r="AE81" s="3"/>
      <c r="AF81" s="3">
        <v>-51.096111</v>
      </c>
      <c r="AG81" s="3">
        <v>-4.034528</v>
      </c>
      <c r="AH81" s="3" t="s">
        <v>5329</v>
      </c>
      <c r="AI81" s="3"/>
      <c r="AJ81" s="3" t="s">
        <v>120</v>
      </c>
      <c r="AK81" s="3"/>
      <c r="AL81" s="3"/>
      <c r="AM81" s="3" t="s">
        <v>65</v>
      </c>
      <c r="AN81" s="3" t="s">
        <v>5110</v>
      </c>
      <c r="AO81" s="3"/>
      <c r="AP81" s="4">
        <v>44280.5684837963</v>
      </c>
      <c r="AQ81" s="3"/>
      <c r="AR81" s="3" t="s">
        <v>5225</v>
      </c>
      <c r="AS81" s="3"/>
      <c r="AT81" s="4">
        <v>44281.0337152778</v>
      </c>
    </row>
    <row r="82" ht="15.75" customHeight="1">
      <c r="A82" s="3"/>
      <c r="B82" s="3" t="s">
        <v>46</v>
      </c>
      <c r="C82" s="3" t="s">
        <v>47</v>
      </c>
      <c r="D82" s="3"/>
      <c r="E82" s="3" t="s">
        <v>5330</v>
      </c>
      <c r="F82" s="3"/>
      <c r="G82" s="3" t="s">
        <v>49</v>
      </c>
      <c r="H82" s="3" t="s">
        <v>50</v>
      </c>
      <c r="I82" s="3">
        <v>101500.0</v>
      </c>
      <c r="J82" s="3"/>
      <c r="K82" s="3" t="s">
        <v>92</v>
      </c>
      <c r="L82" s="3"/>
      <c r="M82" s="3" t="s">
        <v>5331</v>
      </c>
      <c r="N82" s="3" t="s">
        <v>109</v>
      </c>
      <c r="O82" s="3" t="s">
        <v>110</v>
      </c>
      <c r="P82" s="4">
        <v>44279.4604976852</v>
      </c>
      <c r="Q82" s="3" t="s">
        <v>77</v>
      </c>
      <c r="R82" s="3"/>
      <c r="S82" s="3" t="s">
        <v>915</v>
      </c>
      <c r="T82" s="3">
        <v>1508100.0</v>
      </c>
      <c r="U82" s="3" t="s">
        <v>5107</v>
      </c>
      <c r="V82" s="3" t="s">
        <v>917</v>
      </c>
      <c r="W82" s="3" t="s">
        <v>100</v>
      </c>
      <c r="X82" s="3"/>
      <c r="Y82" s="3"/>
      <c r="Z82" s="3" t="s">
        <v>112</v>
      </c>
      <c r="AA82" s="3" t="s">
        <v>5332</v>
      </c>
      <c r="AB82" s="3" t="str">
        <f>"26527586000130"</f>
        <v>26527586000130</v>
      </c>
      <c r="AC82" s="3"/>
      <c r="AD82" s="3" t="s">
        <v>62</v>
      </c>
      <c r="AE82" s="3"/>
      <c r="AF82" s="3">
        <v>-49.683056</v>
      </c>
      <c r="AG82" s="3">
        <v>-3.736944</v>
      </c>
      <c r="AH82" s="3" t="s">
        <v>5333</v>
      </c>
      <c r="AI82" s="3"/>
      <c r="AJ82" s="3" t="s">
        <v>120</v>
      </c>
      <c r="AK82" s="3"/>
      <c r="AL82" s="3"/>
      <c r="AM82" s="3" t="s">
        <v>65</v>
      </c>
      <c r="AN82" s="3" t="s">
        <v>5110</v>
      </c>
      <c r="AO82" s="3"/>
      <c r="AP82" s="4">
        <v>44280.2387731482</v>
      </c>
      <c r="AQ82" s="3"/>
      <c r="AR82" s="3" t="s">
        <v>3029</v>
      </c>
      <c r="AS82" s="3"/>
      <c r="AT82" s="4">
        <v>44281.0337152778</v>
      </c>
    </row>
    <row r="83" ht="15.75" customHeight="1">
      <c r="A83" s="3">
        <v>2044679.0</v>
      </c>
      <c r="B83" s="3" t="s">
        <v>116</v>
      </c>
      <c r="C83" s="3" t="s">
        <v>117</v>
      </c>
      <c r="D83" s="3" t="s">
        <v>46</v>
      </c>
      <c r="E83" s="3" t="s">
        <v>5334</v>
      </c>
      <c r="F83" s="3"/>
      <c r="G83" s="3" t="s">
        <v>119</v>
      </c>
      <c r="H83" s="3" t="s">
        <v>50</v>
      </c>
      <c r="I83" s="3">
        <v>4530.0</v>
      </c>
      <c r="J83" s="3"/>
      <c r="K83" s="3"/>
      <c r="L83" s="3" t="s">
        <v>1178</v>
      </c>
      <c r="M83" s="3" t="s">
        <v>5335</v>
      </c>
      <c r="N83" s="3" t="s">
        <v>53</v>
      </c>
      <c r="O83" s="3" t="s">
        <v>187</v>
      </c>
      <c r="P83" s="4">
        <v>44279.4583333333</v>
      </c>
      <c r="Q83" s="3" t="s">
        <v>56</v>
      </c>
      <c r="R83" s="5">
        <v>44279.0</v>
      </c>
      <c r="S83" s="3" t="s">
        <v>1173</v>
      </c>
      <c r="T83" s="3">
        <v>2503605.0</v>
      </c>
      <c r="U83" s="3" t="s">
        <v>5336</v>
      </c>
      <c r="V83" s="3" t="s">
        <v>1175</v>
      </c>
      <c r="W83" s="3" t="s">
        <v>291</v>
      </c>
      <c r="X83" s="3"/>
      <c r="Y83" s="3" t="str">
        <f>"02016000548202149"</f>
        <v>02016000548202149</v>
      </c>
      <c r="Z83" s="3" t="s">
        <v>223</v>
      </c>
      <c r="AA83" s="3" t="s">
        <v>5337</v>
      </c>
      <c r="AB83" s="3" t="str">
        <f>"09070624000150"</f>
        <v>09070624000150</v>
      </c>
      <c r="AC83" s="3"/>
      <c r="AD83" s="3"/>
      <c r="AE83" s="3"/>
      <c r="AF83" s="3">
        <v>-35.468333</v>
      </c>
      <c r="AG83" s="3">
        <v>-6.615611</v>
      </c>
      <c r="AH83" s="3" t="s">
        <v>5338</v>
      </c>
      <c r="AI83" s="3"/>
      <c r="AJ83" s="3" t="s">
        <v>1178</v>
      </c>
      <c r="AK83" s="3"/>
      <c r="AL83" s="3" t="s">
        <v>128</v>
      </c>
      <c r="AM83" s="3" t="s">
        <v>65</v>
      </c>
      <c r="AN83" s="3" t="s">
        <v>296</v>
      </c>
      <c r="AO83" s="4">
        <v>44279.0</v>
      </c>
      <c r="AP83" s="4">
        <v>44279.672025463</v>
      </c>
      <c r="AQ83" s="3" t="s">
        <v>132</v>
      </c>
      <c r="AR83" s="3" t="s">
        <v>1645</v>
      </c>
      <c r="AS83" s="3"/>
      <c r="AT83" s="4">
        <v>44281.0337152778</v>
      </c>
    </row>
    <row r="84" ht="15.75" customHeight="1">
      <c r="A84" s="3">
        <v>2044725.0</v>
      </c>
      <c r="B84" s="3" t="s">
        <v>116</v>
      </c>
      <c r="C84" s="3" t="s">
        <v>117</v>
      </c>
      <c r="D84" s="3" t="s">
        <v>46</v>
      </c>
      <c r="E84" s="3" t="s">
        <v>5339</v>
      </c>
      <c r="F84" s="3"/>
      <c r="G84" s="3" t="s">
        <v>119</v>
      </c>
      <c r="H84" s="3" t="s">
        <v>72</v>
      </c>
      <c r="I84" s="3">
        <v>1362000.0</v>
      </c>
      <c r="J84" s="3"/>
      <c r="K84" s="3"/>
      <c r="L84" s="3" t="s">
        <v>120</v>
      </c>
      <c r="M84" s="3" t="s">
        <v>5340</v>
      </c>
      <c r="N84" s="3" t="s">
        <v>109</v>
      </c>
      <c r="O84" s="3" t="s">
        <v>110</v>
      </c>
      <c r="P84" s="4">
        <v>44279.4583333333</v>
      </c>
      <c r="Q84" s="3" t="s">
        <v>56</v>
      </c>
      <c r="R84" s="3"/>
      <c r="S84" s="3" t="s">
        <v>241</v>
      </c>
      <c r="T84" s="3">
        <v>1507805.0</v>
      </c>
      <c r="U84" s="3" t="s">
        <v>5222</v>
      </c>
      <c r="V84" s="3" t="s">
        <v>917</v>
      </c>
      <c r="W84" s="3" t="s">
        <v>100</v>
      </c>
      <c r="X84" s="3"/>
      <c r="Y84" s="3" t="str">
        <f>"02001006155202116"</f>
        <v>02001006155202116</v>
      </c>
      <c r="Z84" s="3" t="s">
        <v>112</v>
      </c>
      <c r="AA84" s="3" t="s">
        <v>5341</v>
      </c>
      <c r="AB84" s="3" t="str">
        <f>"***575042**"</f>
        <v>***575042**</v>
      </c>
      <c r="AC84" s="3"/>
      <c r="AD84" s="3"/>
      <c r="AE84" s="3"/>
      <c r="AF84" s="3">
        <v>-52.006944</v>
      </c>
      <c r="AG84" s="3">
        <v>-4.014278</v>
      </c>
      <c r="AH84" s="3" t="s">
        <v>5342</v>
      </c>
      <c r="AI84" s="3"/>
      <c r="AJ84" s="3" t="s">
        <v>120</v>
      </c>
      <c r="AK84" s="3"/>
      <c r="AL84" s="3" t="s">
        <v>128</v>
      </c>
      <c r="AM84" s="3" t="s">
        <v>65</v>
      </c>
      <c r="AN84" s="3" t="s">
        <v>5110</v>
      </c>
      <c r="AO84" s="4">
        <v>44280.0</v>
      </c>
      <c r="AP84" s="4">
        <v>44280.6798842593</v>
      </c>
      <c r="AQ84" s="3" t="s">
        <v>132</v>
      </c>
      <c r="AR84" s="3" t="s">
        <v>5298</v>
      </c>
      <c r="AS84" s="3" t="s">
        <v>5303</v>
      </c>
      <c r="AT84" s="4">
        <v>44281.0337152778</v>
      </c>
    </row>
    <row r="85" ht="15.75" customHeight="1">
      <c r="A85" s="3">
        <v>2044739.0</v>
      </c>
      <c r="B85" s="3" t="s">
        <v>116</v>
      </c>
      <c r="C85" s="3" t="s">
        <v>117</v>
      </c>
      <c r="D85" s="3" t="s">
        <v>46</v>
      </c>
      <c r="E85" s="3" t="s">
        <v>5343</v>
      </c>
      <c r="F85" s="3"/>
      <c r="G85" s="3" t="s">
        <v>119</v>
      </c>
      <c r="H85" s="3" t="s">
        <v>50</v>
      </c>
      <c r="I85" s="3">
        <v>100840.0</v>
      </c>
      <c r="J85" s="3"/>
      <c r="K85" s="3"/>
      <c r="L85" s="3" t="s">
        <v>1737</v>
      </c>
      <c r="M85" s="3" t="s">
        <v>5344</v>
      </c>
      <c r="N85" s="3" t="s">
        <v>186</v>
      </c>
      <c r="O85" s="3" t="s">
        <v>302</v>
      </c>
      <c r="P85" s="4">
        <v>44279.4583333333</v>
      </c>
      <c r="Q85" s="3" t="s">
        <v>56</v>
      </c>
      <c r="R85" s="5">
        <v>44279.0</v>
      </c>
      <c r="S85" s="3" t="s">
        <v>2022</v>
      </c>
      <c r="T85" s="3">
        <v>3304557.0</v>
      </c>
      <c r="U85" s="3" t="s">
        <v>1740</v>
      </c>
      <c r="V85" s="3" t="s">
        <v>1741</v>
      </c>
      <c r="W85" s="3" t="s">
        <v>60</v>
      </c>
      <c r="X85" s="3"/>
      <c r="Y85" s="3"/>
      <c r="Z85" s="3" t="s">
        <v>306</v>
      </c>
      <c r="AA85" s="3" t="s">
        <v>61</v>
      </c>
      <c r="AB85" s="3" t="str">
        <f t="shared" ref="AB85:AB86" si="8">"33000167000101"</f>
        <v>33000167000101</v>
      </c>
      <c r="AC85" s="3"/>
      <c r="AD85" s="3"/>
      <c r="AE85" s="3"/>
      <c r="AF85" s="3">
        <v>-40.331667</v>
      </c>
      <c r="AG85" s="3">
        <v>-22.254306</v>
      </c>
      <c r="AH85" s="3" t="s">
        <v>5345</v>
      </c>
      <c r="AI85" s="3"/>
      <c r="AJ85" s="3" t="s">
        <v>1737</v>
      </c>
      <c r="AK85" s="3"/>
      <c r="AL85" s="3" t="s">
        <v>128</v>
      </c>
      <c r="AM85" s="3" t="s">
        <v>65</v>
      </c>
      <c r="AN85" s="3" t="s">
        <v>1743</v>
      </c>
      <c r="AO85" s="4">
        <v>44280.0</v>
      </c>
      <c r="AP85" s="4">
        <v>44280.7664583333</v>
      </c>
      <c r="AQ85" s="3" t="s">
        <v>132</v>
      </c>
      <c r="AR85" s="3" t="s">
        <v>1745</v>
      </c>
      <c r="AS85" s="3" t="s">
        <v>5346</v>
      </c>
      <c r="AT85" s="4">
        <v>44281.0337152778</v>
      </c>
    </row>
    <row r="86" ht="15.75" customHeight="1">
      <c r="A86" s="3">
        <v>2044742.0</v>
      </c>
      <c r="B86" s="3" t="s">
        <v>116</v>
      </c>
      <c r="C86" s="3" t="s">
        <v>117</v>
      </c>
      <c r="D86" s="3" t="s">
        <v>46</v>
      </c>
      <c r="E86" s="3" t="s">
        <v>5347</v>
      </c>
      <c r="F86" s="3"/>
      <c r="G86" s="3" t="s">
        <v>119</v>
      </c>
      <c r="H86" s="3" t="s">
        <v>50</v>
      </c>
      <c r="I86" s="3">
        <v>102310.0</v>
      </c>
      <c r="J86" s="3"/>
      <c r="K86" s="3"/>
      <c r="L86" s="3" t="s">
        <v>1737</v>
      </c>
      <c r="M86" s="3" t="s">
        <v>5348</v>
      </c>
      <c r="N86" s="3" t="s">
        <v>186</v>
      </c>
      <c r="O86" s="3" t="s">
        <v>302</v>
      </c>
      <c r="P86" s="4">
        <v>44279.4583333333</v>
      </c>
      <c r="Q86" s="3" t="s">
        <v>56</v>
      </c>
      <c r="R86" s="5">
        <v>44279.0</v>
      </c>
      <c r="S86" s="3" t="s">
        <v>2022</v>
      </c>
      <c r="T86" s="3">
        <v>3304557.0</v>
      </c>
      <c r="U86" s="3" t="s">
        <v>1740</v>
      </c>
      <c r="V86" s="3" t="s">
        <v>1741</v>
      </c>
      <c r="W86" s="3" t="s">
        <v>60</v>
      </c>
      <c r="X86" s="3"/>
      <c r="Y86" s="3"/>
      <c r="Z86" s="3" t="s">
        <v>306</v>
      </c>
      <c r="AA86" s="3" t="s">
        <v>61</v>
      </c>
      <c r="AB86" s="3" t="str">
        <f t="shared" si="8"/>
        <v>33000167000101</v>
      </c>
      <c r="AC86" s="3"/>
      <c r="AD86" s="3"/>
      <c r="AE86" s="3"/>
      <c r="AF86" s="3">
        <v>-46.528306</v>
      </c>
      <c r="AG86" s="3">
        <v>-26.465806</v>
      </c>
      <c r="AH86" s="3" t="s">
        <v>5349</v>
      </c>
      <c r="AI86" s="3"/>
      <c r="AJ86" s="3" t="s">
        <v>1737</v>
      </c>
      <c r="AK86" s="3"/>
      <c r="AL86" s="3" t="s">
        <v>128</v>
      </c>
      <c r="AM86" s="3" t="s">
        <v>65</v>
      </c>
      <c r="AN86" s="3" t="s">
        <v>1743</v>
      </c>
      <c r="AO86" s="4">
        <v>44280.0</v>
      </c>
      <c r="AP86" s="4">
        <v>44280.7709953704</v>
      </c>
      <c r="AQ86" s="3" t="s">
        <v>132</v>
      </c>
      <c r="AR86" s="3" t="s">
        <v>1745</v>
      </c>
      <c r="AS86" s="3" t="s">
        <v>5350</v>
      </c>
      <c r="AT86" s="4">
        <v>44281.0337152778</v>
      </c>
    </row>
    <row r="87" ht="15.75" customHeight="1">
      <c r="A87" s="3"/>
      <c r="B87" s="3" t="s">
        <v>46</v>
      </c>
      <c r="C87" s="3" t="s">
        <v>47</v>
      </c>
      <c r="D87" s="3"/>
      <c r="E87" s="3" t="s">
        <v>5351</v>
      </c>
      <c r="F87" s="3"/>
      <c r="G87" s="3" t="s">
        <v>49</v>
      </c>
      <c r="H87" s="3" t="s">
        <v>72</v>
      </c>
      <c r="I87" s="3">
        <v>900.0</v>
      </c>
      <c r="J87" s="3"/>
      <c r="K87" s="3"/>
      <c r="L87" s="3"/>
      <c r="M87" s="3" t="s">
        <v>5352</v>
      </c>
      <c r="N87" s="3" t="s">
        <v>2737</v>
      </c>
      <c r="O87" s="3" t="s">
        <v>2738</v>
      </c>
      <c r="P87" s="4">
        <v>44279.4242708333</v>
      </c>
      <c r="Q87" s="3" t="s">
        <v>77</v>
      </c>
      <c r="R87" s="3"/>
      <c r="S87" s="3" t="s">
        <v>220</v>
      </c>
      <c r="T87" s="3">
        <v>2301000.0</v>
      </c>
      <c r="U87" s="3" t="s">
        <v>5353</v>
      </c>
      <c r="V87" s="3" t="s">
        <v>439</v>
      </c>
      <c r="W87" s="3" t="s">
        <v>291</v>
      </c>
      <c r="X87" s="3"/>
      <c r="Y87" s="3"/>
      <c r="Z87" s="3" t="s">
        <v>2742</v>
      </c>
      <c r="AA87" s="3" t="s">
        <v>5354</v>
      </c>
      <c r="AB87" s="3" t="str">
        <f>"30647870000118"</f>
        <v>30647870000118</v>
      </c>
      <c r="AC87" s="3"/>
      <c r="AD87" s="3" t="s">
        <v>81</v>
      </c>
      <c r="AE87" s="3"/>
      <c r="AF87" s="3">
        <v>-38.481667</v>
      </c>
      <c r="AG87" s="3">
        <v>-3.950833</v>
      </c>
      <c r="AH87" s="3" t="s">
        <v>5355</v>
      </c>
      <c r="AI87" s="3"/>
      <c r="AJ87" s="3" t="s">
        <v>442</v>
      </c>
      <c r="AK87" s="3"/>
      <c r="AL87" s="3"/>
      <c r="AM87" s="3" t="s">
        <v>65</v>
      </c>
      <c r="AN87" s="3" t="s">
        <v>159</v>
      </c>
      <c r="AO87" s="3"/>
      <c r="AP87" s="4">
        <v>44279.4373958333</v>
      </c>
      <c r="AQ87" s="3"/>
      <c r="AR87" s="3" t="s">
        <v>803</v>
      </c>
      <c r="AS87" s="3" t="s">
        <v>5356</v>
      </c>
      <c r="AT87" s="4">
        <v>44281.0337152778</v>
      </c>
    </row>
    <row r="88" ht="15.75" customHeight="1">
      <c r="A88" s="3"/>
      <c r="B88" s="3" t="s">
        <v>46</v>
      </c>
      <c r="C88" s="3" t="s">
        <v>47</v>
      </c>
      <c r="D88" s="3"/>
      <c r="E88" s="3" t="s">
        <v>5357</v>
      </c>
      <c r="F88" s="3"/>
      <c r="G88" s="3" t="s">
        <v>49</v>
      </c>
      <c r="H88" s="3" t="s">
        <v>50</v>
      </c>
      <c r="I88" s="3">
        <v>111500.0</v>
      </c>
      <c r="J88" s="3"/>
      <c r="K88" s="3" t="s">
        <v>92</v>
      </c>
      <c r="L88" s="3"/>
      <c r="M88" s="3" t="s">
        <v>5358</v>
      </c>
      <c r="N88" s="3" t="s">
        <v>94</v>
      </c>
      <c r="O88" s="3" t="s">
        <v>95</v>
      </c>
      <c r="P88" s="4">
        <v>44279.4171875</v>
      </c>
      <c r="Q88" s="3" t="s">
        <v>77</v>
      </c>
      <c r="R88" s="3"/>
      <c r="S88" s="3" t="s">
        <v>400</v>
      </c>
      <c r="T88" s="3">
        <v>4314902.0</v>
      </c>
      <c r="U88" s="3" t="s">
        <v>2191</v>
      </c>
      <c r="V88" s="3" t="s">
        <v>402</v>
      </c>
      <c r="W88" s="3" t="s">
        <v>100</v>
      </c>
      <c r="X88" s="3"/>
      <c r="Y88" s="3"/>
      <c r="Z88" s="3" t="s">
        <v>101</v>
      </c>
      <c r="AA88" s="3" t="s">
        <v>5188</v>
      </c>
      <c r="AB88" s="3" t="str">
        <f>"05930683000108"</f>
        <v>05930683000108</v>
      </c>
      <c r="AC88" s="3"/>
      <c r="AD88" s="3" t="s">
        <v>81</v>
      </c>
      <c r="AE88" s="3"/>
      <c r="AF88" s="3">
        <v>-66.569444</v>
      </c>
      <c r="AG88" s="3">
        <v>-9.653611</v>
      </c>
      <c r="AH88" s="3" t="s">
        <v>5359</v>
      </c>
      <c r="AI88" s="3"/>
      <c r="AJ88" s="3" t="s">
        <v>405</v>
      </c>
      <c r="AK88" s="3"/>
      <c r="AL88" s="3"/>
      <c r="AM88" s="3" t="s">
        <v>65</v>
      </c>
      <c r="AN88" s="3" t="s">
        <v>159</v>
      </c>
      <c r="AO88" s="3"/>
      <c r="AP88" s="4">
        <v>44279.9494328704</v>
      </c>
      <c r="AQ88" s="3"/>
      <c r="AR88" s="3" t="s">
        <v>106</v>
      </c>
      <c r="AS88" s="3"/>
      <c r="AT88" s="4">
        <v>44281.0337152778</v>
      </c>
    </row>
    <row r="89" ht="15.75" customHeight="1">
      <c r="A89" s="3">
        <v>2044666.0</v>
      </c>
      <c r="B89" s="3" t="s">
        <v>116</v>
      </c>
      <c r="C89" s="3" t="s">
        <v>117</v>
      </c>
      <c r="D89" s="3" t="s">
        <v>46</v>
      </c>
      <c r="E89" s="3" t="s">
        <v>5360</v>
      </c>
      <c r="F89" s="3"/>
      <c r="G89" s="3" t="s">
        <v>119</v>
      </c>
      <c r="H89" s="3" t="s">
        <v>50</v>
      </c>
      <c r="I89" s="3">
        <v>6000.0</v>
      </c>
      <c r="J89" s="3"/>
      <c r="K89" s="3"/>
      <c r="L89" s="3" t="s">
        <v>485</v>
      </c>
      <c r="M89" s="3" t="s">
        <v>5361</v>
      </c>
      <c r="N89" s="3" t="s">
        <v>285</v>
      </c>
      <c r="O89" s="3" t="s">
        <v>286</v>
      </c>
      <c r="P89" s="4">
        <v>44279.4166666667</v>
      </c>
      <c r="Q89" s="3" t="s">
        <v>56</v>
      </c>
      <c r="R89" s="3"/>
      <c r="S89" s="3" t="s">
        <v>488</v>
      </c>
      <c r="T89" s="3">
        <v>1718451.0</v>
      </c>
      <c r="U89" s="3" t="s">
        <v>5362</v>
      </c>
      <c r="V89" s="3" t="s">
        <v>490</v>
      </c>
      <c r="W89" s="3" t="s">
        <v>172</v>
      </c>
      <c r="X89" s="3"/>
      <c r="Y89" s="3" t="str">
        <f>"02029000321202154"</f>
        <v>02029000321202154</v>
      </c>
      <c r="Z89" s="3" t="s">
        <v>292</v>
      </c>
      <c r="AA89" s="3" t="s">
        <v>5363</v>
      </c>
      <c r="AB89" s="3" t="str">
        <f>"10673989000158"</f>
        <v>10673989000158</v>
      </c>
      <c r="AC89" s="3"/>
      <c r="AD89" s="3"/>
      <c r="AE89" s="3"/>
      <c r="AF89" s="3">
        <v>-48.900278</v>
      </c>
      <c r="AG89" s="3">
        <v>-10.424167</v>
      </c>
      <c r="AH89" s="3" t="s">
        <v>5364</v>
      </c>
      <c r="AI89" s="3"/>
      <c r="AJ89" s="3" t="s">
        <v>485</v>
      </c>
      <c r="AK89" s="3"/>
      <c r="AL89" s="3" t="s">
        <v>128</v>
      </c>
      <c r="AM89" s="3" t="s">
        <v>65</v>
      </c>
      <c r="AN89" s="3" t="s">
        <v>296</v>
      </c>
      <c r="AO89" s="4">
        <v>44279.0</v>
      </c>
      <c r="AP89" s="4">
        <v>44279.5731365741</v>
      </c>
      <c r="AQ89" s="3" t="s">
        <v>132</v>
      </c>
      <c r="AR89" s="3" t="s">
        <v>531</v>
      </c>
      <c r="AS89" s="3"/>
      <c r="AT89" s="4">
        <v>44281.0337152778</v>
      </c>
    </row>
    <row r="90" ht="15.75" customHeight="1">
      <c r="A90" s="3">
        <v>2044743.0</v>
      </c>
      <c r="B90" s="3" t="s">
        <v>116</v>
      </c>
      <c r="C90" s="3" t="s">
        <v>117</v>
      </c>
      <c r="D90" s="3" t="s">
        <v>46</v>
      </c>
      <c r="E90" s="3" t="s">
        <v>5365</v>
      </c>
      <c r="F90" s="3"/>
      <c r="G90" s="3" t="s">
        <v>119</v>
      </c>
      <c r="H90" s="3" t="s">
        <v>50</v>
      </c>
      <c r="I90" s="3">
        <v>100320.0</v>
      </c>
      <c r="J90" s="3"/>
      <c r="K90" s="3"/>
      <c r="L90" s="3" t="s">
        <v>1737</v>
      </c>
      <c r="M90" s="3" t="s">
        <v>5366</v>
      </c>
      <c r="N90" s="3" t="s">
        <v>186</v>
      </c>
      <c r="O90" s="3" t="s">
        <v>302</v>
      </c>
      <c r="P90" s="4">
        <v>44279.4166666667</v>
      </c>
      <c r="Q90" s="3" t="s">
        <v>56</v>
      </c>
      <c r="R90" s="5">
        <v>44280.0</v>
      </c>
      <c r="S90" s="3" t="s">
        <v>2022</v>
      </c>
      <c r="T90" s="3">
        <v>3304557.0</v>
      </c>
      <c r="U90" s="3" t="s">
        <v>1740</v>
      </c>
      <c r="V90" s="3" t="s">
        <v>1741</v>
      </c>
      <c r="W90" s="3" t="s">
        <v>60</v>
      </c>
      <c r="X90" s="3"/>
      <c r="Y90" s="3"/>
      <c r="Z90" s="3" t="s">
        <v>306</v>
      </c>
      <c r="AA90" s="3" t="s">
        <v>61</v>
      </c>
      <c r="AB90" s="3" t="str">
        <f t="shared" ref="AB90:AB91" si="9">"33000167000101"</f>
        <v>33000167000101</v>
      </c>
      <c r="AC90" s="3"/>
      <c r="AD90" s="3"/>
      <c r="AE90" s="3"/>
      <c r="AF90" s="3">
        <v>-46.528306</v>
      </c>
      <c r="AG90" s="3">
        <v>-26.465806</v>
      </c>
      <c r="AH90" s="3" t="s">
        <v>5345</v>
      </c>
      <c r="AI90" s="3"/>
      <c r="AJ90" s="3" t="s">
        <v>1737</v>
      </c>
      <c r="AK90" s="3"/>
      <c r="AL90" s="3" t="s">
        <v>128</v>
      </c>
      <c r="AM90" s="3" t="s">
        <v>65</v>
      </c>
      <c r="AN90" s="3" t="s">
        <v>1743</v>
      </c>
      <c r="AO90" s="4">
        <v>44280.0</v>
      </c>
      <c r="AP90" s="4">
        <v>44280.7809953704</v>
      </c>
      <c r="AQ90" s="3" t="s">
        <v>132</v>
      </c>
      <c r="AR90" s="3" t="s">
        <v>1745</v>
      </c>
      <c r="AS90" s="3" t="s">
        <v>5367</v>
      </c>
      <c r="AT90" s="4">
        <v>44281.0337152778</v>
      </c>
    </row>
    <row r="91" ht="15.75" customHeight="1">
      <c r="A91" s="3"/>
      <c r="B91" s="3" t="s">
        <v>46</v>
      </c>
      <c r="C91" s="3" t="s">
        <v>47</v>
      </c>
      <c r="D91" s="3"/>
      <c r="E91" s="3" t="s">
        <v>5368</v>
      </c>
      <c r="F91" s="3"/>
      <c r="G91" s="3" t="s">
        <v>49</v>
      </c>
      <c r="H91" s="3" t="s">
        <v>50</v>
      </c>
      <c r="I91" s="3">
        <v>100160.0</v>
      </c>
      <c r="J91" s="3"/>
      <c r="K91" s="3" t="s">
        <v>51</v>
      </c>
      <c r="L91" s="3"/>
      <c r="M91" s="3" t="s">
        <v>5369</v>
      </c>
      <c r="N91" s="3" t="s">
        <v>301</v>
      </c>
      <c r="O91" s="3" t="s">
        <v>302</v>
      </c>
      <c r="P91" s="4">
        <v>44279.3941435185</v>
      </c>
      <c r="Q91" s="3" t="s">
        <v>56</v>
      </c>
      <c r="R91" s="5">
        <v>43650.0</v>
      </c>
      <c r="S91" s="3" t="s">
        <v>2022</v>
      </c>
      <c r="T91" s="3">
        <v>3304557.0</v>
      </c>
      <c r="U91" s="3" t="s">
        <v>1740</v>
      </c>
      <c r="V91" s="3" t="s">
        <v>1741</v>
      </c>
      <c r="W91" s="3" t="s">
        <v>60</v>
      </c>
      <c r="X91" s="3"/>
      <c r="Y91" s="3"/>
      <c r="Z91" s="3" t="s">
        <v>306</v>
      </c>
      <c r="AA91" s="3" t="s">
        <v>61</v>
      </c>
      <c r="AB91" s="3" t="str">
        <f t="shared" si="9"/>
        <v>33000167000101</v>
      </c>
      <c r="AC91" s="3"/>
      <c r="AD91" s="3" t="s">
        <v>62</v>
      </c>
      <c r="AE91" s="3"/>
      <c r="AF91" s="3">
        <v>-46.528306</v>
      </c>
      <c r="AG91" s="3">
        <v>-26.465806</v>
      </c>
      <c r="AH91" s="3" t="s">
        <v>5345</v>
      </c>
      <c r="AI91" s="3"/>
      <c r="AJ91" s="3" t="s">
        <v>1763</v>
      </c>
      <c r="AK91" s="3"/>
      <c r="AL91" s="3"/>
      <c r="AM91" s="3" t="s">
        <v>65</v>
      </c>
      <c r="AN91" s="3" t="s">
        <v>1743</v>
      </c>
      <c r="AO91" s="3"/>
      <c r="AP91" s="4">
        <v>44280.6645949074</v>
      </c>
      <c r="AQ91" s="3"/>
      <c r="AR91" s="3" t="s">
        <v>1765</v>
      </c>
      <c r="AS91" s="3" t="s">
        <v>5346</v>
      </c>
      <c r="AT91" s="4">
        <v>44281.0337152778</v>
      </c>
    </row>
    <row r="92" ht="15.75" customHeight="1">
      <c r="A92" s="3"/>
      <c r="B92" s="3" t="s">
        <v>46</v>
      </c>
      <c r="C92" s="3" t="s">
        <v>47</v>
      </c>
      <c r="D92" s="3"/>
      <c r="E92" s="3" t="s">
        <v>5370</v>
      </c>
      <c r="F92" s="3"/>
      <c r="G92" s="3" t="s">
        <v>49</v>
      </c>
      <c r="H92" s="3" t="s">
        <v>50</v>
      </c>
      <c r="I92" s="3">
        <v>29700.0</v>
      </c>
      <c r="J92" s="3"/>
      <c r="K92" s="3" t="s">
        <v>92</v>
      </c>
      <c r="L92" s="3"/>
      <c r="M92" s="3" t="s">
        <v>5371</v>
      </c>
      <c r="N92" s="3" t="s">
        <v>74</v>
      </c>
      <c r="O92" s="3" t="s">
        <v>75</v>
      </c>
      <c r="P92" s="4">
        <v>44279.3874421296</v>
      </c>
      <c r="Q92" s="3" t="s">
        <v>56</v>
      </c>
      <c r="R92" s="3"/>
      <c r="S92" s="3" t="s">
        <v>400</v>
      </c>
      <c r="T92" s="3">
        <v>4314407.0</v>
      </c>
      <c r="U92" s="3" t="s">
        <v>1649</v>
      </c>
      <c r="V92" s="3" t="s">
        <v>402</v>
      </c>
      <c r="W92" s="3" t="s">
        <v>78</v>
      </c>
      <c r="X92" s="3"/>
      <c r="Y92" s="3"/>
      <c r="Z92" s="3" t="s">
        <v>79</v>
      </c>
      <c r="AA92" s="3" t="s">
        <v>5372</v>
      </c>
      <c r="AB92" s="3" t="str">
        <f>"***231430**"</f>
        <v>***231430**</v>
      </c>
      <c r="AC92" s="3"/>
      <c r="AD92" s="3" t="s">
        <v>81</v>
      </c>
      <c r="AE92" s="3"/>
      <c r="AF92" s="3">
        <v>-52.336944</v>
      </c>
      <c r="AG92" s="3">
        <v>-31.752222</v>
      </c>
      <c r="AH92" s="3" t="s">
        <v>5373</v>
      </c>
      <c r="AI92" s="3"/>
      <c r="AJ92" s="3" t="s">
        <v>405</v>
      </c>
      <c r="AK92" s="3"/>
      <c r="AL92" s="3"/>
      <c r="AM92" s="3" t="s">
        <v>65</v>
      </c>
      <c r="AN92" s="3" t="s">
        <v>1044</v>
      </c>
      <c r="AO92" s="3"/>
      <c r="AP92" s="4">
        <v>44279.3939236111</v>
      </c>
      <c r="AQ92" s="3"/>
      <c r="AR92" s="3" t="s">
        <v>407</v>
      </c>
      <c r="AS92" s="3" t="s">
        <v>2777</v>
      </c>
      <c r="AT92" s="4">
        <v>44281.0337152778</v>
      </c>
    </row>
    <row r="93" ht="15.75" customHeight="1">
      <c r="A93" s="3"/>
      <c r="B93" s="3" t="s">
        <v>46</v>
      </c>
      <c r="C93" s="3" t="s">
        <v>47</v>
      </c>
      <c r="D93" s="3"/>
      <c r="E93" s="3" t="s">
        <v>5374</v>
      </c>
      <c r="F93" s="3"/>
      <c r="G93" s="3" t="s">
        <v>49</v>
      </c>
      <c r="H93" s="3" t="s">
        <v>50</v>
      </c>
      <c r="I93" s="3">
        <v>50500.0</v>
      </c>
      <c r="J93" s="3"/>
      <c r="K93" s="3" t="s">
        <v>51</v>
      </c>
      <c r="L93" s="3"/>
      <c r="M93" s="3" t="s">
        <v>5375</v>
      </c>
      <c r="N93" s="3" t="s">
        <v>301</v>
      </c>
      <c r="O93" s="3" t="s">
        <v>302</v>
      </c>
      <c r="P93" s="4">
        <v>44279.3681365741</v>
      </c>
      <c r="Q93" s="3" t="s">
        <v>77</v>
      </c>
      <c r="R93" s="3"/>
      <c r="S93" s="3" t="s">
        <v>1613</v>
      </c>
      <c r="T93" s="3">
        <v>5101902.0</v>
      </c>
      <c r="U93" s="3" t="s">
        <v>5376</v>
      </c>
      <c r="V93" s="3" t="s">
        <v>323</v>
      </c>
      <c r="W93" s="3" t="s">
        <v>100</v>
      </c>
      <c r="X93" s="3"/>
      <c r="Y93" s="3"/>
      <c r="Z93" s="3" t="s">
        <v>306</v>
      </c>
      <c r="AA93" s="3" t="s">
        <v>5377</v>
      </c>
      <c r="AB93" s="3" t="str">
        <f>"28422600000167"</f>
        <v>28422600000167</v>
      </c>
      <c r="AC93" s="3"/>
      <c r="AD93" s="3" t="s">
        <v>62</v>
      </c>
      <c r="AE93" s="3"/>
      <c r="AF93" s="3">
        <v>-57.996944</v>
      </c>
      <c r="AG93" s="3">
        <v>-12.131667</v>
      </c>
      <c r="AH93" s="3" t="s">
        <v>5378</v>
      </c>
      <c r="AI93" s="3"/>
      <c r="AJ93" s="3" t="s">
        <v>327</v>
      </c>
      <c r="AK93" s="3"/>
      <c r="AL93" s="3"/>
      <c r="AM93" s="3" t="s">
        <v>65</v>
      </c>
      <c r="AN93" s="3" t="s">
        <v>5379</v>
      </c>
      <c r="AO93" s="3"/>
      <c r="AP93" s="4">
        <v>44279.3752430556</v>
      </c>
      <c r="AQ93" s="3"/>
      <c r="AR93" s="3" t="s">
        <v>463</v>
      </c>
      <c r="AS93" s="3"/>
      <c r="AT93" s="4">
        <v>44281.0337152778</v>
      </c>
    </row>
    <row r="94" ht="15.75" customHeight="1">
      <c r="A94" s="3"/>
      <c r="B94" s="3" t="s">
        <v>46</v>
      </c>
      <c r="C94" s="3" t="s">
        <v>47</v>
      </c>
      <c r="D94" s="3"/>
      <c r="E94" s="3" t="s">
        <v>5380</v>
      </c>
      <c r="F94" s="3"/>
      <c r="G94" s="3" t="s">
        <v>49</v>
      </c>
      <c r="H94" s="3" t="s">
        <v>50</v>
      </c>
      <c r="I94" s="3">
        <v>15000.0</v>
      </c>
      <c r="J94" s="3"/>
      <c r="K94" s="3" t="s">
        <v>51</v>
      </c>
      <c r="L94" s="3"/>
      <c r="M94" s="3" t="s">
        <v>5381</v>
      </c>
      <c r="N94" s="3" t="s">
        <v>301</v>
      </c>
      <c r="O94" s="3" t="s">
        <v>302</v>
      </c>
      <c r="P94" s="4">
        <v>44279.3586805556</v>
      </c>
      <c r="Q94" s="3" t="s">
        <v>56</v>
      </c>
      <c r="R94" s="3"/>
      <c r="S94" s="3" t="s">
        <v>784</v>
      </c>
      <c r="T94" s="3">
        <v>4205407.0</v>
      </c>
      <c r="U94" s="3" t="s">
        <v>2497</v>
      </c>
      <c r="V94" s="3" t="s">
        <v>222</v>
      </c>
      <c r="W94" s="3" t="s">
        <v>78</v>
      </c>
      <c r="X94" s="3"/>
      <c r="Y94" s="3"/>
      <c r="Z94" s="3" t="s">
        <v>306</v>
      </c>
      <c r="AA94" s="3" t="s">
        <v>5382</v>
      </c>
      <c r="AB94" s="3" t="str">
        <f>"01258944004202"</f>
        <v>01258944004202</v>
      </c>
      <c r="AC94" s="3"/>
      <c r="AD94" s="3" t="s">
        <v>81</v>
      </c>
      <c r="AE94" s="3"/>
      <c r="AF94" s="3">
        <v>-48.556667</v>
      </c>
      <c r="AG94" s="3">
        <v>-27.594167</v>
      </c>
      <c r="AH94" s="3" t="s">
        <v>2588</v>
      </c>
      <c r="AI94" s="3"/>
      <c r="AJ94" s="3" t="s">
        <v>226</v>
      </c>
      <c r="AK94" s="3"/>
      <c r="AL94" s="3"/>
      <c r="AM94" s="3" t="s">
        <v>65</v>
      </c>
      <c r="AN94" s="3" t="s">
        <v>2589</v>
      </c>
      <c r="AO94" s="3"/>
      <c r="AP94" s="4">
        <v>44279.3629050926</v>
      </c>
      <c r="AQ94" s="3"/>
      <c r="AR94" s="3" t="s">
        <v>298</v>
      </c>
      <c r="AS94" s="3"/>
      <c r="AT94" s="4">
        <v>44281.0337152778</v>
      </c>
    </row>
    <row r="95" ht="15.75" customHeight="1">
      <c r="A95" s="3"/>
      <c r="B95" s="3" t="s">
        <v>46</v>
      </c>
      <c r="C95" s="3" t="s">
        <v>47</v>
      </c>
      <c r="D95" s="3"/>
      <c r="E95" s="3" t="s">
        <v>5383</v>
      </c>
      <c r="F95" s="3"/>
      <c r="G95" s="3" t="s">
        <v>49</v>
      </c>
      <c r="H95" s="3" t="s">
        <v>72</v>
      </c>
      <c r="I95" s="3">
        <v>7980.0</v>
      </c>
      <c r="J95" s="3"/>
      <c r="K95" s="3"/>
      <c r="L95" s="3"/>
      <c r="M95" s="3" t="s">
        <v>5384</v>
      </c>
      <c r="N95" s="3" t="s">
        <v>109</v>
      </c>
      <c r="O95" s="3" t="s">
        <v>110</v>
      </c>
      <c r="P95" s="4">
        <v>44279.19375</v>
      </c>
      <c r="Q95" s="3" t="s">
        <v>56</v>
      </c>
      <c r="R95" s="3"/>
      <c r="S95" s="3" t="s">
        <v>288</v>
      </c>
      <c r="T95" s="3">
        <v>2211308.0</v>
      </c>
      <c r="U95" s="3" t="s">
        <v>5385</v>
      </c>
      <c r="V95" s="3" t="s">
        <v>290</v>
      </c>
      <c r="W95" s="3" t="s">
        <v>291</v>
      </c>
      <c r="X95" s="3"/>
      <c r="Y95" s="3"/>
      <c r="Z95" s="3" t="s">
        <v>112</v>
      </c>
      <c r="AA95" s="3" t="s">
        <v>5386</v>
      </c>
      <c r="AB95" s="3" t="str">
        <f>"***905661**"</f>
        <v>***905661**</v>
      </c>
      <c r="AC95" s="3"/>
      <c r="AD95" s="3" t="s">
        <v>62</v>
      </c>
      <c r="AE95" s="3"/>
      <c r="AF95" s="3">
        <v>-41.776944</v>
      </c>
      <c r="AG95" s="3">
        <v>-6.371944</v>
      </c>
      <c r="AH95" s="3" t="s">
        <v>5387</v>
      </c>
      <c r="AI95" s="3"/>
      <c r="AJ95" s="3" t="s">
        <v>295</v>
      </c>
      <c r="AK95" s="3"/>
      <c r="AL95" s="3"/>
      <c r="AM95" s="3" t="s">
        <v>65</v>
      </c>
      <c r="AN95" s="3" t="s">
        <v>5388</v>
      </c>
      <c r="AO95" s="3"/>
      <c r="AP95" s="4">
        <v>44279.2023611111</v>
      </c>
      <c r="AQ95" s="3"/>
      <c r="AR95" s="3" t="s">
        <v>177</v>
      </c>
      <c r="AS95" s="3"/>
      <c r="AT95" s="4">
        <v>44281.0337152778</v>
      </c>
    </row>
    <row r="96" ht="15.75" customHeight="1">
      <c r="A96" s="3"/>
      <c r="B96" s="3" t="s">
        <v>46</v>
      </c>
      <c r="C96" s="3" t="s">
        <v>47</v>
      </c>
      <c r="D96" s="3"/>
      <c r="E96" s="3" t="s">
        <v>5389</v>
      </c>
      <c r="F96" s="3"/>
      <c r="G96" s="3" t="s">
        <v>49</v>
      </c>
      <c r="H96" s="3" t="s">
        <v>50</v>
      </c>
      <c r="I96" s="3">
        <v>2100.0</v>
      </c>
      <c r="J96" s="3"/>
      <c r="K96" s="3" t="s">
        <v>92</v>
      </c>
      <c r="L96" s="3"/>
      <c r="M96" s="3" t="s">
        <v>5249</v>
      </c>
      <c r="N96" s="3" t="s">
        <v>381</v>
      </c>
      <c r="O96" s="3" t="s">
        <v>382</v>
      </c>
      <c r="P96" s="4">
        <v>44279.0103356482</v>
      </c>
      <c r="Q96" s="3" t="s">
        <v>56</v>
      </c>
      <c r="R96" s="3"/>
      <c r="S96" s="3" t="s">
        <v>1349</v>
      </c>
      <c r="T96" s="3">
        <v>1506609.0</v>
      </c>
      <c r="U96" s="3" t="s">
        <v>5250</v>
      </c>
      <c r="V96" s="3" t="s">
        <v>917</v>
      </c>
      <c r="W96" s="3" t="s">
        <v>100</v>
      </c>
      <c r="X96" s="3"/>
      <c r="Y96" s="3"/>
      <c r="Z96" s="3" t="s">
        <v>384</v>
      </c>
      <c r="AA96" s="3" t="s">
        <v>5390</v>
      </c>
      <c r="AB96" s="3" t="str">
        <f>"***608252**"</f>
        <v>***608252**</v>
      </c>
      <c r="AC96" s="3"/>
      <c r="AD96" s="3" t="s">
        <v>81</v>
      </c>
      <c r="AE96" s="3"/>
      <c r="AF96" s="3">
        <v>-47.584444</v>
      </c>
      <c r="AG96" s="3">
        <v>-1.338333</v>
      </c>
      <c r="AH96" s="3" t="s">
        <v>5252</v>
      </c>
      <c r="AI96" s="3"/>
      <c r="AJ96" s="3" t="s">
        <v>1346</v>
      </c>
      <c r="AK96" s="3"/>
      <c r="AL96" s="3"/>
      <c r="AM96" s="3" t="s">
        <v>65</v>
      </c>
      <c r="AN96" s="3"/>
      <c r="AO96" s="3"/>
      <c r="AP96" s="4">
        <v>44279.0426388889</v>
      </c>
      <c r="AQ96" s="3"/>
      <c r="AR96" s="3" t="s">
        <v>3983</v>
      </c>
      <c r="AS96" s="3"/>
      <c r="AT96" s="4">
        <v>44281.0337152778</v>
      </c>
    </row>
    <row r="97" ht="15.75" customHeight="1">
      <c r="A97" s="3"/>
      <c r="B97" s="3" t="s">
        <v>46</v>
      </c>
      <c r="C97" s="3" t="s">
        <v>47</v>
      </c>
      <c r="D97" s="3"/>
      <c r="E97" s="3" t="s">
        <v>5391</v>
      </c>
      <c r="F97" s="3"/>
      <c r="G97" s="3" t="s">
        <v>49</v>
      </c>
      <c r="H97" s="3" t="s">
        <v>72</v>
      </c>
      <c r="I97" s="3">
        <v>36000.0</v>
      </c>
      <c r="J97" s="3"/>
      <c r="K97" s="3"/>
      <c r="L97" s="3"/>
      <c r="M97" s="3" t="s">
        <v>5392</v>
      </c>
      <c r="N97" s="3" t="s">
        <v>109</v>
      </c>
      <c r="O97" s="3" t="s">
        <v>110</v>
      </c>
      <c r="P97" s="4">
        <v>44278.8728819445</v>
      </c>
      <c r="Q97" s="3" t="s">
        <v>56</v>
      </c>
      <c r="R97" s="3"/>
      <c r="S97" s="3" t="s">
        <v>169</v>
      </c>
      <c r="T97" s="3">
        <v>5202502.0</v>
      </c>
      <c r="U97" s="3" t="s">
        <v>1211</v>
      </c>
      <c r="V97" s="3" t="s">
        <v>171</v>
      </c>
      <c r="W97" s="3" t="s">
        <v>172</v>
      </c>
      <c r="X97" s="3" t="s">
        <v>5393</v>
      </c>
      <c r="Y97" s="3"/>
      <c r="Z97" s="3" t="s">
        <v>112</v>
      </c>
      <c r="AA97" s="3" t="s">
        <v>5394</v>
      </c>
      <c r="AB97" s="3" t="str">
        <f>"***991781**"</f>
        <v>***991781**</v>
      </c>
      <c r="AC97" s="3"/>
      <c r="AD97" s="3" t="s">
        <v>325</v>
      </c>
      <c r="AE97" s="3"/>
      <c r="AF97" s="3">
        <v>-51.053056</v>
      </c>
      <c r="AG97" s="3">
        <v>-14.832222</v>
      </c>
      <c r="AH97" s="3" t="s">
        <v>5395</v>
      </c>
      <c r="AI97" s="3"/>
      <c r="AJ97" s="3" t="s">
        <v>5396</v>
      </c>
      <c r="AK97" s="3"/>
      <c r="AL97" s="3"/>
      <c r="AM97" s="3" t="s">
        <v>65</v>
      </c>
      <c r="AN97" s="3" t="s">
        <v>5397</v>
      </c>
      <c r="AO97" s="3"/>
      <c r="AP97" s="4">
        <v>44278.8774884259</v>
      </c>
      <c r="AQ97" s="3"/>
      <c r="AR97" s="3" t="s">
        <v>1475</v>
      </c>
      <c r="AS97" s="3" t="s">
        <v>5398</v>
      </c>
      <c r="AT97" s="4">
        <v>44281.0337152778</v>
      </c>
    </row>
    <row r="98" ht="15.75" customHeight="1">
      <c r="A98" s="3">
        <v>2044693.0</v>
      </c>
      <c r="B98" s="3" t="s">
        <v>116</v>
      </c>
      <c r="C98" s="3" t="s">
        <v>117</v>
      </c>
      <c r="D98" s="3" t="s">
        <v>46</v>
      </c>
      <c r="E98" s="3" t="s">
        <v>5399</v>
      </c>
      <c r="F98" s="3"/>
      <c r="G98" s="3" t="s">
        <v>119</v>
      </c>
      <c r="H98" s="3" t="s">
        <v>50</v>
      </c>
      <c r="I98" s="3">
        <v>8900.0</v>
      </c>
      <c r="J98" s="3"/>
      <c r="K98" s="3"/>
      <c r="L98" s="3" t="s">
        <v>405</v>
      </c>
      <c r="M98" s="3" t="s">
        <v>5400</v>
      </c>
      <c r="N98" s="3" t="s">
        <v>74</v>
      </c>
      <c r="O98" s="3" t="s">
        <v>75</v>
      </c>
      <c r="P98" s="4">
        <v>44278.7916666667</v>
      </c>
      <c r="Q98" s="3" t="s">
        <v>56</v>
      </c>
      <c r="R98" s="3"/>
      <c r="S98" s="3" t="s">
        <v>400</v>
      </c>
      <c r="T98" s="3">
        <v>4303509.0</v>
      </c>
      <c r="U98" s="3" t="s">
        <v>2354</v>
      </c>
      <c r="V98" s="3" t="s">
        <v>402</v>
      </c>
      <c r="W98" s="3" t="s">
        <v>78</v>
      </c>
      <c r="X98" s="3"/>
      <c r="Y98" s="3" t="str">
        <f>"02023000635202115"</f>
        <v>02023000635202115</v>
      </c>
      <c r="Z98" s="3" t="s">
        <v>79</v>
      </c>
      <c r="AA98" s="3" t="s">
        <v>5401</v>
      </c>
      <c r="AB98" s="3" t="str">
        <f>"***867780**"</f>
        <v>***867780**</v>
      </c>
      <c r="AC98" s="3"/>
      <c r="AD98" s="3"/>
      <c r="AE98" s="3"/>
      <c r="AF98" s="3">
        <v>-51.659722</v>
      </c>
      <c r="AG98" s="3">
        <v>-30.778889</v>
      </c>
      <c r="AH98" s="3" t="s">
        <v>5402</v>
      </c>
      <c r="AI98" s="3"/>
      <c r="AJ98" s="3" t="s">
        <v>405</v>
      </c>
      <c r="AK98" s="3"/>
      <c r="AL98" s="3" t="s">
        <v>128</v>
      </c>
      <c r="AM98" s="3" t="s">
        <v>65</v>
      </c>
      <c r="AN98" s="3" t="s">
        <v>83</v>
      </c>
      <c r="AO98" s="4">
        <v>44280.0</v>
      </c>
      <c r="AP98" s="4">
        <v>44280.4569675926</v>
      </c>
      <c r="AQ98" s="3" t="s">
        <v>132</v>
      </c>
      <c r="AR98" s="3" t="s">
        <v>1046</v>
      </c>
      <c r="AS98" s="3"/>
      <c r="AT98" s="4">
        <v>44281.0337152778</v>
      </c>
    </row>
    <row r="99" ht="15.75" customHeight="1">
      <c r="A99" s="3"/>
      <c r="B99" s="3" t="s">
        <v>46</v>
      </c>
      <c r="C99" s="3" t="s">
        <v>47</v>
      </c>
      <c r="D99" s="3"/>
      <c r="E99" s="3" t="s">
        <v>5403</v>
      </c>
      <c r="F99" s="3"/>
      <c r="G99" s="3" t="s">
        <v>49</v>
      </c>
      <c r="H99" s="3" t="s">
        <v>72</v>
      </c>
      <c r="I99" s="3">
        <v>51300.0</v>
      </c>
      <c r="J99" s="3"/>
      <c r="K99" s="3"/>
      <c r="L99" s="3"/>
      <c r="M99" s="3" t="s">
        <v>5404</v>
      </c>
      <c r="N99" s="3" t="s">
        <v>109</v>
      </c>
      <c r="O99" s="3" t="s">
        <v>110</v>
      </c>
      <c r="P99" s="4">
        <v>44278.7848958333</v>
      </c>
      <c r="Q99" s="3" t="s">
        <v>77</v>
      </c>
      <c r="R99" s="3"/>
      <c r="S99" s="3" t="s">
        <v>1349</v>
      </c>
      <c r="T99" s="3">
        <v>1508100.0</v>
      </c>
      <c r="U99" s="3" t="s">
        <v>5107</v>
      </c>
      <c r="V99" s="3" t="s">
        <v>917</v>
      </c>
      <c r="W99" s="3" t="s">
        <v>100</v>
      </c>
      <c r="X99" s="3"/>
      <c r="Y99" s="3"/>
      <c r="Z99" s="3" t="s">
        <v>112</v>
      </c>
      <c r="AA99" s="3" t="s">
        <v>5405</v>
      </c>
      <c r="AB99" s="3" t="str">
        <f>"22338098000124"</f>
        <v>22338098000124</v>
      </c>
      <c r="AC99" s="3"/>
      <c r="AD99" s="3" t="s">
        <v>62</v>
      </c>
      <c r="AE99" s="3"/>
      <c r="AF99" s="3">
        <v>-49.684333</v>
      </c>
      <c r="AG99" s="3">
        <v>-3.729944</v>
      </c>
      <c r="AH99" s="3" t="s">
        <v>5406</v>
      </c>
      <c r="AI99" s="3"/>
      <c r="AJ99" s="3" t="s">
        <v>120</v>
      </c>
      <c r="AK99" s="3"/>
      <c r="AL99" s="3"/>
      <c r="AM99" s="3" t="s">
        <v>65</v>
      </c>
      <c r="AN99" s="3" t="s">
        <v>5110</v>
      </c>
      <c r="AO99" s="3"/>
      <c r="AP99" s="4">
        <v>44279.3712268519</v>
      </c>
      <c r="AQ99" s="3"/>
      <c r="AR99" s="3" t="s">
        <v>177</v>
      </c>
      <c r="AS99" s="3"/>
      <c r="AT99" s="4">
        <v>44281.0337152778</v>
      </c>
    </row>
    <row r="100" ht="15.75" customHeight="1">
      <c r="A100" s="3"/>
      <c r="B100" s="3" t="s">
        <v>46</v>
      </c>
      <c r="C100" s="3" t="s">
        <v>47</v>
      </c>
      <c r="D100" s="3"/>
      <c r="E100" s="3" t="s">
        <v>5407</v>
      </c>
      <c r="F100" s="3"/>
      <c r="G100" s="3" t="s">
        <v>49</v>
      </c>
      <c r="H100" s="3" t="s">
        <v>50</v>
      </c>
      <c r="I100" s="3">
        <v>500.0</v>
      </c>
      <c r="J100" s="3"/>
      <c r="K100" s="3" t="s">
        <v>51</v>
      </c>
      <c r="L100" s="3"/>
      <c r="M100" s="3" t="s">
        <v>5408</v>
      </c>
      <c r="N100" s="3" t="s">
        <v>94</v>
      </c>
      <c r="O100" s="3" t="s">
        <v>95</v>
      </c>
      <c r="P100" s="4">
        <v>44278.763900463</v>
      </c>
      <c r="Q100" s="3" t="s">
        <v>77</v>
      </c>
      <c r="R100" s="3"/>
      <c r="S100" s="3" t="s">
        <v>220</v>
      </c>
      <c r="T100" s="3">
        <v>3517208.0</v>
      </c>
      <c r="U100" s="3" t="s">
        <v>5409</v>
      </c>
      <c r="V100" s="3" t="s">
        <v>139</v>
      </c>
      <c r="W100" s="3" t="s">
        <v>172</v>
      </c>
      <c r="X100" s="3"/>
      <c r="Y100" s="3"/>
      <c r="Z100" s="3" t="s">
        <v>101</v>
      </c>
      <c r="AA100" s="3" t="s">
        <v>5410</v>
      </c>
      <c r="AB100" s="3" t="str">
        <f>"***228878**"</f>
        <v>***228878**</v>
      </c>
      <c r="AC100" s="3"/>
      <c r="AD100" s="3" t="s">
        <v>81</v>
      </c>
      <c r="AE100" s="3"/>
      <c r="AF100" s="3">
        <v>-49.799222</v>
      </c>
      <c r="AG100" s="3">
        <v>-21.612222</v>
      </c>
      <c r="AH100" s="3" t="s">
        <v>5411</v>
      </c>
      <c r="AI100" s="3"/>
      <c r="AJ100" s="3" t="s">
        <v>371</v>
      </c>
      <c r="AK100" s="3"/>
      <c r="AL100" s="3"/>
      <c r="AM100" s="3" t="s">
        <v>65</v>
      </c>
      <c r="AN100" s="3" t="s">
        <v>159</v>
      </c>
      <c r="AO100" s="3"/>
      <c r="AP100" s="4">
        <v>44278.7821527778</v>
      </c>
      <c r="AQ100" s="3"/>
      <c r="AR100" s="3" t="s">
        <v>5412</v>
      </c>
      <c r="AS100" s="3"/>
      <c r="AT100" s="4">
        <v>44281.0337152778</v>
      </c>
    </row>
    <row r="101" ht="15.75" customHeight="1">
      <c r="A101" s="3"/>
      <c r="B101" s="3" t="s">
        <v>46</v>
      </c>
      <c r="C101" s="3" t="s">
        <v>47</v>
      </c>
      <c r="D101" s="3"/>
      <c r="E101" s="3" t="s">
        <v>5413</v>
      </c>
      <c r="F101" s="3"/>
      <c r="G101" s="3" t="s">
        <v>49</v>
      </c>
      <c r="H101" s="3" t="s">
        <v>72</v>
      </c>
      <c r="I101" s="3">
        <v>1717.8</v>
      </c>
      <c r="J101" s="3"/>
      <c r="K101" s="3"/>
      <c r="L101" s="3"/>
      <c r="M101" s="3" t="s">
        <v>5414</v>
      </c>
      <c r="N101" s="3" t="s">
        <v>109</v>
      </c>
      <c r="O101" s="3" t="s">
        <v>110</v>
      </c>
      <c r="P101" s="4">
        <v>44278.6987037037</v>
      </c>
      <c r="Q101" s="3" t="s">
        <v>77</v>
      </c>
      <c r="R101" s="3"/>
      <c r="S101" s="3" t="s">
        <v>1349</v>
      </c>
      <c r="T101" s="3">
        <v>1508100.0</v>
      </c>
      <c r="U101" s="3" t="s">
        <v>5107</v>
      </c>
      <c r="V101" s="3" t="s">
        <v>917</v>
      </c>
      <c r="W101" s="3" t="s">
        <v>100</v>
      </c>
      <c r="X101" s="3"/>
      <c r="Y101" s="3"/>
      <c r="Z101" s="3" t="s">
        <v>112</v>
      </c>
      <c r="AA101" s="3" t="s">
        <v>5415</v>
      </c>
      <c r="AB101" s="3" t="str">
        <f>"04306372000100"</f>
        <v>04306372000100</v>
      </c>
      <c r="AC101" s="3"/>
      <c r="AD101" s="3" t="s">
        <v>81</v>
      </c>
      <c r="AE101" s="3"/>
      <c r="AF101" s="3">
        <v>-49.683611</v>
      </c>
      <c r="AG101" s="3">
        <v>-3.729722</v>
      </c>
      <c r="AH101" s="3" t="s">
        <v>5416</v>
      </c>
      <c r="AI101" s="3"/>
      <c r="AJ101" s="3" t="s">
        <v>120</v>
      </c>
      <c r="AK101" s="3"/>
      <c r="AL101" s="3"/>
      <c r="AM101" s="3" t="s">
        <v>65</v>
      </c>
      <c r="AN101" s="3" t="s">
        <v>5110</v>
      </c>
      <c r="AO101" s="3"/>
      <c r="AP101" s="4">
        <v>44278.7276388889</v>
      </c>
      <c r="AQ101" s="3"/>
      <c r="AR101" s="3" t="s">
        <v>177</v>
      </c>
      <c r="AS101" s="3"/>
      <c r="AT101" s="4">
        <v>44281.0337152778</v>
      </c>
    </row>
    <row r="102" ht="15.75" customHeight="1">
      <c r="A102" s="3"/>
      <c r="B102" s="3" t="s">
        <v>46</v>
      </c>
      <c r="C102" s="3" t="s">
        <v>47</v>
      </c>
      <c r="D102" s="3"/>
      <c r="E102" s="3" t="s">
        <v>5417</v>
      </c>
      <c r="F102" s="3"/>
      <c r="G102" s="3" t="s">
        <v>49</v>
      </c>
      <c r="H102" s="3" t="s">
        <v>50</v>
      </c>
      <c r="I102" s="3">
        <v>3000.0</v>
      </c>
      <c r="J102" s="3"/>
      <c r="K102" s="3"/>
      <c r="L102" s="3"/>
      <c r="M102" s="3" t="s">
        <v>5418</v>
      </c>
      <c r="N102" s="3" t="s">
        <v>381</v>
      </c>
      <c r="O102" s="3" t="s">
        <v>382</v>
      </c>
      <c r="P102" s="4">
        <v>44278.6953935185</v>
      </c>
      <c r="Q102" s="3" t="s">
        <v>56</v>
      </c>
      <c r="R102" s="3"/>
      <c r="S102" s="3" t="s">
        <v>220</v>
      </c>
      <c r="T102" s="3">
        <v>1100304.0</v>
      </c>
      <c r="U102" s="3" t="s">
        <v>3872</v>
      </c>
      <c r="V102" s="3" t="s">
        <v>125</v>
      </c>
      <c r="W102" s="3" t="s">
        <v>100</v>
      </c>
      <c r="X102" s="3"/>
      <c r="Y102" s="3"/>
      <c r="Z102" s="3" t="s">
        <v>384</v>
      </c>
      <c r="AA102" s="3" t="s">
        <v>5419</v>
      </c>
      <c r="AB102" s="3" t="str">
        <f>"16806894000141"</f>
        <v>16806894000141</v>
      </c>
      <c r="AC102" s="3"/>
      <c r="AD102" s="3" t="s">
        <v>62</v>
      </c>
      <c r="AE102" s="3"/>
      <c r="AF102" s="3">
        <v>-60.131667</v>
      </c>
      <c r="AG102" s="3">
        <v>-12.743889</v>
      </c>
      <c r="AH102" s="3" t="s">
        <v>3872</v>
      </c>
      <c r="AI102" s="3"/>
      <c r="AJ102" s="3" t="s">
        <v>1763</v>
      </c>
      <c r="AK102" s="3"/>
      <c r="AL102" s="3"/>
      <c r="AM102" s="3" t="s">
        <v>65</v>
      </c>
      <c r="AN102" s="3" t="s">
        <v>5317</v>
      </c>
      <c r="AO102" s="3"/>
      <c r="AP102" s="4">
        <v>44278.7004166667</v>
      </c>
      <c r="AQ102" s="3"/>
      <c r="AR102" s="3" t="s">
        <v>318</v>
      </c>
      <c r="AS102" s="3" t="s">
        <v>5420</v>
      </c>
      <c r="AT102" s="4">
        <v>44281.0337152778</v>
      </c>
    </row>
    <row r="103" ht="15.75" customHeight="1">
      <c r="A103" s="3"/>
      <c r="B103" s="3" t="s">
        <v>46</v>
      </c>
      <c r="C103" s="3" t="s">
        <v>47</v>
      </c>
      <c r="D103" s="3"/>
      <c r="E103" s="3" t="s">
        <v>5421</v>
      </c>
      <c r="F103" s="3"/>
      <c r="G103" s="3" t="s">
        <v>49</v>
      </c>
      <c r="H103" s="3" t="s">
        <v>50</v>
      </c>
      <c r="I103" s="3">
        <v>60000.0</v>
      </c>
      <c r="J103" s="3"/>
      <c r="K103" s="3" t="s">
        <v>51</v>
      </c>
      <c r="L103" s="3"/>
      <c r="M103" s="3" t="s">
        <v>5422</v>
      </c>
      <c r="N103" s="3" t="s">
        <v>381</v>
      </c>
      <c r="O103" s="3" t="s">
        <v>382</v>
      </c>
      <c r="P103" s="4">
        <v>44278.6894328704</v>
      </c>
      <c r="Q103" s="3" t="s">
        <v>77</v>
      </c>
      <c r="R103" s="3"/>
      <c r="S103" s="3" t="s">
        <v>220</v>
      </c>
      <c r="T103" s="3">
        <v>1400209.0</v>
      </c>
      <c r="U103" s="3" t="s">
        <v>5423</v>
      </c>
      <c r="V103" s="3" t="s">
        <v>584</v>
      </c>
      <c r="W103" s="3" t="s">
        <v>100</v>
      </c>
      <c r="X103" s="3"/>
      <c r="Y103" s="3"/>
      <c r="Z103" s="3" t="s">
        <v>384</v>
      </c>
      <c r="AA103" s="3" t="s">
        <v>5424</v>
      </c>
      <c r="AB103" s="3" t="str">
        <f>"***323531**"</f>
        <v>***323531**</v>
      </c>
      <c r="AC103" s="3"/>
      <c r="AD103" s="3" t="s">
        <v>62</v>
      </c>
      <c r="AE103" s="3"/>
      <c r="AF103" s="3">
        <v>-61.133417</v>
      </c>
      <c r="AG103" s="3">
        <v>1.803611</v>
      </c>
      <c r="AH103" s="3" t="s">
        <v>5425</v>
      </c>
      <c r="AI103" s="3"/>
      <c r="AJ103" s="3" t="s">
        <v>120</v>
      </c>
      <c r="AK103" s="3"/>
      <c r="AL103" s="3"/>
      <c r="AM103" s="3" t="s">
        <v>65</v>
      </c>
      <c r="AN103" s="3" t="s">
        <v>5426</v>
      </c>
      <c r="AO103" s="3"/>
      <c r="AP103" s="4">
        <v>44280.8684722222</v>
      </c>
      <c r="AQ103" s="3"/>
      <c r="AR103" s="3" t="s">
        <v>746</v>
      </c>
      <c r="AS103" s="3" t="s">
        <v>5427</v>
      </c>
      <c r="AT103" s="4">
        <v>44281.0337152778</v>
      </c>
    </row>
    <row r="104" ht="15.75" customHeight="1">
      <c r="A104" s="3"/>
      <c r="B104" s="3" t="s">
        <v>46</v>
      </c>
      <c r="C104" s="3" t="s">
        <v>47</v>
      </c>
      <c r="D104" s="3"/>
      <c r="E104" s="3" t="s">
        <v>5428</v>
      </c>
      <c r="F104" s="3"/>
      <c r="G104" s="3" t="s">
        <v>49</v>
      </c>
      <c r="H104" s="3" t="s">
        <v>50</v>
      </c>
      <c r="I104" s="3">
        <v>100185.0</v>
      </c>
      <c r="J104" s="3"/>
      <c r="K104" s="3" t="s">
        <v>51</v>
      </c>
      <c r="L104" s="3"/>
      <c r="M104" s="3" t="s">
        <v>5429</v>
      </c>
      <c r="N104" s="3" t="s">
        <v>301</v>
      </c>
      <c r="O104" s="3" t="s">
        <v>302</v>
      </c>
      <c r="P104" s="4">
        <v>44278.6833101852</v>
      </c>
      <c r="Q104" s="3" t="s">
        <v>56</v>
      </c>
      <c r="R104" s="3"/>
      <c r="S104" s="3" t="s">
        <v>169</v>
      </c>
      <c r="T104" s="3">
        <v>5300108.0</v>
      </c>
      <c r="U104" s="3" t="s">
        <v>304</v>
      </c>
      <c r="V104" s="3" t="s">
        <v>305</v>
      </c>
      <c r="W104" s="3" t="s">
        <v>60</v>
      </c>
      <c r="X104" s="3"/>
      <c r="Y104" s="3"/>
      <c r="Z104" s="3" t="s">
        <v>306</v>
      </c>
      <c r="AA104" s="3" t="s">
        <v>61</v>
      </c>
      <c r="AB104" s="3" t="str">
        <f>"33000167000101"</f>
        <v>33000167000101</v>
      </c>
      <c r="AC104" s="3"/>
      <c r="AD104" s="3" t="s">
        <v>62</v>
      </c>
      <c r="AE104" s="3"/>
      <c r="AF104" s="3">
        <v>-48.023333</v>
      </c>
      <c r="AG104" s="3">
        <v>-15.879444</v>
      </c>
      <c r="AH104" s="3" t="s">
        <v>5430</v>
      </c>
      <c r="AI104" s="3"/>
      <c r="AJ104" s="3" t="s">
        <v>1763</v>
      </c>
      <c r="AK104" s="3"/>
      <c r="AL104" s="3"/>
      <c r="AM104" s="3" t="s">
        <v>65</v>
      </c>
      <c r="AN104" s="3" t="s">
        <v>1743</v>
      </c>
      <c r="AO104" s="3"/>
      <c r="AP104" s="4">
        <v>44280.4278703704</v>
      </c>
      <c r="AQ104" s="3"/>
      <c r="AR104" s="3" t="s">
        <v>1765</v>
      </c>
      <c r="AS104" s="3" t="s">
        <v>5234</v>
      </c>
      <c r="AT104" s="4">
        <v>44281.0337152778</v>
      </c>
    </row>
    <row r="105" ht="15.75" customHeight="1">
      <c r="A105" s="3">
        <v>2044723.0</v>
      </c>
      <c r="B105" s="3" t="s">
        <v>116</v>
      </c>
      <c r="C105" s="3" t="s">
        <v>117</v>
      </c>
      <c r="D105" s="3" t="s">
        <v>46</v>
      </c>
      <c r="E105" s="3" t="s">
        <v>5431</v>
      </c>
      <c r="F105" s="3"/>
      <c r="G105" s="3" t="s">
        <v>119</v>
      </c>
      <c r="H105" s="3" t="s">
        <v>72</v>
      </c>
      <c r="I105" s="3">
        <v>1380000.0</v>
      </c>
      <c r="J105" s="3"/>
      <c r="K105" s="3"/>
      <c r="L105" s="3" t="s">
        <v>120</v>
      </c>
      <c r="M105" s="3" t="s">
        <v>5432</v>
      </c>
      <c r="N105" s="3" t="s">
        <v>109</v>
      </c>
      <c r="O105" s="3" t="s">
        <v>110</v>
      </c>
      <c r="P105" s="4">
        <v>44278.6666666667</v>
      </c>
      <c r="Q105" s="3" t="s">
        <v>137</v>
      </c>
      <c r="R105" s="3"/>
      <c r="S105" s="3" t="s">
        <v>608</v>
      </c>
      <c r="T105" s="3">
        <v>1505031.0</v>
      </c>
      <c r="U105" s="3" t="s">
        <v>5077</v>
      </c>
      <c r="V105" s="3" t="s">
        <v>917</v>
      </c>
      <c r="W105" s="3" t="s">
        <v>100</v>
      </c>
      <c r="X105" s="3"/>
      <c r="Y105" s="3" t="str">
        <f>"02001006152202174"</f>
        <v>02001006152202174</v>
      </c>
      <c r="Z105" s="3" t="s">
        <v>112</v>
      </c>
      <c r="AA105" s="3" t="s">
        <v>5433</v>
      </c>
      <c r="AB105" s="3" t="str">
        <f>"***438571**"</f>
        <v>***438571**</v>
      </c>
      <c r="AC105" s="3"/>
      <c r="AD105" s="3"/>
      <c r="AE105" s="3"/>
      <c r="AF105" s="3">
        <v>-55.028611</v>
      </c>
      <c r="AG105" s="3">
        <v>-7.7925</v>
      </c>
      <c r="AH105" s="3" t="s">
        <v>5434</v>
      </c>
      <c r="AI105" s="3"/>
      <c r="AJ105" s="3" t="s">
        <v>120</v>
      </c>
      <c r="AK105" s="3"/>
      <c r="AL105" s="3" t="s">
        <v>128</v>
      </c>
      <c r="AM105" s="3" t="s">
        <v>65</v>
      </c>
      <c r="AN105" s="3" t="s">
        <v>5110</v>
      </c>
      <c r="AO105" s="4">
        <v>44280.0</v>
      </c>
      <c r="AP105" s="4">
        <v>44280.6567824074</v>
      </c>
      <c r="AQ105" s="3" t="s">
        <v>132</v>
      </c>
      <c r="AR105" s="3" t="s">
        <v>2082</v>
      </c>
      <c r="AS105" s="3" t="s">
        <v>5435</v>
      </c>
      <c r="AT105" s="4">
        <v>44281.0337152778</v>
      </c>
    </row>
    <row r="106" ht="15.75" customHeight="1">
      <c r="A106" s="3"/>
      <c r="B106" s="3" t="s">
        <v>46</v>
      </c>
      <c r="C106" s="3" t="s">
        <v>47</v>
      </c>
      <c r="D106" s="3"/>
      <c r="E106" s="3" t="s">
        <v>5436</v>
      </c>
      <c r="F106" s="3"/>
      <c r="G106" s="3" t="s">
        <v>49</v>
      </c>
      <c r="H106" s="3" t="s">
        <v>72</v>
      </c>
      <c r="I106" s="3">
        <v>4360.1</v>
      </c>
      <c r="J106" s="3"/>
      <c r="K106" s="3"/>
      <c r="L106" s="3"/>
      <c r="M106" s="3" t="s">
        <v>5437</v>
      </c>
      <c r="N106" s="3" t="s">
        <v>109</v>
      </c>
      <c r="O106" s="3" t="s">
        <v>110</v>
      </c>
      <c r="P106" s="4">
        <v>44278.6664699074</v>
      </c>
      <c r="Q106" s="3" t="s">
        <v>137</v>
      </c>
      <c r="R106" s="3"/>
      <c r="S106" s="3" t="s">
        <v>582</v>
      </c>
      <c r="T106" s="3">
        <v>1400209.0</v>
      </c>
      <c r="U106" s="3" t="s">
        <v>5423</v>
      </c>
      <c r="V106" s="3" t="s">
        <v>584</v>
      </c>
      <c r="W106" s="3" t="s">
        <v>100</v>
      </c>
      <c r="X106" s="3"/>
      <c r="Y106" s="3"/>
      <c r="Z106" s="3" t="s">
        <v>112</v>
      </c>
      <c r="AA106" s="3" t="s">
        <v>5438</v>
      </c>
      <c r="AB106" s="3" t="str">
        <f>"06109096000107"</f>
        <v>06109096000107</v>
      </c>
      <c r="AC106" s="3"/>
      <c r="AD106" s="3" t="s">
        <v>62</v>
      </c>
      <c r="AE106" s="3"/>
      <c r="AF106" s="3">
        <v>-61.135278</v>
      </c>
      <c r="AG106" s="3">
        <v>1.801944</v>
      </c>
      <c r="AH106" s="3" t="s">
        <v>5439</v>
      </c>
      <c r="AI106" s="3"/>
      <c r="AJ106" s="3" t="s">
        <v>120</v>
      </c>
      <c r="AK106" s="3"/>
      <c r="AL106" s="3"/>
      <c r="AM106" s="3" t="s">
        <v>65</v>
      </c>
      <c r="AN106" s="3" t="s">
        <v>5426</v>
      </c>
      <c r="AO106" s="3"/>
      <c r="AP106" s="4">
        <v>44278.6806481482</v>
      </c>
      <c r="AQ106" s="3"/>
      <c r="AR106" s="3" t="s">
        <v>1295</v>
      </c>
      <c r="AS106" s="3" t="s">
        <v>5440</v>
      </c>
      <c r="AT106" s="4">
        <v>44281.0337152778</v>
      </c>
    </row>
    <row r="107" ht="15.75" customHeight="1">
      <c r="A107" s="3"/>
      <c r="B107" s="3" t="s">
        <v>46</v>
      </c>
      <c r="C107" s="3" t="s">
        <v>47</v>
      </c>
      <c r="D107" s="3"/>
      <c r="E107" s="3" t="s">
        <v>5441</v>
      </c>
      <c r="F107" s="3"/>
      <c r="G107" s="3" t="s">
        <v>49</v>
      </c>
      <c r="H107" s="3" t="s">
        <v>50</v>
      </c>
      <c r="I107" s="3">
        <v>13000.0</v>
      </c>
      <c r="J107" s="3"/>
      <c r="K107" s="3" t="s">
        <v>51</v>
      </c>
      <c r="L107" s="3"/>
      <c r="M107" s="3" t="s">
        <v>5442</v>
      </c>
      <c r="N107" s="3" t="s">
        <v>381</v>
      </c>
      <c r="O107" s="3" t="s">
        <v>382</v>
      </c>
      <c r="P107" s="4">
        <v>44278.6639236111</v>
      </c>
      <c r="Q107" s="3" t="s">
        <v>56</v>
      </c>
      <c r="R107" s="3"/>
      <c r="S107" s="3" t="s">
        <v>359</v>
      </c>
      <c r="T107" s="3">
        <v>3522703.0</v>
      </c>
      <c r="U107" s="3" t="s">
        <v>5443</v>
      </c>
      <c r="V107" s="3" t="s">
        <v>139</v>
      </c>
      <c r="W107" s="3" t="s">
        <v>78</v>
      </c>
      <c r="X107" s="3"/>
      <c r="Y107" s="3"/>
      <c r="Z107" s="3" t="s">
        <v>384</v>
      </c>
      <c r="AA107" s="3" t="s">
        <v>5444</v>
      </c>
      <c r="AB107" s="3" t="str">
        <f t="shared" ref="AB107:AB108" si="10">"10845701000185"</f>
        <v>10845701000185</v>
      </c>
      <c r="AC107" s="3"/>
      <c r="AD107" s="3" t="s">
        <v>62</v>
      </c>
      <c r="AE107" s="3"/>
      <c r="AF107" s="3">
        <v>-48.810278</v>
      </c>
      <c r="AG107" s="3">
        <v>-21.598333</v>
      </c>
      <c r="AH107" s="3" t="s">
        <v>5445</v>
      </c>
      <c r="AI107" s="3"/>
      <c r="AJ107" s="3" t="s">
        <v>1763</v>
      </c>
      <c r="AK107" s="3"/>
      <c r="AL107" s="3"/>
      <c r="AM107" s="3" t="s">
        <v>65</v>
      </c>
      <c r="AN107" s="3" t="s">
        <v>5317</v>
      </c>
      <c r="AO107" s="3"/>
      <c r="AP107" s="4">
        <v>44278.6696296296</v>
      </c>
      <c r="AQ107" s="3"/>
      <c r="AR107" s="3" t="s">
        <v>298</v>
      </c>
      <c r="AS107" s="3" t="s">
        <v>5420</v>
      </c>
      <c r="AT107" s="4">
        <v>44281.0337152778</v>
      </c>
    </row>
    <row r="108" ht="15.75" customHeight="1">
      <c r="A108" s="3"/>
      <c r="B108" s="3" t="s">
        <v>46</v>
      </c>
      <c r="C108" s="3" t="s">
        <v>47</v>
      </c>
      <c r="D108" s="3"/>
      <c r="E108" s="3" t="s">
        <v>5446</v>
      </c>
      <c r="F108" s="3"/>
      <c r="G108" s="3" t="s">
        <v>49</v>
      </c>
      <c r="H108" s="3" t="s">
        <v>50</v>
      </c>
      <c r="I108" s="3">
        <v>13000.0</v>
      </c>
      <c r="J108" s="3"/>
      <c r="K108" s="3"/>
      <c r="L108" s="3"/>
      <c r="M108" s="3" t="s">
        <v>5447</v>
      </c>
      <c r="N108" s="3" t="s">
        <v>381</v>
      </c>
      <c r="O108" s="3" t="s">
        <v>382</v>
      </c>
      <c r="P108" s="4">
        <v>44278.6537615741</v>
      </c>
      <c r="Q108" s="3" t="s">
        <v>56</v>
      </c>
      <c r="R108" s="3"/>
      <c r="S108" s="3" t="s">
        <v>359</v>
      </c>
      <c r="T108" s="3">
        <v>3522703.0</v>
      </c>
      <c r="U108" s="3" t="s">
        <v>5443</v>
      </c>
      <c r="V108" s="3" t="s">
        <v>139</v>
      </c>
      <c r="W108" s="3" t="s">
        <v>78</v>
      </c>
      <c r="X108" s="3"/>
      <c r="Y108" s="3"/>
      <c r="Z108" s="3" t="s">
        <v>384</v>
      </c>
      <c r="AA108" s="3" t="s">
        <v>5444</v>
      </c>
      <c r="AB108" s="3" t="str">
        <f t="shared" si="10"/>
        <v>10845701000185</v>
      </c>
      <c r="AC108" s="3"/>
      <c r="AD108" s="3" t="s">
        <v>62</v>
      </c>
      <c r="AE108" s="3"/>
      <c r="AF108" s="3">
        <v>-48.810278</v>
      </c>
      <c r="AG108" s="3">
        <v>-21.598333</v>
      </c>
      <c r="AH108" s="3" t="s">
        <v>5445</v>
      </c>
      <c r="AI108" s="3"/>
      <c r="AJ108" s="3" t="s">
        <v>1763</v>
      </c>
      <c r="AK108" s="3"/>
      <c r="AL108" s="3"/>
      <c r="AM108" s="3" t="s">
        <v>65</v>
      </c>
      <c r="AN108" s="3" t="s">
        <v>5317</v>
      </c>
      <c r="AO108" s="3"/>
      <c r="AP108" s="4">
        <v>44278.6578819444</v>
      </c>
      <c r="AQ108" s="3"/>
      <c r="AR108" s="3" t="s">
        <v>298</v>
      </c>
      <c r="AS108" s="3" t="s">
        <v>5420</v>
      </c>
      <c r="AT108" s="4">
        <v>44281.0337152778</v>
      </c>
    </row>
    <row r="109" ht="15.75" customHeight="1">
      <c r="A109" s="3"/>
      <c r="B109" s="3" t="s">
        <v>46</v>
      </c>
      <c r="C109" s="3" t="s">
        <v>47</v>
      </c>
      <c r="D109" s="3"/>
      <c r="E109" s="3" t="s">
        <v>5448</v>
      </c>
      <c r="F109" s="3"/>
      <c r="G109" s="3" t="s">
        <v>49</v>
      </c>
      <c r="H109" s="3" t="s">
        <v>50</v>
      </c>
      <c r="I109" s="3">
        <v>11500.0</v>
      </c>
      <c r="J109" s="3"/>
      <c r="K109" s="3" t="s">
        <v>51</v>
      </c>
      <c r="L109" s="3"/>
      <c r="M109" s="3" t="s">
        <v>5449</v>
      </c>
      <c r="N109" s="3" t="s">
        <v>109</v>
      </c>
      <c r="O109" s="3" t="s">
        <v>110</v>
      </c>
      <c r="P109" s="4">
        <v>44278.6465393519</v>
      </c>
      <c r="Q109" s="3" t="s">
        <v>77</v>
      </c>
      <c r="R109" s="3"/>
      <c r="S109" s="3" t="s">
        <v>582</v>
      </c>
      <c r="T109" s="3">
        <v>1400209.0</v>
      </c>
      <c r="U109" s="3" t="s">
        <v>5423</v>
      </c>
      <c r="V109" s="3" t="s">
        <v>584</v>
      </c>
      <c r="W109" s="3" t="s">
        <v>100</v>
      </c>
      <c r="X109" s="3"/>
      <c r="Y109" s="3"/>
      <c r="Z109" s="3" t="s">
        <v>112</v>
      </c>
      <c r="AA109" s="3" t="s">
        <v>5450</v>
      </c>
      <c r="AB109" s="3" t="str">
        <f>"***323531**"</f>
        <v>***323531**</v>
      </c>
      <c r="AC109" s="3"/>
      <c r="AD109" s="3" t="s">
        <v>62</v>
      </c>
      <c r="AE109" s="3"/>
      <c r="AF109" s="3">
        <v>-61.133417</v>
      </c>
      <c r="AG109" s="3">
        <v>1.803611</v>
      </c>
      <c r="AH109" s="3" t="s">
        <v>5451</v>
      </c>
      <c r="AI109" s="3"/>
      <c r="AJ109" s="3" t="s">
        <v>120</v>
      </c>
      <c r="AK109" s="3"/>
      <c r="AL109" s="3"/>
      <c r="AM109" s="3" t="s">
        <v>65</v>
      </c>
      <c r="AN109" s="3" t="s">
        <v>5426</v>
      </c>
      <c r="AO109" s="3"/>
      <c r="AP109" s="4">
        <v>44280.8696180556</v>
      </c>
      <c r="AQ109" s="3"/>
      <c r="AR109" s="3" t="s">
        <v>106</v>
      </c>
      <c r="AS109" s="3" t="s">
        <v>5452</v>
      </c>
      <c r="AT109" s="4">
        <v>44281.0337152778</v>
      </c>
    </row>
    <row r="110" ht="15.75" customHeight="1">
      <c r="A110" s="3"/>
      <c r="B110" s="3" t="s">
        <v>46</v>
      </c>
      <c r="C110" s="3" t="s">
        <v>47</v>
      </c>
      <c r="D110" s="3"/>
      <c r="E110" s="3" t="s">
        <v>5453</v>
      </c>
      <c r="F110" s="3"/>
      <c r="G110" s="3" t="s">
        <v>49</v>
      </c>
      <c r="H110" s="3" t="s">
        <v>72</v>
      </c>
      <c r="I110" s="3">
        <v>5976.35</v>
      </c>
      <c r="J110" s="3"/>
      <c r="K110" s="3"/>
      <c r="L110" s="3"/>
      <c r="M110" s="3" t="s">
        <v>5454</v>
      </c>
      <c r="N110" s="3" t="s">
        <v>109</v>
      </c>
      <c r="O110" s="3" t="s">
        <v>110</v>
      </c>
      <c r="P110" s="4">
        <v>44278.6383333333</v>
      </c>
      <c r="Q110" s="3" t="s">
        <v>77</v>
      </c>
      <c r="R110" s="3"/>
      <c r="S110" s="3" t="s">
        <v>582</v>
      </c>
      <c r="T110" s="3">
        <v>1400209.0</v>
      </c>
      <c r="U110" s="3" t="s">
        <v>5423</v>
      </c>
      <c r="V110" s="3" t="s">
        <v>584</v>
      </c>
      <c r="W110" s="3" t="s">
        <v>100</v>
      </c>
      <c r="X110" s="3"/>
      <c r="Y110" s="3"/>
      <c r="Z110" s="3" t="s">
        <v>112</v>
      </c>
      <c r="AA110" s="3" t="s">
        <v>5455</v>
      </c>
      <c r="AB110" s="3" t="str">
        <f>"84038827000184"</f>
        <v>84038827000184</v>
      </c>
      <c r="AC110" s="3"/>
      <c r="AD110" s="3" t="s">
        <v>62</v>
      </c>
      <c r="AE110" s="3"/>
      <c r="AF110" s="3">
        <v>-61.133417</v>
      </c>
      <c r="AG110" s="3">
        <v>1.802536</v>
      </c>
      <c r="AH110" s="3" t="s">
        <v>5456</v>
      </c>
      <c r="AI110" s="3"/>
      <c r="AJ110" s="3" t="s">
        <v>120</v>
      </c>
      <c r="AK110" s="3"/>
      <c r="AL110" s="3"/>
      <c r="AM110" s="3" t="s">
        <v>65</v>
      </c>
      <c r="AN110" s="3" t="s">
        <v>5426</v>
      </c>
      <c r="AO110" s="3"/>
      <c r="AP110" s="4">
        <v>44278.6568518519</v>
      </c>
      <c r="AQ110" s="3"/>
      <c r="AR110" s="3" t="s">
        <v>455</v>
      </c>
      <c r="AS110" s="3" t="s">
        <v>5457</v>
      </c>
      <c r="AT110" s="4">
        <v>44281.0337152778</v>
      </c>
    </row>
    <row r="111" ht="15.75" customHeight="1">
      <c r="A111" s="3"/>
      <c r="B111" s="3" t="s">
        <v>46</v>
      </c>
      <c r="C111" s="3" t="s">
        <v>47</v>
      </c>
      <c r="D111" s="3"/>
      <c r="E111" s="3" t="s">
        <v>5458</v>
      </c>
      <c r="F111" s="3"/>
      <c r="G111" s="3" t="s">
        <v>49</v>
      </c>
      <c r="H111" s="3" t="s">
        <v>72</v>
      </c>
      <c r="I111" s="3">
        <v>120000.0</v>
      </c>
      <c r="J111" s="3"/>
      <c r="K111" s="3"/>
      <c r="L111" s="3"/>
      <c r="M111" s="3" t="s">
        <v>5459</v>
      </c>
      <c r="N111" s="3" t="s">
        <v>109</v>
      </c>
      <c r="O111" s="3" t="s">
        <v>110</v>
      </c>
      <c r="P111" s="4">
        <v>44278.629212963</v>
      </c>
      <c r="Q111" s="3" t="s">
        <v>56</v>
      </c>
      <c r="R111" s="3"/>
      <c r="S111" s="3" t="s">
        <v>915</v>
      </c>
      <c r="T111" s="3">
        <v>1505031.0</v>
      </c>
      <c r="U111" s="3" t="s">
        <v>5077</v>
      </c>
      <c r="V111" s="3" t="s">
        <v>917</v>
      </c>
      <c r="W111" s="3" t="s">
        <v>100</v>
      </c>
      <c r="X111" s="3"/>
      <c r="Y111" s="3"/>
      <c r="Z111" s="3" t="s">
        <v>112</v>
      </c>
      <c r="AA111" s="3" t="s">
        <v>5460</v>
      </c>
      <c r="AB111" s="3" t="str">
        <f>"***996391**"</f>
        <v>***996391**</v>
      </c>
      <c r="AC111" s="3"/>
      <c r="AD111" s="3" t="s">
        <v>325</v>
      </c>
      <c r="AE111" s="3"/>
      <c r="AF111" s="3">
        <v>-55.020278</v>
      </c>
      <c r="AG111" s="3">
        <v>7.794167</v>
      </c>
      <c r="AH111" s="3" t="s">
        <v>5461</v>
      </c>
      <c r="AI111" s="3"/>
      <c r="AJ111" s="3" t="s">
        <v>120</v>
      </c>
      <c r="AK111" s="3"/>
      <c r="AL111" s="3"/>
      <c r="AM111" s="3" t="s">
        <v>65</v>
      </c>
      <c r="AN111" s="3" t="s">
        <v>5110</v>
      </c>
      <c r="AO111" s="3"/>
      <c r="AP111" s="4">
        <v>44278.6379398148</v>
      </c>
      <c r="AQ111" s="3"/>
      <c r="AR111" s="3" t="s">
        <v>991</v>
      </c>
      <c r="AS111" s="3"/>
      <c r="AT111" s="4">
        <v>44281.0337152778</v>
      </c>
    </row>
    <row r="112" ht="15.75" customHeight="1">
      <c r="A112" s="3"/>
      <c r="B112" s="3" t="s">
        <v>46</v>
      </c>
      <c r="C112" s="3" t="s">
        <v>47</v>
      </c>
      <c r="D112" s="3"/>
      <c r="E112" s="3" t="s">
        <v>5462</v>
      </c>
      <c r="F112" s="3"/>
      <c r="G112" s="3" t="s">
        <v>49</v>
      </c>
      <c r="H112" s="3" t="s">
        <v>72</v>
      </c>
      <c r="I112" s="3">
        <v>1130.0</v>
      </c>
      <c r="J112" s="3"/>
      <c r="K112" s="3"/>
      <c r="L112" s="3"/>
      <c r="M112" s="3" t="s">
        <v>5463</v>
      </c>
      <c r="N112" s="3" t="s">
        <v>257</v>
      </c>
      <c r="O112" s="3" t="s">
        <v>258</v>
      </c>
      <c r="P112" s="4">
        <v>44278.6283333333</v>
      </c>
      <c r="Q112" s="3" t="s">
        <v>56</v>
      </c>
      <c r="R112" s="3"/>
      <c r="S112" s="3" t="s">
        <v>400</v>
      </c>
      <c r="T112" s="3">
        <v>4314902.0</v>
      </c>
      <c r="U112" s="3" t="s">
        <v>2191</v>
      </c>
      <c r="V112" s="3" t="s">
        <v>402</v>
      </c>
      <c r="W112" s="3" t="s">
        <v>78</v>
      </c>
      <c r="X112" s="3"/>
      <c r="Y112" s="3"/>
      <c r="Z112" s="3" t="s">
        <v>260</v>
      </c>
      <c r="AA112" s="3" t="s">
        <v>5464</v>
      </c>
      <c r="AB112" s="3" t="str">
        <f>"***377720**"</f>
        <v>***377720**</v>
      </c>
      <c r="AC112" s="3"/>
      <c r="AD112" s="3" t="s">
        <v>81</v>
      </c>
      <c r="AE112" s="3"/>
      <c r="AF112" s="3">
        <v>-51.226667</v>
      </c>
      <c r="AG112" s="3">
        <v>-30.043056</v>
      </c>
      <c r="AH112" s="3" t="s">
        <v>5465</v>
      </c>
      <c r="AI112" s="3"/>
      <c r="AJ112" s="3" t="s">
        <v>405</v>
      </c>
      <c r="AK112" s="3"/>
      <c r="AL112" s="3"/>
      <c r="AM112" s="3" t="s">
        <v>65</v>
      </c>
      <c r="AN112" s="3" t="s">
        <v>83</v>
      </c>
      <c r="AO112" s="3"/>
      <c r="AP112" s="4">
        <v>44278.6661226852</v>
      </c>
      <c r="AQ112" s="3"/>
      <c r="AR112" s="3" t="s">
        <v>5466</v>
      </c>
      <c r="AS112" s="3"/>
      <c r="AT112" s="4">
        <v>44281.0337152778</v>
      </c>
    </row>
    <row r="113" ht="15.75" customHeight="1">
      <c r="A113" s="3"/>
      <c r="B113" s="3" t="s">
        <v>46</v>
      </c>
      <c r="C113" s="3" t="s">
        <v>47</v>
      </c>
      <c r="D113" s="3"/>
      <c r="E113" s="3" t="s">
        <v>5467</v>
      </c>
      <c r="F113" s="3"/>
      <c r="G113" s="3" t="s">
        <v>49</v>
      </c>
      <c r="H113" s="3" t="s">
        <v>50</v>
      </c>
      <c r="I113" s="3">
        <v>111150.0</v>
      </c>
      <c r="J113" s="3"/>
      <c r="K113" s="3" t="s">
        <v>51</v>
      </c>
      <c r="L113" s="3"/>
      <c r="M113" s="3" t="s">
        <v>5468</v>
      </c>
      <c r="N113" s="3" t="s">
        <v>94</v>
      </c>
      <c r="O113" s="3" t="s">
        <v>95</v>
      </c>
      <c r="P113" s="4">
        <v>44278.605787037</v>
      </c>
      <c r="Q113" s="3" t="s">
        <v>56</v>
      </c>
      <c r="R113" s="3"/>
      <c r="S113" s="3" t="s">
        <v>169</v>
      </c>
      <c r="T113" s="3">
        <v>5300108.0</v>
      </c>
      <c r="U113" s="3" t="s">
        <v>304</v>
      </c>
      <c r="V113" s="3" t="s">
        <v>305</v>
      </c>
      <c r="W113" s="3" t="s">
        <v>60</v>
      </c>
      <c r="X113" s="3"/>
      <c r="Y113" s="3"/>
      <c r="Z113" s="3" t="s">
        <v>101</v>
      </c>
      <c r="AA113" s="3" t="s">
        <v>61</v>
      </c>
      <c r="AB113" s="3" t="str">
        <f>"33000167000101"</f>
        <v>33000167000101</v>
      </c>
      <c r="AC113" s="3"/>
      <c r="AD113" s="3" t="s">
        <v>62</v>
      </c>
      <c r="AE113" s="3"/>
      <c r="AF113" s="3">
        <v>-48.023333</v>
      </c>
      <c r="AG113" s="3">
        <v>-15.879444</v>
      </c>
      <c r="AH113" s="3" t="s">
        <v>5469</v>
      </c>
      <c r="AI113" s="3"/>
      <c r="AJ113" s="3" t="s">
        <v>1763</v>
      </c>
      <c r="AK113" s="3"/>
      <c r="AL113" s="3"/>
      <c r="AM113" s="3" t="s">
        <v>65</v>
      </c>
      <c r="AN113" s="3" t="s">
        <v>1743</v>
      </c>
      <c r="AO113" s="3"/>
      <c r="AP113" s="4">
        <v>44280.4288773148</v>
      </c>
      <c r="AQ113" s="3"/>
      <c r="AR113" s="3" t="s">
        <v>1765</v>
      </c>
      <c r="AS113" s="3" t="s">
        <v>5470</v>
      </c>
      <c r="AT113" s="4">
        <v>44281.0337152778</v>
      </c>
    </row>
    <row r="114" ht="15.75" customHeight="1">
      <c r="A114" s="3"/>
      <c r="B114" s="3" t="s">
        <v>46</v>
      </c>
      <c r="C114" s="3" t="s">
        <v>47</v>
      </c>
      <c r="D114" s="3"/>
      <c r="E114" s="3" t="s">
        <v>5471</v>
      </c>
      <c r="F114" s="3"/>
      <c r="G114" s="3" t="s">
        <v>49</v>
      </c>
      <c r="H114" s="3" t="s">
        <v>50</v>
      </c>
      <c r="I114" s="3">
        <v>1010.0</v>
      </c>
      <c r="J114" s="3"/>
      <c r="K114" s="3" t="s">
        <v>92</v>
      </c>
      <c r="L114" s="3"/>
      <c r="M114" s="3" t="s">
        <v>5472</v>
      </c>
      <c r="N114" s="3" t="s">
        <v>381</v>
      </c>
      <c r="O114" s="3" t="s">
        <v>382</v>
      </c>
      <c r="P114" s="4">
        <v>44278.6033912037</v>
      </c>
      <c r="Q114" s="3" t="s">
        <v>56</v>
      </c>
      <c r="R114" s="3"/>
      <c r="S114" s="3" t="s">
        <v>1349</v>
      </c>
      <c r="T114" s="3">
        <v>1506609.0</v>
      </c>
      <c r="U114" s="3" t="s">
        <v>5250</v>
      </c>
      <c r="V114" s="3" t="s">
        <v>917</v>
      </c>
      <c r="W114" s="3" t="s">
        <v>100</v>
      </c>
      <c r="X114" s="3"/>
      <c r="Y114" s="3"/>
      <c r="Z114" s="3" t="s">
        <v>384</v>
      </c>
      <c r="AA114" s="3" t="s">
        <v>5473</v>
      </c>
      <c r="AB114" s="3" t="str">
        <f>"***469042**"</f>
        <v>***469042**</v>
      </c>
      <c r="AC114" s="3"/>
      <c r="AD114" s="3" t="s">
        <v>62</v>
      </c>
      <c r="AE114" s="3"/>
      <c r="AF114" s="3">
        <v>-47.584444</v>
      </c>
      <c r="AG114" s="3">
        <v>1.338333</v>
      </c>
      <c r="AH114" s="3" t="s">
        <v>5474</v>
      </c>
      <c r="AI114" s="3"/>
      <c r="AJ114" s="3" t="s">
        <v>1346</v>
      </c>
      <c r="AK114" s="3"/>
      <c r="AL114" s="3"/>
      <c r="AM114" s="3" t="s">
        <v>65</v>
      </c>
      <c r="AN114" s="3"/>
      <c r="AO114" s="3"/>
      <c r="AP114" s="4">
        <v>44278.6310416667</v>
      </c>
      <c r="AQ114" s="3"/>
      <c r="AR114" s="3" t="s">
        <v>3983</v>
      </c>
      <c r="AS114" s="3"/>
      <c r="AT114" s="4">
        <v>44281.0337152778</v>
      </c>
    </row>
    <row r="115" ht="15.75" customHeight="1">
      <c r="A115" s="3"/>
      <c r="B115" s="3" t="s">
        <v>46</v>
      </c>
      <c r="C115" s="3" t="s">
        <v>47</v>
      </c>
      <c r="D115" s="3"/>
      <c r="E115" s="3" t="s">
        <v>5475</v>
      </c>
      <c r="F115" s="3"/>
      <c r="G115" s="3" t="s">
        <v>49</v>
      </c>
      <c r="H115" s="3" t="s">
        <v>72</v>
      </c>
      <c r="I115" s="3">
        <v>11619.0</v>
      </c>
      <c r="J115" s="3"/>
      <c r="K115" s="3"/>
      <c r="L115" s="3"/>
      <c r="M115" s="3" t="s">
        <v>5476</v>
      </c>
      <c r="N115" s="3" t="s">
        <v>109</v>
      </c>
      <c r="O115" s="3" t="s">
        <v>110</v>
      </c>
      <c r="P115" s="4">
        <v>44278.6012384259</v>
      </c>
      <c r="Q115" s="3" t="s">
        <v>77</v>
      </c>
      <c r="R115" s="3"/>
      <c r="S115" s="3" t="s">
        <v>582</v>
      </c>
      <c r="T115" s="3">
        <v>1400209.0</v>
      </c>
      <c r="U115" s="3" t="s">
        <v>5423</v>
      </c>
      <c r="V115" s="3" t="s">
        <v>584</v>
      </c>
      <c r="W115" s="3" t="s">
        <v>100</v>
      </c>
      <c r="X115" s="3"/>
      <c r="Y115" s="3"/>
      <c r="Z115" s="3" t="s">
        <v>112</v>
      </c>
      <c r="AA115" s="3" t="s">
        <v>5455</v>
      </c>
      <c r="AB115" s="3" t="str">
        <f>"84038827000184"</f>
        <v>84038827000184</v>
      </c>
      <c r="AC115" s="3"/>
      <c r="AD115" s="3" t="s">
        <v>62</v>
      </c>
      <c r="AE115" s="3"/>
      <c r="AF115" s="3">
        <v>-61.133417</v>
      </c>
      <c r="AG115" s="3">
        <v>1.802536</v>
      </c>
      <c r="AH115" s="3" t="s">
        <v>5477</v>
      </c>
      <c r="AI115" s="3"/>
      <c r="AJ115" s="3" t="s">
        <v>120</v>
      </c>
      <c r="AK115" s="3"/>
      <c r="AL115" s="3"/>
      <c r="AM115" s="3" t="s">
        <v>65</v>
      </c>
      <c r="AN115" s="3" t="s">
        <v>5426</v>
      </c>
      <c r="AO115" s="3"/>
      <c r="AP115" s="4">
        <v>44278.6279513889</v>
      </c>
      <c r="AQ115" s="3"/>
      <c r="AR115" s="3" t="s">
        <v>115</v>
      </c>
      <c r="AS115" s="3" t="s">
        <v>5478</v>
      </c>
      <c r="AT115" s="4">
        <v>44281.0337152778</v>
      </c>
    </row>
    <row r="116" ht="15.75" customHeight="1">
      <c r="A116" s="3"/>
      <c r="B116" s="3" t="s">
        <v>46</v>
      </c>
      <c r="C116" s="3" t="s">
        <v>47</v>
      </c>
      <c r="D116" s="3"/>
      <c r="E116" s="3" t="s">
        <v>5479</v>
      </c>
      <c r="F116" s="3"/>
      <c r="G116" s="3" t="s">
        <v>49</v>
      </c>
      <c r="H116" s="3" t="s">
        <v>72</v>
      </c>
      <c r="I116" s="3">
        <v>1795.8</v>
      </c>
      <c r="J116" s="3"/>
      <c r="K116" s="3"/>
      <c r="L116" s="3"/>
      <c r="M116" s="3" t="s">
        <v>5480</v>
      </c>
      <c r="N116" s="3" t="s">
        <v>109</v>
      </c>
      <c r="O116" s="3" t="s">
        <v>110</v>
      </c>
      <c r="P116" s="4">
        <v>44278.6010416667</v>
      </c>
      <c r="Q116" s="3" t="s">
        <v>137</v>
      </c>
      <c r="R116" s="3"/>
      <c r="S116" s="3" t="s">
        <v>582</v>
      </c>
      <c r="T116" s="3">
        <v>1400209.0</v>
      </c>
      <c r="U116" s="3" t="s">
        <v>5423</v>
      </c>
      <c r="V116" s="3" t="s">
        <v>584</v>
      </c>
      <c r="W116" s="3" t="s">
        <v>100</v>
      </c>
      <c r="X116" s="3"/>
      <c r="Y116" s="3"/>
      <c r="Z116" s="3" t="s">
        <v>112</v>
      </c>
      <c r="AA116" s="3" t="s">
        <v>5481</v>
      </c>
      <c r="AB116" s="3" t="str">
        <f>"06109096000107"</f>
        <v>06109096000107</v>
      </c>
      <c r="AC116" s="3"/>
      <c r="AD116" s="3" t="s">
        <v>62</v>
      </c>
      <c r="AE116" s="3"/>
      <c r="AF116" s="3">
        <v>-61.135278</v>
      </c>
      <c r="AG116" s="3">
        <v>1.801944</v>
      </c>
      <c r="AH116" s="3" t="s">
        <v>5439</v>
      </c>
      <c r="AI116" s="3"/>
      <c r="AJ116" s="3" t="s">
        <v>120</v>
      </c>
      <c r="AK116" s="3"/>
      <c r="AL116" s="3"/>
      <c r="AM116" s="3" t="s">
        <v>65</v>
      </c>
      <c r="AN116" s="3" t="s">
        <v>5426</v>
      </c>
      <c r="AO116" s="3"/>
      <c r="AP116" s="4">
        <v>44278.6587615741</v>
      </c>
      <c r="AQ116" s="3"/>
      <c r="AR116" s="3" t="s">
        <v>177</v>
      </c>
      <c r="AS116" s="3" t="s">
        <v>5482</v>
      </c>
      <c r="AT116" s="4">
        <v>44281.0337152778</v>
      </c>
    </row>
    <row r="117" ht="15.75" customHeight="1">
      <c r="A117" s="3">
        <v>2044660.0</v>
      </c>
      <c r="B117" s="3" t="s">
        <v>116</v>
      </c>
      <c r="C117" s="3" t="s">
        <v>117</v>
      </c>
      <c r="D117" s="3" t="s">
        <v>46</v>
      </c>
      <c r="E117" s="3" t="s">
        <v>5483</v>
      </c>
      <c r="F117" s="3"/>
      <c r="G117" s="3" t="s">
        <v>119</v>
      </c>
      <c r="H117" s="3" t="s">
        <v>50</v>
      </c>
      <c r="I117" s="3">
        <v>1510.0</v>
      </c>
      <c r="J117" s="3"/>
      <c r="K117" s="3"/>
      <c r="L117" s="3" t="s">
        <v>142</v>
      </c>
      <c r="M117" s="3" t="s">
        <v>5484</v>
      </c>
      <c r="N117" s="3" t="s">
        <v>53</v>
      </c>
      <c r="O117" s="3" t="s">
        <v>382</v>
      </c>
      <c r="P117" s="4">
        <v>44278.5833333333</v>
      </c>
      <c r="Q117" s="3" t="s">
        <v>56</v>
      </c>
      <c r="R117" s="3"/>
      <c r="S117" s="3" t="s">
        <v>359</v>
      </c>
      <c r="T117" s="3">
        <v>3549805.0</v>
      </c>
      <c r="U117" s="3" t="s">
        <v>368</v>
      </c>
      <c r="V117" s="3" t="s">
        <v>139</v>
      </c>
      <c r="W117" s="3" t="s">
        <v>78</v>
      </c>
      <c r="X117" s="3"/>
      <c r="Y117" s="3" t="str">
        <f>"02027002904202130"</f>
        <v>02027002904202130</v>
      </c>
      <c r="Z117" s="3" t="s">
        <v>384</v>
      </c>
      <c r="AA117" s="3" t="s">
        <v>5485</v>
      </c>
      <c r="AB117" s="3" t="str">
        <f>"04125955000126"</f>
        <v>04125955000126</v>
      </c>
      <c r="AC117" s="3"/>
      <c r="AD117" s="3"/>
      <c r="AE117" s="3"/>
      <c r="AF117" s="3">
        <v>-40.355556</v>
      </c>
      <c r="AG117" s="3">
        <v>-20.791944</v>
      </c>
      <c r="AH117" s="3" t="s">
        <v>5486</v>
      </c>
      <c r="AI117" s="3"/>
      <c r="AJ117" s="3" t="s">
        <v>142</v>
      </c>
      <c r="AK117" s="3"/>
      <c r="AL117" s="3" t="s">
        <v>128</v>
      </c>
      <c r="AM117" s="3" t="s">
        <v>65</v>
      </c>
      <c r="AN117" s="3" t="s">
        <v>83</v>
      </c>
      <c r="AO117" s="4">
        <v>44279.0</v>
      </c>
      <c r="AP117" s="4">
        <v>44279.4881134259</v>
      </c>
      <c r="AQ117" s="3" t="s">
        <v>132</v>
      </c>
      <c r="AR117" s="3" t="s">
        <v>3975</v>
      </c>
      <c r="AS117" s="3"/>
      <c r="AT117" s="4">
        <v>44281.0337152778</v>
      </c>
    </row>
    <row r="118" ht="15.75" customHeight="1">
      <c r="A118" s="3"/>
      <c r="B118" s="3" t="s">
        <v>46</v>
      </c>
      <c r="C118" s="3" t="s">
        <v>47</v>
      </c>
      <c r="D118" s="3"/>
      <c r="E118" s="3" t="s">
        <v>5487</v>
      </c>
      <c r="F118" s="3"/>
      <c r="G118" s="3" t="s">
        <v>49</v>
      </c>
      <c r="H118" s="3" t="s">
        <v>50</v>
      </c>
      <c r="I118" s="3">
        <v>10000.0</v>
      </c>
      <c r="J118" s="3"/>
      <c r="K118" s="3" t="s">
        <v>51</v>
      </c>
      <c r="L118" s="3"/>
      <c r="M118" s="3" t="s">
        <v>5488</v>
      </c>
      <c r="N118" s="3" t="s">
        <v>109</v>
      </c>
      <c r="O118" s="3" t="s">
        <v>110</v>
      </c>
      <c r="P118" s="4">
        <v>44278.5830671296</v>
      </c>
      <c r="Q118" s="3" t="s">
        <v>77</v>
      </c>
      <c r="R118" s="3"/>
      <c r="S118" s="3" t="s">
        <v>915</v>
      </c>
      <c r="T118" s="3">
        <v>1503606.0</v>
      </c>
      <c r="U118" s="3" t="s">
        <v>5489</v>
      </c>
      <c r="V118" s="3" t="s">
        <v>917</v>
      </c>
      <c r="W118" s="3" t="s">
        <v>100</v>
      </c>
      <c r="X118" s="3"/>
      <c r="Y118" s="3"/>
      <c r="Z118" s="3" t="s">
        <v>112</v>
      </c>
      <c r="AA118" s="3" t="s">
        <v>5490</v>
      </c>
      <c r="AB118" s="3" t="str">
        <f>"***936309**"</f>
        <v>***936309**</v>
      </c>
      <c r="AC118" s="3"/>
      <c r="AD118" s="3" t="s">
        <v>62</v>
      </c>
      <c r="AE118" s="3"/>
      <c r="AF118" s="3">
        <v>-55.564167</v>
      </c>
      <c r="AG118" s="3">
        <v>-6.340278</v>
      </c>
      <c r="AH118" s="3" t="s">
        <v>5491</v>
      </c>
      <c r="AI118" s="3"/>
      <c r="AJ118" s="3" t="s">
        <v>120</v>
      </c>
      <c r="AK118" s="3"/>
      <c r="AL118" s="3"/>
      <c r="AM118" s="3" t="s">
        <v>65</v>
      </c>
      <c r="AN118" s="3" t="s">
        <v>5110</v>
      </c>
      <c r="AO118" s="3"/>
      <c r="AP118" s="4">
        <v>44278.5996875</v>
      </c>
      <c r="AQ118" s="3"/>
      <c r="AR118" s="3" t="s">
        <v>684</v>
      </c>
      <c r="AS118" s="3"/>
      <c r="AT118" s="4">
        <v>44281.0337152778</v>
      </c>
    </row>
    <row r="119" ht="15.75" customHeight="1">
      <c r="A119" s="3"/>
      <c r="B119" s="3" t="s">
        <v>46</v>
      </c>
      <c r="C119" s="3" t="s">
        <v>47</v>
      </c>
      <c r="D119" s="3"/>
      <c r="E119" s="3" t="s">
        <v>5492</v>
      </c>
      <c r="F119" s="3"/>
      <c r="G119" s="3" t="s">
        <v>49</v>
      </c>
      <c r="H119" s="3" t="s">
        <v>72</v>
      </c>
      <c r="I119" s="3">
        <v>1800.0</v>
      </c>
      <c r="J119" s="3"/>
      <c r="K119" s="3"/>
      <c r="L119" s="3"/>
      <c r="M119" s="3" t="s">
        <v>5493</v>
      </c>
      <c r="N119" s="3" t="s">
        <v>285</v>
      </c>
      <c r="O119" s="3" t="s">
        <v>286</v>
      </c>
      <c r="P119" s="4">
        <v>44278.5715046296</v>
      </c>
      <c r="Q119" s="3" t="s">
        <v>137</v>
      </c>
      <c r="R119" s="3"/>
      <c r="S119" s="3" t="s">
        <v>220</v>
      </c>
      <c r="T119" s="3">
        <v>2504009.0</v>
      </c>
      <c r="U119" s="3" t="s">
        <v>5494</v>
      </c>
      <c r="V119" s="3" t="s">
        <v>1175</v>
      </c>
      <c r="W119" s="3" t="s">
        <v>291</v>
      </c>
      <c r="X119" s="3"/>
      <c r="Y119" s="3"/>
      <c r="Z119" s="3" t="s">
        <v>292</v>
      </c>
      <c r="AA119" s="3" t="s">
        <v>5495</v>
      </c>
      <c r="AB119" s="3" t="str">
        <f>"24019866000102"</f>
        <v>24019866000102</v>
      </c>
      <c r="AC119" s="3"/>
      <c r="AD119" s="3" t="s">
        <v>81</v>
      </c>
      <c r="AE119" s="3"/>
      <c r="AF119" s="3">
        <v>-35.898611</v>
      </c>
      <c r="AG119" s="3">
        <v>-7.873583</v>
      </c>
      <c r="AH119" s="3" t="s">
        <v>5496</v>
      </c>
      <c r="AI119" s="3"/>
      <c r="AJ119" s="3" t="s">
        <v>1178</v>
      </c>
      <c r="AK119" s="3"/>
      <c r="AL119" s="3"/>
      <c r="AM119" s="3" t="s">
        <v>65</v>
      </c>
      <c r="AN119" s="3" t="s">
        <v>296</v>
      </c>
      <c r="AO119" s="3"/>
      <c r="AP119" s="4">
        <v>44278.5841898148</v>
      </c>
      <c r="AQ119" s="3"/>
      <c r="AR119" s="3" t="s">
        <v>803</v>
      </c>
      <c r="AS119" s="3"/>
      <c r="AT119" s="4">
        <v>44281.0337152778</v>
      </c>
    </row>
    <row r="120" ht="15.75" customHeight="1">
      <c r="A120" s="3"/>
      <c r="B120" s="3" t="s">
        <v>46</v>
      </c>
      <c r="C120" s="3" t="s">
        <v>47</v>
      </c>
      <c r="D120" s="3"/>
      <c r="E120" s="3" t="s">
        <v>5497</v>
      </c>
      <c r="F120" s="3"/>
      <c r="G120" s="3" t="s">
        <v>49</v>
      </c>
      <c r="H120" s="3" t="s">
        <v>72</v>
      </c>
      <c r="I120" s="3">
        <v>14041.2</v>
      </c>
      <c r="J120" s="3"/>
      <c r="K120" s="3"/>
      <c r="L120" s="3"/>
      <c r="M120" s="3" t="s">
        <v>5498</v>
      </c>
      <c r="N120" s="3" t="s">
        <v>109</v>
      </c>
      <c r="O120" s="3" t="s">
        <v>110</v>
      </c>
      <c r="P120" s="4">
        <v>44278.5652199074</v>
      </c>
      <c r="Q120" s="3" t="s">
        <v>137</v>
      </c>
      <c r="R120" s="3"/>
      <c r="S120" s="3" t="s">
        <v>582</v>
      </c>
      <c r="T120" s="3">
        <v>1400209.0</v>
      </c>
      <c r="U120" s="3" t="s">
        <v>5423</v>
      </c>
      <c r="V120" s="3" t="s">
        <v>584</v>
      </c>
      <c r="W120" s="3" t="s">
        <v>100</v>
      </c>
      <c r="X120" s="3"/>
      <c r="Y120" s="3"/>
      <c r="Z120" s="3" t="s">
        <v>112</v>
      </c>
      <c r="AA120" s="3" t="s">
        <v>5481</v>
      </c>
      <c r="AB120" s="3" t="str">
        <f>"06109096000107"</f>
        <v>06109096000107</v>
      </c>
      <c r="AC120" s="3"/>
      <c r="AD120" s="3" t="s">
        <v>62</v>
      </c>
      <c r="AE120" s="3"/>
      <c r="AF120" s="3">
        <v>-61.135278</v>
      </c>
      <c r="AG120" s="3">
        <v>1.801944</v>
      </c>
      <c r="AH120" s="3" t="s">
        <v>5499</v>
      </c>
      <c r="AI120" s="3"/>
      <c r="AJ120" s="3" t="s">
        <v>120</v>
      </c>
      <c r="AK120" s="3"/>
      <c r="AL120" s="3"/>
      <c r="AM120" s="3" t="s">
        <v>65</v>
      </c>
      <c r="AN120" s="3" t="s">
        <v>5426</v>
      </c>
      <c r="AO120" s="3"/>
      <c r="AP120" s="4">
        <v>44278.5912037037</v>
      </c>
      <c r="AQ120" s="3"/>
      <c r="AR120" s="3" t="s">
        <v>1295</v>
      </c>
      <c r="AS120" s="3" t="s">
        <v>5482</v>
      </c>
      <c r="AT120" s="4">
        <v>44281.0337152778</v>
      </c>
    </row>
    <row r="121" ht="15.75" customHeight="1">
      <c r="A121" s="3"/>
      <c r="B121" s="3" t="s">
        <v>46</v>
      </c>
      <c r="C121" s="3" t="s">
        <v>47</v>
      </c>
      <c r="D121" s="3"/>
      <c r="E121" s="3" t="s">
        <v>5500</v>
      </c>
      <c r="F121" s="3"/>
      <c r="G121" s="3" t="s">
        <v>49</v>
      </c>
      <c r="H121" s="3" t="s">
        <v>72</v>
      </c>
      <c r="I121" s="3">
        <v>5463.0</v>
      </c>
      <c r="J121" s="3"/>
      <c r="K121" s="3"/>
      <c r="L121" s="3"/>
      <c r="M121" s="3" t="s">
        <v>5501</v>
      </c>
      <c r="N121" s="3" t="s">
        <v>109</v>
      </c>
      <c r="O121" s="3" t="s">
        <v>110</v>
      </c>
      <c r="P121" s="4">
        <v>44278.5177546296</v>
      </c>
      <c r="Q121" s="3" t="s">
        <v>137</v>
      </c>
      <c r="R121" s="3"/>
      <c r="S121" s="3" t="s">
        <v>288</v>
      </c>
      <c r="T121" s="3">
        <v>2207009.0</v>
      </c>
      <c r="U121" s="3" t="s">
        <v>4378</v>
      </c>
      <c r="V121" s="3" t="s">
        <v>290</v>
      </c>
      <c r="W121" s="3" t="s">
        <v>172</v>
      </c>
      <c r="X121" s="3"/>
      <c r="Y121" s="3"/>
      <c r="Z121" s="3" t="s">
        <v>112</v>
      </c>
      <c r="AA121" s="3" t="s">
        <v>5502</v>
      </c>
      <c r="AB121" s="3" t="str">
        <f>"***002898**"</f>
        <v>***002898**</v>
      </c>
      <c r="AC121" s="3"/>
      <c r="AD121" s="3" t="s">
        <v>62</v>
      </c>
      <c r="AE121" s="3"/>
      <c r="AF121" s="3">
        <v>-42.124</v>
      </c>
      <c r="AG121" s="3">
        <v>-7.012556</v>
      </c>
      <c r="AH121" s="3" t="s">
        <v>5503</v>
      </c>
      <c r="AI121" s="3"/>
      <c r="AJ121" s="3" t="s">
        <v>295</v>
      </c>
      <c r="AK121" s="3"/>
      <c r="AL121" s="3"/>
      <c r="AM121" s="3" t="s">
        <v>65</v>
      </c>
      <c r="AN121" s="3" t="s">
        <v>83</v>
      </c>
      <c r="AO121" s="3"/>
      <c r="AP121" s="4">
        <v>44278.5224537037</v>
      </c>
      <c r="AQ121" s="3"/>
      <c r="AR121" s="3" t="s">
        <v>115</v>
      </c>
      <c r="AS121" s="3"/>
      <c r="AT121" s="4">
        <v>44281.0337152778</v>
      </c>
    </row>
    <row r="122" ht="15.75" customHeight="1">
      <c r="A122" s="3"/>
      <c r="B122" s="3" t="s">
        <v>46</v>
      </c>
      <c r="C122" s="3" t="s">
        <v>47</v>
      </c>
      <c r="D122" s="3"/>
      <c r="E122" s="3" t="s">
        <v>5504</v>
      </c>
      <c r="F122" s="3"/>
      <c r="G122" s="3" t="s">
        <v>49</v>
      </c>
      <c r="H122" s="3" t="s">
        <v>72</v>
      </c>
      <c r="I122" s="3">
        <v>22661.4</v>
      </c>
      <c r="J122" s="3"/>
      <c r="K122" s="3"/>
      <c r="L122" s="3"/>
      <c r="M122" s="3" t="s">
        <v>5505</v>
      </c>
      <c r="N122" s="3" t="s">
        <v>109</v>
      </c>
      <c r="O122" s="3" t="s">
        <v>110</v>
      </c>
      <c r="P122" s="4">
        <v>44278.502025463</v>
      </c>
      <c r="Q122" s="3" t="s">
        <v>77</v>
      </c>
      <c r="R122" s="3"/>
      <c r="S122" s="3" t="s">
        <v>582</v>
      </c>
      <c r="T122" s="3">
        <v>1400209.0</v>
      </c>
      <c r="U122" s="3" t="s">
        <v>5423</v>
      </c>
      <c r="V122" s="3" t="s">
        <v>584</v>
      </c>
      <c r="W122" s="3" t="s">
        <v>100</v>
      </c>
      <c r="X122" s="3"/>
      <c r="Y122" s="3"/>
      <c r="Z122" s="3" t="s">
        <v>112</v>
      </c>
      <c r="AA122" s="3" t="s">
        <v>5455</v>
      </c>
      <c r="AB122" s="3" t="str">
        <f>"84038827000184"</f>
        <v>84038827000184</v>
      </c>
      <c r="AC122" s="3"/>
      <c r="AD122" s="3" t="s">
        <v>62</v>
      </c>
      <c r="AE122" s="3"/>
      <c r="AF122" s="3">
        <v>-61.133439</v>
      </c>
      <c r="AG122" s="3">
        <v>1.802536</v>
      </c>
      <c r="AH122" s="3" t="s">
        <v>5506</v>
      </c>
      <c r="AI122" s="3"/>
      <c r="AJ122" s="3" t="s">
        <v>120</v>
      </c>
      <c r="AK122" s="3"/>
      <c r="AL122" s="3"/>
      <c r="AM122" s="3" t="s">
        <v>65</v>
      </c>
      <c r="AN122" s="3" t="s">
        <v>5426</v>
      </c>
      <c r="AO122" s="3"/>
      <c r="AP122" s="4">
        <v>44278.5264236111</v>
      </c>
      <c r="AQ122" s="3"/>
      <c r="AR122" s="3" t="s">
        <v>455</v>
      </c>
      <c r="AS122" s="3" t="s">
        <v>5507</v>
      </c>
      <c r="AT122" s="4">
        <v>44281.0337152778</v>
      </c>
    </row>
    <row r="123" ht="15.75" customHeight="1">
      <c r="A123" s="3"/>
      <c r="B123" s="3" t="s">
        <v>46</v>
      </c>
      <c r="C123" s="3" t="s">
        <v>47</v>
      </c>
      <c r="D123" s="3"/>
      <c r="E123" s="3" t="s">
        <v>5508</v>
      </c>
      <c r="F123" s="3"/>
      <c r="G123" s="3" t="s">
        <v>49</v>
      </c>
      <c r="H123" s="3" t="s">
        <v>72</v>
      </c>
      <c r="I123" s="3">
        <v>956.4</v>
      </c>
      <c r="J123" s="3"/>
      <c r="K123" s="3"/>
      <c r="L123" s="3"/>
      <c r="M123" s="3" t="s">
        <v>5509</v>
      </c>
      <c r="N123" s="3" t="s">
        <v>109</v>
      </c>
      <c r="O123" s="3" t="s">
        <v>110</v>
      </c>
      <c r="P123" s="4">
        <v>44278.4848032407</v>
      </c>
      <c r="Q123" s="3" t="s">
        <v>137</v>
      </c>
      <c r="R123" s="3"/>
      <c r="S123" s="3" t="s">
        <v>582</v>
      </c>
      <c r="T123" s="3">
        <v>1400209.0</v>
      </c>
      <c r="U123" s="3" t="s">
        <v>5423</v>
      </c>
      <c r="V123" s="3" t="s">
        <v>584</v>
      </c>
      <c r="W123" s="3" t="s">
        <v>100</v>
      </c>
      <c r="X123" s="3"/>
      <c r="Y123" s="3"/>
      <c r="Z123" s="3" t="s">
        <v>112</v>
      </c>
      <c r="AA123" s="3" t="s">
        <v>5481</v>
      </c>
      <c r="AB123" s="3" t="str">
        <f>"06109096000107"</f>
        <v>06109096000107</v>
      </c>
      <c r="AC123" s="3"/>
      <c r="AD123" s="3" t="s">
        <v>62</v>
      </c>
      <c r="AE123" s="3"/>
      <c r="AF123" s="3">
        <v>-61.135278</v>
      </c>
      <c r="AG123" s="3">
        <v>1.801944</v>
      </c>
      <c r="AH123" s="3" t="s">
        <v>5439</v>
      </c>
      <c r="AI123" s="3"/>
      <c r="AJ123" s="3" t="s">
        <v>120</v>
      </c>
      <c r="AK123" s="3"/>
      <c r="AL123" s="3"/>
      <c r="AM123" s="3" t="s">
        <v>65</v>
      </c>
      <c r="AN123" s="3" t="s">
        <v>5426</v>
      </c>
      <c r="AO123" s="3"/>
      <c r="AP123" s="4">
        <v>44278.4984143519</v>
      </c>
      <c r="AQ123" s="3"/>
      <c r="AR123" s="3" t="s">
        <v>177</v>
      </c>
      <c r="AS123" s="3" t="s">
        <v>5510</v>
      </c>
      <c r="AT123" s="4">
        <v>44281.0337152778</v>
      </c>
    </row>
    <row r="124" ht="15.75" customHeight="1">
      <c r="A124" s="3"/>
      <c r="B124" s="3" t="s">
        <v>46</v>
      </c>
      <c r="C124" s="3" t="s">
        <v>47</v>
      </c>
      <c r="D124" s="3"/>
      <c r="E124" s="3" t="s">
        <v>5511</v>
      </c>
      <c r="F124" s="3"/>
      <c r="G124" s="3" t="s">
        <v>49</v>
      </c>
      <c r="H124" s="3" t="s">
        <v>72</v>
      </c>
      <c r="I124" s="3">
        <v>2445.54</v>
      </c>
      <c r="J124" s="3"/>
      <c r="K124" s="3"/>
      <c r="L124" s="3"/>
      <c r="M124" s="3" t="s">
        <v>5512</v>
      </c>
      <c r="N124" s="3" t="s">
        <v>109</v>
      </c>
      <c r="O124" s="3" t="s">
        <v>110</v>
      </c>
      <c r="P124" s="4">
        <v>44278.4621527778</v>
      </c>
      <c r="Q124" s="3" t="s">
        <v>77</v>
      </c>
      <c r="R124" s="3"/>
      <c r="S124" s="3" t="s">
        <v>582</v>
      </c>
      <c r="T124" s="3">
        <v>1400209.0</v>
      </c>
      <c r="U124" s="3" t="s">
        <v>5423</v>
      </c>
      <c r="V124" s="3" t="s">
        <v>584</v>
      </c>
      <c r="W124" s="3" t="s">
        <v>100</v>
      </c>
      <c r="X124" s="3"/>
      <c r="Y124" s="3"/>
      <c r="Z124" s="3" t="s">
        <v>112</v>
      </c>
      <c r="AA124" s="3" t="s">
        <v>5455</v>
      </c>
      <c r="AB124" s="3" t="str">
        <f>"84038827000184"</f>
        <v>84038827000184</v>
      </c>
      <c r="AC124" s="3"/>
      <c r="AD124" s="3" t="s">
        <v>62</v>
      </c>
      <c r="AE124" s="3"/>
      <c r="AF124" s="3">
        <v>-61.133439</v>
      </c>
      <c r="AG124" s="3">
        <v>1.802536</v>
      </c>
      <c r="AH124" s="3" t="s">
        <v>5513</v>
      </c>
      <c r="AI124" s="3"/>
      <c r="AJ124" s="3" t="s">
        <v>120</v>
      </c>
      <c r="AK124" s="3"/>
      <c r="AL124" s="3"/>
      <c r="AM124" s="3" t="s">
        <v>65</v>
      </c>
      <c r="AN124" s="3" t="s">
        <v>5426</v>
      </c>
      <c r="AO124" s="3"/>
      <c r="AP124" s="4">
        <v>44278.494837963</v>
      </c>
      <c r="AQ124" s="3"/>
      <c r="AR124" s="3" t="s">
        <v>1295</v>
      </c>
      <c r="AS124" s="3" t="s">
        <v>5507</v>
      </c>
      <c r="AT124" s="4">
        <v>44281.0337152778</v>
      </c>
    </row>
    <row r="125" ht="15.75" customHeight="1">
      <c r="A125" s="3">
        <v>2044615.0</v>
      </c>
      <c r="B125" s="3" t="s">
        <v>116</v>
      </c>
      <c r="C125" s="3" t="s">
        <v>117</v>
      </c>
      <c r="D125" s="3" t="s">
        <v>46</v>
      </c>
      <c r="E125" s="3" t="s">
        <v>5514</v>
      </c>
      <c r="F125" s="3"/>
      <c r="G125" s="3" t="s">
        <v>119</v>
      </c>
      <c r="H125" s="3" t="s">
        <v>72</v>
      </c>
      <c r="I125" s="3">
        <v>1800.0</v>
      </c>
      <c r="J125" s="3"/>
      <c r="K125" s="3"/>
      <c r="L125" s="3" t="s">
        <v>1178</v>
      </c>
      <c r="M125" s="3" t="s">
        <v>5515</v>
      </c>
      <c r="N125" s="3" t="s">
        <v>285</v>
      </c>
      <c r="O125" s="3" t="s">
        <v>286</v>
      </c>
      <c r="P125" s="4">
        <v>44278.4583333333</v>
      </c>
      <c r="Q125" s="3" t="s">
        <v>77</v>
      </c>
      <c r="R125" s="5">
        <v>44278.0</v>
      </c>
      <c r="S125" s="3" t="s">
        <v>1173</v>
      </c>
      <c r="T125" s="3">
        <v>2507507.0</v>
      </c>
      <c r="U125" s="3" t="s">
        <v>1189</v>
      </c>
      <c r="V125" s="3" t="s">
        <v>1175</v>
      </c>
      <c r="W125" s="3" t="s">
        <v>78</v>
      </c>
      <c r="X125" s="3"/>
      <c r="Y125" s="3"/>
      <c r="Z125" s="3" t="s">
        <v>292</v>
      </c>
      <c r="AA125" s="3" t="s">
        <v>5516</v>
      </c>
      <c r="AB125" s="3" t="str">
        <f>"27678076000127"</f>
        <v>27678076000127</v>
      </c>
      <c r="AC125" s="3"/>
      <c r="AD125" s="3"/>
      <c r="AE125" s="3"/>
      <c r="AF125" s="3">
        <v>-34.874139</v>
      </c>
      <c r="AG125" s="3">
        <v>-7.179083</v>
      </c>
      <c r="AH125" s="3" t="s">
        <v>5517</v>
      </c>
      <c r="AI125" s="3"/>
      <c r="AJ125" s="3" t="s">
        <v>1178</v>
      </c>
      <c r="AK125" s="3"/>
      <c r="AL125" s="3" t="s">
        <v>128</v>
      </c>
      <c r="AM125" s="3" t="s">
        <v>65</v>
      </c>
      <c r="AN125" s="3" t="s">
        <v>296</v>
      </c>
      <c r="AO125" s="4">
        <v>44278.0</v>
      </c>
      <c r="AP125" s="4">
        <v>44278.6829976852</v>
      </c>
      <c r="AQ125" s="3" t="s">
        <v>132</v>
      </c>
      <c r="AR125" s="3" t="s">
        <v>952</v>
      </c>
      <c r="AS125" s="3"/>
      <c r="AT125" s="4">
        <v>44281.0337152778</v>
      </c>
    </row>
    <row r="126" ht="15.75" customHeight="1">
      <c r="A126" s="3">
        <v>2044722.0</v>
      </c>
      <c r="B126" s="3" t="s">
        <v>116</v>
      </c>
      <c r="C126" s="3" t="s">
        <v>117</v>
      </c>
      <c r="D126" s="3" t="s">
        <v>46</v>
      </c>
      <c r="E126" s="3" t="s">
        <v>5518</v>
      </c>
      <c r="F126" s="3"/>
      <c r="G126" s="3" t="s">
        <v>119</v>
      </c>
      <c r="H126" s="3" t="s">
        <v>72</v>
      </c>
      <c r="I126" s="3">
        <v>90000.0</v>
      </c>
      <c r="J126" s="3"/>
      <c r="K126" s="3"/>
      <c r="L126" s="3" t="s">
        <v>120</v>
      </c>
      <c r="M126" s="3" t="s">
        <v>5519</v>
      </c>
      <c r="N126" s="3" t="s">
        <v>109</v>
      </c>
      <c r="O126" s="3" t="s">
        <v>110</v>
      </c>
      <c r="P126" s="4">
        <v>44278.4583333333</v>
      </c>
      <c r="Q126" s="3" t="s">
        <v>77</v>
      </c>
      <c r="R126" s="5">
        <v>44278.0</v>
      </c>
      <c r="S126" s="3" t="s">
        <v>220</v>
      </c>
      <c r="T126" s="3">
        <v>1505031.0</v>
      </c>
      <c r="U126" s="3" t="s">
        <v>5077</v>
      </c>
      <c r="V126" s="3" t="s">
        <v>917</v>
      </c>
      <c r="W126" s="3" t="s">
        <v>100</v>
      </c>
      <c r="X126" s="3"/>
      <c r="Y126" s="3" t="str">
        <f>"02001006151202120"</f>
        <v>02001006151202120</v>
      </c>
      <c r="Z126" s="3" t="s">
        <v>112</v>
      </c>
      <c r="AA126" s="3" t="s">
        <v>5520</v>
      </c>
      <c r="AB126" s="3" t="str">
        <f>"***227551**"</f>
        <v>***227551**</v>
      </c>
      <c r="AC126" s="3"/>
      <c r="AD126" s="3"/>
      <c r="AE126" s="3"/>
      <c r="AF126" s="3">
        <v>-55.041083</v>
      </c>
      <c r="AG126" s="3">
        <v>-7.793417</v>
      </c>
      <c r="AH126" s="3" t="s">
        <v>5521</v>
      </c>
      <c r="AI126" s="3"/>
      <c r="AJ126" s="3" t="s">
        <v>120</v>
      </c>
      <c r="AK126" s="3"/>
      <c r="AL126" s="3" t="s">
        <v>128</v>
      </c>
      <c r="AM126" s="3" t="s">
        <v>65</v>
      </c>
      <c r="AN126" s="3" t="s">
        <v>5110</v>
      </c>
      <c r="AO126" s="4">
        <v>44280.0</v>
      </c>
      <c r="AP126" s="4">
        <v>44280.6531365741</v>
      </c>
      <c r="AQ126" s="3" t="s">
        <v>132</v>
      </c>
      <c r="AR126" s="3" t="s">
        <v>2082</v>
      </c>
      <c r="AS126" s="3"/>
      <c r="AT126" s="4">
        <v>44281.0337152778</v>
      </c>
    </row>
    <row r="127" ht="15.75" customHeight="1">
      <c r="A127" s="3"/>
      <c r="B127" s="3" t="s">
        <v>46</v>
      </c>
      <c r="C127" s="3" t="s">
        <v>47</v>
      </c>
      <c r="D127" s="3"/>
      <c r="E127" s="3" t="s">
        <v>5522</v>
      </c>
      <c r="F127" s="3"/>
      <c r="G127" s="3" t="s">
        <v>49</v>
      </c>
      <c r="H127" s="3" t="s">
        <v>72</v>
      </c>
      <c r="I127" s="3">
        <v>145000.0</v>
      </c>
      <c r="J127" s="3"/>
      <c r="K127" s="3"/>
      <c r="L127" s="3"/>
      <c r="M127" s="3" t="s">
        <v>5523</v>
      </c>
      <c r="N127" s="3" t="s">
        <v>109</v>
      </c>
      <c r="O127" s="3" t="s">
        <v>110</v>
      </c>
      <c r="P127" s="4">
        <v>44278.4394907407</v>
      </c>
      <c r="Q127" s="3" t="s">
        <v>77</v>
      </c>
      <c r="R127" s="3"/>
      <c r="S127" s="3" t="s">
        <v>915</v>
      </c>
      <c r="T127" s="3">
        <v>1505031.0</v>
      </c>
      <c r="U127" s="3" t="s">
        <v>5077</v>
      </c>
      <c r="V127" s="3" t="s">
        <v>917</v>
      </c>
      <c r="W127" s="3" t="s">
        <v>100</v>
      </c>
      <c r="X127" s="3"/>
      <c r="Y127" s="3"/>
      <c r="Z127" s="3" t="s">
        <v>112</v>
      </c>
      <c r="AA127" s="3" t="s">
        <v>5524</v>
      </c>
      <c r="AB127" s="3" t="str">
        <f>"***440461**"</f>
        <v>***440461**</v>
      </c>
      <c r="AC127" s="3"/>
      <c r="AD127" s="3" t="s">
        <v>325</v>
      </c>
      <c r="AE127" s="3"/>
      <c r="AF127" s="3">
        <v>-55.018289</v>
      </c>
      <c r="AG127" s="3">
        <v>-1.793472</v>
      </c>
      <c r="AH127" s="3" t="s">
        <v>5525</v>
      </c>
      <c r="AI127" s="3"/>
      <c r="AJ127" s="3" t="s">
        <v>120</v>
      </c>
      <c r="AK127" s="3"/>
      <c r="AL127" s="3"/>
      <c r="AM127" s="3" t="s">
        <v>65</v>
      </c>
      <c r="AN127" s="3" t="s">
        <v>5110</v>
      </c>
      <c r="AO127" s="3"/>
      <c r="AP127" s="4">
        <v>44278.46125</v>
      </c>
      <c r="AQ127" s="3"/>
      <c r="AR127" s="3" t="s">
        <v>991</v>
      </c>
      <c r="AS127" s="3"/>
      <c r="AT127" s="4">
        <v>44281.0337152778</v>
      </c>
    </row>
    <row r="128" ht="15.75" customHeight="1">
      <c r="A128" s="3"/>
      <c r="B128" s="3" t="s">
        <v>46</v>
      </c>
      <c r="C128" s="3" t="s">
        <v>47</v>
      </c>
      <c r="D128" s="3"/>
      <c r="E128" s="3" t="s">
        <v>5526</v>
      </c>
      <c r="F128" s="3"/>
      <c r="G128" s="3" t="s">
        <v>49</v>
      </c>
      <c r="H128" s="3" t="s">
        <v>72</v>
      </c>
      <c r="I128" s="3">
        <v>245985.6</v>
      </c>
      <c r="J128" s="3"/>
      <c r="K128" s="3"/>
      <c r="L128" s="3"/>
      <c r="M128" s="3" t="s">
        <v>5527</v>
      </c>
      <c r="N128" s="3" t="s">
        <v>109</v>
      </c>
      <c r="O128" s="3" t="s">
        <v>110</v>
      </c>
      <c r="P128" s="4">
        <v>44278.4187268518</v>
      </c>
      <c r="Q128" s="3" t="s">
        <v>137</v>
      </c>
      <c r="R128" s="3"/>
      <c r="S128" s="3" t="s">
        <v>582</v>
      </c>
      <c r="T128" s="3">
        <v>1400209.0</v>
      </c>
      <c r="U128" s="3" t="s">
        <v>5423</v>
      </c>
      <c r="V128" s="3" t="s">
        <v>584</v>
      </c>
      <c r="W128" s="3" t="s">
        <v>100</v>
      </c>
      <c r="X128" s="3"/>
      <c r="Y128" s="3"/>
      <c r="Z128" s="3" t="s">
        <v>112</v>
      </c>
      <c r="AA128" s="3" t="s">
        <v>5481</v>
      </c>
      <c r="AB128" s="3" t="str">
        <f>"06109096000107"</f>
        <v>06109096000107</v>
      </c>
      <c r="AC128" s="3"/>
      <c r="AD128" s="3" t="s">
        <v>62</v>
      </c>
      <c r="AE128" s="3"/>
      <c r="AF128" s="3">
        <v>-61.135278</v>
      </c>
      <c r="AG128" s="3">
        <v>1.801944</v>
      </c>
      <c r="AH128" s="3" t="s">
        <v>5528</v>
      </c>
      <c r="AI128" s="3"/>
      <c r="AJ128" s="3" t="s">
        <v>120</v>
      </c>
      <c r="AK128" s="3"/>
      <c r="AL128" s="3"/>
      <c r="AM128" s="3" t="s">
        <v>65</v>
      </c>
      <c r="AN128" s="3" t="s">
        <v>5426</v>
      </c>
      <c r="AO128" s="3"/>
      <c r="AP128" s="4">
        <v>44278.4788773148</v>
      </c>
      <c r="AQ128" s="3"/>
      <c r="AR128" s="3" t="s">
        <v>1295</v>
      </c>
      <c r="AS128" s="3" t="s">
        <v>5529</v>
      </c>
      <c r="AT128" s="4">
        <v>44281.0337152778</v>
      </c>
    </row>
    <row r="129" ht="15.75" customHeight="1">
      <c r="A129" s="3"/>
      <c r="B129" s="3" t="s">
        <v>46</v>
      </c>
      <c r="C129" s="3" t="s">
        <v>47</v>
      </c>
      <c r="D129" s="3"/>
      <c r="E129" s="3" t="s">
        <v>5530</v>
      </c>
      <c r="F129" s="3"/>
      <c r="G129" s="3" t="s">
        <v>49</v>
      </c>
      <c r="H129" s="3" t="s">
        <v>50</v>
      </c>
      <c r="I129" s="3">
        <v>21000.0</v>
      </c>
      <c r="J129" s="3"/>
      <c r="K129" s="3" t="s">
        <v>92</v>
      </c>
      <c r="L129" s="3"/>
      <c r="M129" s="3" t="s">
        <v>5531</v>
      </c>
      <c r="N129" s="3" t="s">
        <v>301</v>
      </c>
      <c r="O129" s="3" t="s">
        <v>302</v>
      </c>
      <c r="P129" s="4">
        <v>44278.4178587963</v>
      </c>
      <c r="Q129" s="3" t="s">
        <v>77</v>
      </c>
      <c r="R129" s="3"/>
      <c r="S129" s="3" t="s">
        <v>437</v>
      </c>
      <c r="T129" s="3">
        <v>2301109.0</v>
      </c>
      <c r="U129" s="3" t="s">
        <v>1130</v>
      </c>
      <c r="V129" s="3" t="s">
        <v>439</v>
      </c>
      <c r="W129" s="3" t="s">
        <v>60</v>
      </c>
      <c r="X129" s="3"/>
      <c r="Y129" s="3"/>
      <c r="Z129" s="3" t="s">
        <v>306</v>
      </c>
      <c r="AA129" s="3" t="s">
        <v>5532</v>
      </c>
      <c r="AB129" s="3" t="str">
        <f>"***285913**"</f>
        <v>***285913**</v>
      </c>
      <c r="AC129" s="3"/>
      <c r="AD129" s="3" t="s">
        <v>62</v>
      </c>
      <c r="AE129" s="3"/>
      <c r="AF129" s="3">
        <v>-37.702778</v>
      </c>
      <c r="AG129" s="3">
        <v>-4.523333</v>
      </c>
      <c r="AH129" s="3" t="s">
        <v>5201</v>
      </c>
      <c r="AI129" s="3"/>
      <c r="AJ129" s="3" t="s">
        <v>442</v>
      </c>
      <c r="AK129" s="3"/>
      <c r="AL129" s="3"/>
      <c r="AM129" s="3" t="s">
        <v>65</v>
      </c>
      <c r="AN129" s="3" t="s">
        <v>159</v>
      </c>
      <c r="AO129" s="3"/>
      <c r="AP129" s="4">
        <v>44278.4207407407</v>
      </c>
      <c r="AQ129" s="3"/>
      <c r="AR129" s="3" t="s">
        <v>5202</v>
      </c>
      <c r="AS129" s="3"/>
      <c r="AT129" s="4">
        <v>44281.0337152778</v>
      </c>
    </row>
    <row r="130" ht="15.75" customHeight="1">
      <c r="A130" s="3">
        <v>2044717.0</v>
      </c>
      <c r="B130" s="3" t="s">
        <v>116</v>
      </c>
      <c r="C130" s="3" t="s">
        <v>117</v>
      </c>
      <c r="D130" s="3" t="s">
        <v>46</v>
      </c>
      <c r="E130" s="3" t="s">
        <v>5533</v>
      </c>
      <c r="F130" s="3"/>
      <c r="G130" s="3" t="s">
        <v>119</v>
      </c>
      <c r="H130" s="3" t="s">
        <v>72</v>
      </c>
      <c r="I130" s="3">
        <v>195000.0</v>
      </c>
      <c r="J130" s="3"/>
      <c r="K130" s="3"/>
      <c r="L130" s="3" t="s">
        <v>120</v>
      </c>
      <c r="M130" s="3" t="s">
        <v>5534</v>
      </c>
      <c r="N130" s="3" t="s">
        <v>109</v>
      </c>
      <c r="O130" s="3" t="s">
        <v>110</v>
      </c>
      <c r="P130" s="4">
        <v>44278.4166666667</v>
      </c>
      <c r="Q130" s="3" t="s">
        <v>77</v>
      </c>
      <c r="R130" s="5">
        <v>44278.0</v>
      </c>
      <c r="S130" s="3" t="s">
        <v>220</v>
      </c>
      <c r="T130" s="3">
        <v>1505031.0</v>
      </c>
      <c r="U130" s="3" t="s">
        <v>5077</v>
      </c>
      <c r="V130" s="3" t="s">
        <v>917</v>
      </c>
      <c r="W130" s="3" t="s">
        <v>100</v>
      </c>
      <c r="X130" s="3"/>
      <c r="Y130" s="3" t="str">
        <f>"02001006148202114"</f>
        <v>02001006148202114</v>
      </c>
      <c r="Z130" s="3" t="s">
        <v>112</v>
      </c>
      <c r="AA130" s="3" t="s">
        <v>5535</v>
      </c>
      <c r="AB130" s="3" t="str">
        <f>"***001161**"</f>
        <v>***001161**</v>
      </c>
      <c r="AC130" s="3"/>
      <c r="AD130" s="3"/>
      <c r="AE130" s="3"/>
      <c r="AF130" s="3">
        <v>-55.041944</v>
      </c>
      <c r="AG130" s="3">
        <v>-7.797861</v>
      </c>
      <c r="AH130" s="3" t="s">
        <v>5536</v>
      </c>
      <c r="AI130" s="3"/>
      <c r="AJ130" s="3" t="s">
        <v>120</v>
      </c>
      <c r="AK130" s="3"/>
      <c r="AL130" s="3" t="s">
        <v>128</v>
      </c>
      <c r="AM130" s="3" t="s">
        <v>65</v>
      </c>
      <c r="AN130" s="3" t="s">
        <v>5110</v>
      </c>
      <c r="AO130" s="4">
        <v>44280.0</v>
      </c>
      <c r="AP130" s="4">
        <v>44280.6348842593</v>
      </c>
      <c r="AQ130" s="3" t="s">
        <v>132</v>
      </c>
      <c r="AR130" s="3" t="s">
        <v>2082</v>
      </c>
      <c r="AS130" s="3"/>
      <c r="AT130" s="4">
        <v>44281.0337152778</v>
      </c>
    </row>
    <row r="131" ht="15.75" customHeight="1">
      <c r="A131" s="3"/>
      <c r="B131" s="3" t="s">
        <v>46</v>
      </c>
      <c r="C131" s="3" t="s">
        <v>47</v>
      </c>
      <c r="D131" s="3"/>
      <c r="E131" s="3" t="s">
        <v>5537</v>
      </c>
      <c r="F131" s="3"/>
      <c r="G131" s="3" t="s">
        <v>49</v>
      </c>
      <c r="H131" s="3" t="s">
        <v>50</v>
      </c>
      <c r="I131" s="3">
        <v>21000.0</v>
      </c>
      <c r="J131" s="3"/>
      <c r="K131" s="3" t="s">
        <v>92</v>
      </c>
      <c r="L131" s="3"/>
      <c r="M131" s="3" t="s">
        <v>5531</v>
      </c>
      <c r="N131" s="3" t="s">
        <v>301</v>
      </c>
      <c r="O131" s="3" t="s">
        <v>302</v>
      </c>
      <c r="P131" s="4">
        <v>44278.4128125</v>
      </c>
      <c r="Q131" s="3" t="s">
        <v>77</v>
      </c>
      <c r="R131" s="3"/>
      <c r="S131" s="3" t="s">
        <v>437</v>
      </c>
      <c r="T131" s="3">
        <v>2301109.0</v>
      </c>
      <c r="U131" s="3" t="s">
        <v>1130</v>
      </c>
      <c r="V131" s="3" t="s">
        <v>439</v>
      </c>
      <c r="W131" s="3" t="s">
        <v>60</v>
      </c>
      <c r="X131" s="3"/>
      <c r="Y131" s="3"/>
      <c r="Z131" s="3" t="s">
        <v>306</v>
      </c>
      <c r="AA131" s="3" t="s">
        <v>5538</v>
      </c>
      <c r="AB131" s="3" t="str">
        <f>"***070838**"</f>
        <v>***070838**</v>
      </c>
      <c r="AC131" s="3"/>
      <c r="AD131" s="3" t="s">
        <v>62</v>
      </c>
      <c r="AE131" s="3"/>
      <c r="AF131" s="3">
        <v>-37.703056</v>
      </c>
      <c r="AG131" s="3">
        <v>-4.523056</v>
      </c>
      <c r="AH131" s="3" t="s">
        <v>5201</v>
      </c>
      <c r="AI131" s="3"/>
      <c r="AJ131" s="3" t="s">
        <v>442</v>
      </c>
      <c r="AK131" s="3"/>
      <c r="AL131" s="3"/>
      <c r="AM131" s="3" t="s">
        <v>65</v>
      </c>
      <c r="AN131" s="3" t="s">
        <v>159</v>
      </c>
      <c r="AO131" s="3"/>
      <c r="AP131" s="4">
        <v>44278.4157175926</v>
      </c>
      <c r="AQ131" s="3"/>
      <c r="AR131" s="3" t="s">
        <v>5202</v>
      </c>
      <c r="AS131" s="3"/>
      <c r="AT131" s="4">
        <v>44281.0337152778</v>
      </c>
    </row>
    <row r="132" ht="15.75" customHeight="1">
      <c r="A132" s="3"/>
      <c r="B132" s="3" t="s">
        <v>46</v>
      </c>
      <c r="C132" s="3" t="s">
        <v>47</v>
      </c>
      <c r="D132" s="3"/>
      <c r="E132" s="3" t="s">
        <v>5539</v>
      </c>
      <c r="F132" s="3"/>
      <c r="G132" s="3" t="s">
        <v>49</v>
      </c>
      <c r="H132" s="3" t="s">
        <v>50</v>
      </c>
      <c r="I132" s="3">
        <v>21000.0</v>
      </c>
      <c r="J132" s="3"/>
      <c r="K132" s="3" t="s">
        <v>92</v>
      </c>
      <c r="L132" s="3"/>
      <c r="M132" s="3" t="s">
        <v>5540</v>
      </c>
      <c r="N132" s="3" t="s">
        <v>301</v>
      </c>
      <c r="O132" s="3" t="s">
        <v>302</v>
      </c>
      <c r="P132" s="4">
        <v>44278.3852546296</v>
      </c>
      <c r="Q132" s="3" t="s">
        <v>77</v>
      </c>
      <c r="R132" s="3"/>
      <c r="S132" s="3" t="s">
        <v>437</v>
      </c>
      <c r="T132" s="3">
        <v>2301109.0</v>
      </c>
      <c r="U132" s="3" t="s">
        <v>1130</v>
      </c>
      <c r="V132" s="3" t="s">
        <v>439</v>
      </c>
      <c r="W132" s="3" t="s">
        <v>60</v>
      </c>
      <c r="X132" s="3"/>
      <c r="Y132" s="3"/>
      <c r="Z132" s="3" t="s">
        <v>306</v>
      </c>
      <c r="AA132" s="3" t="s">
        <v>5541</v>
      </c>
      <c r="AB132" s="3" t="str">
        <f>"***622233**"</f>
        <v>***622233**</v>
      </c>
      <c r="AC132" s="3"/>
      <c r="AD132" s="3" t="s">
        <v>62</v>
      </c>
      <c r="AE132" s="3"/>
      <c r="AF132" s="3">
        <v>-37.699722</v>
      </c>
      <c r="AG132" s="3">
        <v>-4.524722</v>
      </c>
      <c r="AH132" s="3" t="s">
        <v>5201</v>
      </c>
      <c r="AI132" s="3"/>
      <c r="AJ132" s="3" t="s">
        <v>442</v>
      </c>
      <c r="AK132" s="3"/>
      <c r="AL132" s="3"/>
      <c r="AM132" s="3" t="s">
        <v>65</v>
      </c>
      <c r="AN132" s="3" t="s">
        <v>159</v>
      </c>
      <c r="AO132" s="3"/>
      <c r="AP132" s="4">
        <v>44278.393900463</v>
      </c>
      <c r="AQ132" s="3"/>
      <c r="AR132" s="3" t="s">
        <v>5202</v>
      </c>
      <c r="AS132" s="3"/>
      <c r="AT132" s="4">
        <v>44281.0337152778</v>
      </c>
    </row>
    <row r="133" ht="15.75" customHeight="1">
      <c r="A133" s="3"/>
      <c r="B133" s="3" t="s">
        <v>46</v>
      </c>
      <c r="C133" s="3" t="s">
        <v>47</v>
      </c>
      <c r="D133" s="3"/>
      <c r="E133" s="3" t="s">
        <v>5542</v>
      </c>
      <c r="F133" s="3"/>
      <c r="G133" s="3" t="s">
        <v>49</v>
      </c>
      <c r="H133" s="3" t="s">
        <v>72</v>
      </c>
      <c r="I133" s="3">
        <v>11882.1</v>
      </c>
      <c r="J133" s="3"/>
      <c r="K133" s="3"/>
      <c r="L133" s="3"/>
      <c r="M133" s="3" t="s">
        <v>5543</v>
      </c>
      <c r="N133" s="3" t="s">
        <v>109</v>
      </c>
      <c r="O133" s="3" t="s">
        <v>110</v>
      </c>
      <c r="P133" s="4">
        <v>44278.3827430556</v>
      </c>
      <c r="Q133" s="3" t="s">
        <v>137</v>
      </c>
      <c r="R133" s="3"/>
      <c r="S133" s="3" t="s">
        <v>148</v>
      </c>
      <c r="T133" s="3">
        <v>1100205.0</v>
      </c>
      <c r="U133" s="3" t="s">
        <v>242</v>
      </c>
      <c r="V133" s="3" t="s">
        <v>125</v>
      </c>
      <c r="W133" s="3" t="s">
        <v>100</v>
      </c>
      <c r="X133" s="3"/>
      <c r="Y133" s="3"/>
      <c r="Z133" s="3" t="s">
        <v>112</v>
      </c>
      <c r="AA133" s="3" t="s">
        <v>5544</v>
      </c>
      <c r="AB133" s="3" t="str">
        <f>"33741503000177"</f>
        <v>33741503000177</v>
      </c>
      <c r="AC133" s="3"/>
      <c r="AD133" s="3" t="s">
        <v>62</v>
      </c>
      <c r="AE133" s="3"/>
      <c r="AF133" s="3">
        <v>-66.630556</v>
      </c>
      <c r="AG133" s="3">
        <v>-9.785556</v>
      </c>
      <c r="AH133" s="3" t="s">
        <v>5325</v>
      </c>
      <c r="AI133" s="3"/>
      <c r="AJ133" s="3" t="s">
        <v>120</v>
      </c>
      <c r="AK133" s="3"/>
      <c r="AL133" s="3"/>
      <c r="AM133" s="3" t="s">
        <v>65</v>
      </c>
      <c r="AN133" s="3" t="s">
        <v>5102</v>
      </c>
      <c r="AO133" s="3"/>
      <c r="AP133" s="4">
        <v>44280.4078587963</v>
      </c>
      <c r="AQ133" s="3"/>
      <c r="AR133" s="3" t="s">
        <v>5545</v>
      </c>
      <c r="AS133" s="3"/>
      <c r="AT133" s="4">
        <v>44281.0337152778</v>
      </c>
    </row>
    <row r="134" ht="15.75" customHeight="1">
      <c r="A134" s="3"/>
      <c r="B134" s="3" t="s">
        <v>46</v>
      </c>
      <c r="C134" s="3" t="s">
        <v>47</v>
      </c>
      <c r="D134" s="3"/>
      <c r="E134" s="3" t="s">
        <v>5546</v>
      </c>
      <c r="F134" s="3"/>
      <c r="G134" s="3" t="s">
        <v>49</v>
      </c>
      <c r="H134" s="3" t="s">
        <v>72</v>
      </c>
      <c r="I134" s="3">
        <v>495000.0</v>
      </c>
      <c r="J134" s="3"/>
      <c r="K134" s="3"/>
      <c r="L134" s="3"/>
      <c r="M134" s="3" t="s">
        <v>5547</v>
      </c>
      <c r="N134" s="3" t="s">
        <v>109</v>
      </c>
      <c r="O134" s="3" t="s">
        <v>110</v>
      </c>
      <c r="P134" s="4">
        <v>44278.2991782407</v>
      </c>
      <c r="Q134" s="3" t="s">
        <v>77</v>
      </c>
      <c r="R134" s="3"/>
      <c r="S134" s="3" t="s">
        <v>915</v>
      </c>
      <c r="T134" s="3">
        <v>1503606.0</v>
      </c>
      <c r="U134" s="3" t="s">
        <v>5489</v>
      </c>
      <c r="V134" s="3" t="s">
        <v>917</v>
      </c>
      <c r="W134" s="3" t="s">
        <v>100</v>
      </c>
      <c r="X134" s="3"/>
      <c r="Y134" s="3"/>
      <c r="Z134" s="3" t="s">
        <v>112</v>
      </c>
      <c r="AA134" s="3" t="s">
        <v>5490</v>
      </c>
      <c r="AB134" s="3" t="str">
        <f>"***936309**"</f>
        <v>***936309**</v>
      </c>
      <c r="AC134" s="3"/>
      <c r="AD134" s="3" t="s">
        <v>325</v>
      </c>
      <c r="AE134" s="3"/>
      <c r="AF134" s="3">
        <v>-55.558611</v>
      </c>
      <c r="AG134" s="3">
        <v>-6.348611</v>
      </c>
      <c r="AH134" s="3" t="s">
        <v>5548</v>
      </c>
      <c r="AI134" s="3"/>
      <c r="AJ134" s="3" t="s">
        <v>120</v>
      </c>
      <c r="AK134" s="3"/>
      <c r="AL134" s="3"/>
      <c r="AM134" s="3" t="s">
        <v>65</v>
      </c>
      <c r="AN134" s="3" t="s">
        <v>5110</v>
      </c>
      <c r="AO134" s="3"/>
      <c r="AP134" s="4">
        <v>44278.3113657407</v>
      </c>
      <c r="AQ134" s="3"/>
      <c r="AR134" s="3" t="s">
        <v>5165</v>
      </c>
      <c r="AS134" s="3"/>
      <c r="AT134" s="4">
        <v>44281.0337152778</v>
      </c>
    </row>
    <row r="135" ht="15.75" customHeight="1">
      <c r="A135" s="3">
        <v>2044601.0</v>
      </c>
      <c r="B135" s="3" t="s">
        <v>116</v>
      </c>
      <c r="C135" s="3" t="s">
        <v>117</v>
      </c>
      <c r="D135" s="3" t="s">
        <v>46</v>
      </c>
      <c r="E135" s="3" t="s">
        <v>5549</v>
      </c>
      <c r="F135" s="3"/>
      <c r="G135" s="3" t="s">
        <v>119</v>
      </c>
      <c r="H135" s="3" t="s">
        <v>50</v>
      </c>
      <c r="I135" s="3">
        <v>10000.0</v>
      </c>
      <c r="J135" s="3"/>
      <c r="K135" s="3"/>
      <c r="L135" s="3" t="s">
        <v>64</v>
      </c>
      <c r="M135" s="3" t="s">
        <v>5550</v>
      </c>
      <c r="N135" s="3" t="s">
        <v>53</v>
      </c>
      <c r="O135" s="3" t="s">
        <v>333</v>
      </c>
      <c r="P135" s="4">
        <v>44278.2916666667</v>
      </c>
      <c r="Q135" s="3" t="s">
        <v>56</v>
      </c>
      <c r="R135" s="3"/>
      <c r="S135" s="3" t="s">
        <v>57</v>
      </c>
      <c r="T135" s="3">
        <v>3201902.0</v>
      </c>
      <c r="U135" s="3" t="s">
        <v>2557</v>
      </c>
      <c r="V135" s="3" t="s">
        <v>59</v>
      </c>
      <c r="W135" s="3" t="s">
        <v>78</v>
      </c>
      <c r="X135" s="3"/>
      <c r="Y135" s="3" t="str">
        <f>"02009000523202134"</f>
        <v>02009000523202134</v>
      </c>
      <c r="Z135" s="3" t="s">
        <v>223</v>
      </c>
      <c r="AA135" s="3" t="s">
        <v>5551</v>
      </c>
      <c r="AB135" s="3" t="str">
        <f>"***624757**"</f>
        <v>***624757**</v>
      </c>
      <c r="AC135" s="3"/>
      <c r="AD135" s="3"/>
      <c r="AE135" s="3"/>
      <c r="AF135" s="3">
        <v>-40.783611</v>
      </c>
      <c r="AG135" s="3">
        <v>-20.334444</v>
      </c>
      <c r="AH135" s="3" t="s">
        <v>5552</v>
      </c>
      <c r="AI135" s="3"/>
      <c r="AJ135" s="3" t="s">
        <v>64</v>
      </c>
      <c r="AK135" s="3"/>
      <c r="AL135" s="3" t="s">
        <v>128</v>
      </c>
      <c r="AM135" s="3" t="s">
        <v>65</v>
      </c>
      <c r="AN135" s="3" t="s">
        <v>83</v>
      </c>
      <c r="AO135" s="4">
        <v>44278.0</v>
      </c>
      <c r="AP135" s="4">
        <v>44278.6072800926</v>
      </c>
      <c r="AQ135" s="3" t="s">
        <v>132</v>
      </c>
      <c r="AR135" s="3" t="s">
        <v>494</v>
      </c>
      <c r="AS135" s="3"/>
      <c r="AT135" s="4">
        <v>44281.0337152778</v>
      </c>
    </row>
    <row r="136" ht="15.75" customHeight="1">
      <c r="A136" s="3"/>
      <c r="B136" s="3" t="s">
        <v>46</v>
      </c>
      <c r="C136" s="3" t="s">
        <v>47</v>
      </c>
      <c r="D136" s="3"/>
      <c r="E136" s="3" t="s">
        <v>5553</v>
      </c>
      <c r="F136" s="3"/>
      <c r="G136" s="3" t="s">
        <v>49</v>
      </c>
      <c r="H136" s="3" t="s">
        <v>50</v>
      </c>
      <c r="I136" s="3">
        <v>9000.0</v>
      </c>
      <c r="J136" s="3"/>
      <c r="K136" s="3" t="s">
        <v>92</v>
      </c>
      <c r="L136" s="3"/>
      <c r="M136" s="3" t="s">
        <v>5254</v>
      </c>
      <c r="N136" s="3" t="s">
        <v>381</v>
      </c>
      <c r="O136" s="3" t="s">
        <v>382</v>
      </c>
      <c r="P136" s="4">
        <v>44278.2342708333</v>
      </c>
      <c r="Q136" s="3" t="s">
        <v>56</v>
      </c>
      <c r="R136" s="3"/>
      <c r="S136" s="3" t="s">
        <v>1349</v>
      </c>
      <c r="T136" s="3">
        <v>1506609.0</v>
      </c>
      <c r="U136" s="3" t="s">
        <v>5250</v>
      </c>
      <c r="V136" s="3" t="s">
        <v>917</v>
      </c>
      <c r="W136" s="3" t="s">
        <v>100</v>
      </c>
      <c r="X136" s="3"/>
      <c r="Y136" s="3"/>
      <c r="Z136" s="3" t="s">
        <v>384</v>
      </c>
      <c r="AA136" s="3" t="s">
        <v>5554</v>
      </c>
      <c r="AB136" s="3" t="str">
        <f>"33603457000140"</f>
        <v>33603457000140</v>
      </c>
      <c r="AC136" s="3"/>
      <c r="AD136" s="3" t="s">
        <v>81</v>
      </c>
      <c r="AE136" s="3"/>
      <c r="AF136" s="3">
        <v>-47.584444</v>
      </c>
      <c r="AG136" s="3">
        <v>-1.338333</v>
      </c>
      <c r="AH136" s="3" t="s">
        <v>5252</v>
      </c>
      <c r="AI136" s="3"/>
      <c r="AJ136" s="3" t="s">
        <v>1346</v>
      </c>
      <c r="AK136" s="3"/>
      <c r="AL136" s="3"/>
      <c r="AM136" s="3" t="s">
        <v>65</v>
      </c>
      <c r="AN136" s="3"/>
      <c r="AO136" s="3"/>
      <c r="AP136" s="4">
        <v>44278.395162037</v>
      </c>
      <c r="AQ136" s="3"/>
      <c r="AR136" s="3" t="s">
        <v>3983</v>
      </c>
      <c r="AS136" s="3"/>
      <c r="AT136" s="4">
        <v>44281.0337152778</v>
      </c>
    </row>
    <row r="137" ht="15.75" customHeight="1">
      <c r="A137" s="3"/>
      <c r="B137" s="3" t="s">
        <v>46</v>
      </c>
      <c r="C137" s="3" t="s">
        <v>47</v>
      </c>
      <c r="D137" s="3"/>
      <c r="E137" s="3" t="s">
        <v>5555</v>
      </c>
      <c r="F137" s="3"/>
      <c r="G137" s="3" t="s">
        <v>49</v>
      </c>
      <c r="H137" s="3" t="s">
        <v>50</v>
      </c>
      <c r="I137" s="3">
        <v>10500.0</v>
      </c>
      <c r="J137" s="3"/>
      <c r="K137" s="3" t="s">
        <v>51</v>
      </c>
      <c r="L137" s="3"/>
      <c r="M137" s="3" t="s">
        <v>5556</v>
      </c>
      <c r="N137" s="3" t="s">
        <v>74</v>
      </c>
      <c r="O137" s="3" t="s">
        <v>75</v>
      </c>
      <c r="P137" s="4">
        <v>44278.2269097222</v>
      </c>
      <c r="Q137" s="3" t="s">
        <v>137</v>
      </c>
      <c r="R137" s="3"/>
      <c r="S137" s="3" t="s">
        <v>359</v>
      </c>
      <c r="T137" s="3">
        <v>3548500.0</v>
      </c>
      <c r="U137" s="3" t="s">
        <v>360</v>
      </c>
      <c r="V137" s="3" t="s">
        <v>139</v>
      </c>
      <c r="W137" s="3" t="s">
        <v>60</v>
      </c>
      <c r="X137" s="3"/>
      <c r="Y137" s="3"/>
      <c r="Z137" s="3" t="s">
        <v>79</v>
      </c>
      <c r="AA137" s="3" t="s">
        <v>5557</v>
      </c>
      <c r="AB137" s="3" t="str">
        <f t="shared" ref="AB137:AB138" si="11">"***757827**"</f>
        <v>***757827**</v>
      </c>
      <c r="AC137" s="3"/>
      <c r="AD137" s="3" t="s">
        <v>62</v>
      </c>
      <c r="AE137" s="3"/>
      <c r="AF137" s="3">
        <v>-46.306111</v>
      </c>
      <c r="AG137" s="3">
        <v>-23.958889</v>
      </c>
      <c r="AH137" s="3" t="s">
        <v>5558</v>
      </c>
      <c r="AI137" s="3"/>
      <c r="AJ137" s="3" t="s">
        <v>142</v>
      </c>
      <c r="AK137" s="3"/>
      <c r="AL137" s="3"/>
      <c r="AM137" s="3" t="s">
        <v>65</v>
      </c>
      <c r="AN137" s="3" t="s">
        <v>5559</v>
      </c>
      <c r="AO137" s="3"/>
      <c r="AP137" s="4">
        <v>44278.4125231481</v>
      </c>
      <c r="AQ137" s="3"/>
      <c r="AR137" s="3" t="s">
        <v>3441</v>
      </c>
      <c r="AS137" s="3"/>
      <c r="AT137" s="4">
        <v>44281.0337152778</v>
      </c>
    </row>
    <row r="138" ht="15.75" customHeight="1">
      <c r="A138" s="3"/>
      <c r="B138" s="3" t="s">
        <v>46</v>
      </c>
      <c r="C138" s="3" t="s">
        <v>47</v>
      </c>
      <c r="D138" s="3"/>
      <c r="E138" s="3" t="s">
        <v>5560</v>
      </c>
      <c r="F138" s="3"/>
      <c r="G138" s="3" t="s">
        <v>49</v>
      </c>
      <c r="H138" s="3" t="s">
        <v>50</v>
      </c>
      <c r="I138" s="3">
        <v>790700.0</v>
      </c>
      <c r="J138" s="3"/>
      <c r="K138" s="3" t="s">
        <v>92</v>
      </c>
      <c r="L138" s="3"/>
      <c r="M138" s="3" t="s">
        <v>5561</v>
      </c>
      <c r="N138" s="3" t="s">
        <v>74</v>
      </c>
      <c r="O138" s="3" t="s">
        <v>75</v>
      </c>
      <c r="P138" s="4">
        <v>44278.1587731482</v>
      </c>
      <c r="Q138" s="3" t="s">
        <v>137</v>
      </c>
      <c r="R138" s="3"/>
      <c r="S138" s="3" t="s">
        <v>241</v>
      </c>
      <c r="T138" s="3">
        <v>3548500.0</v>
      </c>
      <c r="U138" s="3" t="s">
        <v>360</v>
      </c>
      <c r="V138" s="3" t="s">
        <v>139</v>
      </c>
      <c r="W138" s="3" t="s">
        <v>60</v>
      </c>
      <c r="X138" s="3"/>
      <c r="Y138" s="3"/>
      <c r="Z138" s="3" t="s">
        <v>79</v>
      </c>
      <c r="AA138" s="3" t="s">
        <v>5557</v>
      </c>
      <c r="AB138" s="3" t="str">
        <f t="shared" si="11"/>
        <v>***757827**</v>
      </c>
      <c r="AC138" s="3"/>
      <c r="AD138" s="3" t="s">
        <v>62</v>
      </c>
      <c r="AE138" s="3"/>
      <c r="AF138" s="3">
        <v>-46.306111</v>
      </c>
      <c r="AG138" s="3">
        <v>-23.958889</v>
      </c>
      <c r="AH138" s="3" t="s">
        <v>5558</v>
      </c>
      <c r="AI138" s="3"/>
      <c r="AJ138" s="3" t="s">
        <v>142</v>
      </c>
      <c r="AK138" s="3"/>
      <c r="AL138" s="3"/>
      <c r="AM138" s="3" t="s">
        <v>65</v>
      </c>
      <c r="AN138" s="3" t="s">
        <v>5559</v>
      </c>
      <c r="AO138" s="3"/>
      <c r="AP138" s="4">
        <v>44278.4095949074</v>
      </c>
      <c r="AQ138" s="3"/>
      <c r="AR138" s="3" t="s">
        <v>5116</v>
      </c>
      <c r="AS138" s="3" t="s">
        <v>5562</v>
      </c>
      <c r="AT138" s="4">
        <v>44281.0337152778</v>
      </c>
    </row>
    <row r="139" ht="15.75" customHeight="1">
      <c r="A139" s="3"/>
      <c r="B139" s="3" t="s">
        <v>46</v>
      </c>
      <c r="C139" s="3" t="s">
        <v>47</v>
      </c>
      <c r="D139" s="3"/>
      <c r="E139" s="3" t="s">
        <v>5563</v>
      </c>
      <c r="F139" s="3"/>
      <c r="G139" s="3" t="s">
        <v>49</v>
      </c>
      <c r="H139" s="3" t="s">
        <v>72</v>
      </c>
      <c r="I139" s="3">
        <v>101500.0</v>
      </c>
      <c r="J139" s="3"/>
      <c r="K139" s="3"/>
      <c r="L139" s="3"/>
      <c r="M139" s="3" t="s">
        <v>5564</v>
      </c>
      <c r="N139" s="3" t="s">
        <v>109</v>
      </c>
      <c r="O139" s="3" t="s">
        <v>110</v>
      </c>
      <c r="P139" s="4">
        <v>44277.9009027778</v>
      </c>
      <c r="Q139" s="3" t="s">
        <v>77</v>
      </c>
      <c r="R139" s="3"/>
      <c r="S139" s="3" t="s">
        <v>1349</v>
      </c>
      <c r="T139" s="3">
        <v>1508100.0</v>
      </c>
      <c r="U139" s="3" t="s">
        <v>5107</v>
      </c>
      <c r="V139" s="3" t="s">
        <v>917</v>
      </c>
      <c r="W139" s="3" t="s">
        <v>100</v>
      </c>
      <c r="X139" s="3"/>
      <c r="Y139" s="3"/>
      <c r="Z139" s="3" t="s">
        <v>112</v>
      </c>
      <c r="AA139" s="3" t="s">
        <v>5565</v>
      </c>
      <c r="AB139" s="3" t="str">
        <f t="shared" ref="AB139:AB140" si="12">"24550871000147"</f>
        <v>24550871000147</v>
      </c>
      <c r="AC139" s="3"/>
      <c r="AD139" s="3" t="s">
        <v>62</v>
      </c>
      <c r="AE139" s="3"/>
      <c r="AF139" s="3">
        <v>-49.682583</v>
      </c>
      <c r="AG139" s="3">
        <v>-3.733722</v>
      </c>
      <c r="AH139" s="3" t="s">
        <v>5566</v>
      </c>
      <c r="AI139" s="3"/>
      <c r="AJ139" s="3" t="s">
        <v>120</v>
      </c>
      <c r="AK139" s="3"/>
      <c r="AL139" s="3"/>
      <c r="AM139" s="3" t="s">
        <v>65</v>
      </c>
      <c r="AN139" s="3" t="s">
        <v>5110</v>
      </c>
      <c r="AO139" s="3"/>
      <c r="AP139" s="4">
        <v>44277.9059259259</v>
      </c>
      <c r="AQ139" s="3"/>
      <c r="AR139" s="3" t="s">
        <v>603</v>
      </c>
      <c r="AS139" s="3"/>
      <c r="AT139" s="4">
        <v>44281.0337152778</v>
      </c>
    </row>
    <row r="140" ht="15.75" customHeight="1">
      <c r="A140" s="3"/>
      <c r="B140" s="3" t="s">
        <v>46</v>
      </c>
      <c r="C140" s="3" t="s">
        <v>47</v>
      </c>
      <c r="D140" s="3"/>
      <c r="E140" s="3" t="s">
        <v>5567</v>
      </c>
      <c r="F140" s="3"/>
      <c r="G140" s="3" t="s">
        <v>49</v>
      </c>
      <c r="H140" s="3" t="s">
        <v>72</v>
      </c>
      <c r="I140" s="3">
        <v>27628.5</v>
      </c>
      <c r="J140" s="3"/>
      <c r="K140" s="3"/>
      <c r="L140" s="3"/>
      <c r="M140" s="3" t="s">
        <v>5568</v>
      </c>
      <c r="N140" s="3" t="s">
        <v>109</v>
      </c>
      <c r="O140" s="3" t="s">
        <v>110</v>
      </c>
      <c r="P140" s="4">
        <v>44277.867337963</v>
      </c>
      <c r="Q140" s="3" t="s">
        <v>77</v>
      </c>
      <c r="R140" s="3"/>
      <c r="S140" s="3" t="s">
        <v>1349</v>
      </c>
      <c r="T140" s="3">
        <v>1508100.0</v>
      </c>
      <c r="U140" s="3" t="s">
        <v>5107</v>
      </c>
      <c r="V140" s="3" t="s">
        <v>917</v>
      </c>
      <c r="W140" s="3" t="s">
        <v>100</v>
      </c>
      <c r="X140" s="3"/>
      <c r="Y140" s="3"/>
      <c r="Z140" s="3" t="s">
        <v>112</v>
      </c>
      <c r="AA140" s="3" t="s">
        <v>5565</v>
      </c>
      <c r="AB140" s="3" t="str">
        <f t="shared" si="12"/>
        <v>24550871000147</v>
      </c>
      <c r="AC140" s="3"/>
      <c r="AD140" s="3" t="s">
        <v>62</v>
      </c>
      <c r="AE140" s="3"/>
      <c r="AF140" s="3">
        <v>-49.682583</v>
      </c>
      <c r="AG140" s="3">
        <v>-3.733722</v>
      </c>
      <c r="AH140" s="3" t="s">
        <v>5569</v>
      </c>
      <c r="AI140" s="3"/>
      <c r="AJ140" s="3" t="s">
        <v>120</v>
      </c>
      <c r="AK140" s="3"/>
      <c r="AL140" s="3"/>
      <c r="AM140" s="3" t="s">
        <v>65</v>
      </c>
      <c r="AN140" s="3" t="s">
        <v>5110</v>
      </c>
      <c r="AO140" s="3"/>
      <c r="AP140" s="4">
        <v>44277.8798842593</v>
      </c>
      <c r="AQ140" s="3"/>
      <c r="AR140" s="3" t="s">
        <v>177</v>
      </c>
      <c r="AS140" s="3"/>
      <c r="AT140" s="4">
        <v>44281.0337152778</v>
      </c>
    </row>
    <row r="141" ht="15.75" customHeight="1">
      <c r="A141" s="3"/>
      <c r="B141" s="3" t="s">
        <v>46</v>
      </c>
      <c r="C141" s="3" t="s">
        <v>47</v>
      </c>
      <c r="D141" s="3"/>
      <c r="E141" s="3" t="s">
        <v>5570</v>
      </c>
      <c r="F141" s="3"/>
      <c r="G141" s="3" t="s">
        <v>49</v>
      </c>
      <c r="H141" s="3" t="s">
        <v>72</v>
      </c>
      <c r="I141" s="3">
        <v>900.0</v>
      </c>
      <c r="J141" s="3"/>
      <c r="K141" s="3"/>
      <c r="L141" s="3"/>
      <c r="M141" s="3" t="s">
        <v>5571</v>
      </c>
      <c r="N141" s="3" t="s">
        <v>285</v>
      </c>
      <c r="O141" s="3" t="s">
        <v>286</v>
      </c>
      <c r="P141" s="4">
        <v>44277.8574884259</v>
      </c>
      <c r="Q141" s="3" t="s">
        <v>56</v>
      </c>
      <c r="R141" s="3"/>
      <c r="S141" s="3" t="s">
        <v>2859</v>
      </c>
      <c r="T141" s="3">
        <v>2412005.0</v>
      </c>
      <c r="U141" s="3" t="s">
        <v>5572</v>
      </c>
      <c r="V141" s="3" t="s">
        <v>1084</v>
      </c>
      <c r="W141" s="3" t="s">
        <v>60</v>
      </c>
      <c r="X141" s="3"/>
      <c r="Y141" s="3"/>
      <c r="Z141" s="3" t="s">
        <v>292</v>
      </c>
      <c r="AA141" s="3" t="s">
        <v>5573</v>
      </c>
      <c r="AB141" s="3" t="str">
        <f>"32862447000166"</f>
        <v>32862447000166</v>
      </c>
      <c r="AC141" s="3"/>
      <c r="AD141" s="3" t="s">
        <v>62</v>
      </c>
      <c r="AE141" s="3"/>
      <c r="AF141" s="3">
        <v>-35.28175</v>
      </c>
      <c r="AG141" s="3">
        <v>-5.795389</v>
      </c>
      <c r="AH141" s="3" t="s">
        <v>5574</v>
      </c>
      <c r="AI141" s="3"/>
      <c r="AJ141" s="3" t="s">
        <v>2856</v>
      </c>
      <c r="AK141" s="3"/>
      <c r="AL141" s="3"/>
      <c r="AM141" s="3" t="s">
        <v>65</v>
      </c>
      <c r="AN141" s="3" t="s">
        <v>159</v>
      </c>
      <c r="AO141" s="3"/>
      <c r="AP141" s="4">
        <v>44277.8616087963</v>
      </c>
      <c r="AQ141" s="3"/>
      <c r="AR141" s="3" t="s">
        <v>803</v>
      </c>
      <c r="AS141" s="3"/>
      <c r="AT141" s="4">
        <v>44281.0337152778</v>
      </c>
    </row>
    <row r="142" ht="15.75" customHeight="1">
      <c r="A142" s="3"/>
      <c r="B142" s="3" t="s">
        <v>46</v>
      </c>
      <c r="C142" s="3" t="s">
        <v>47</v>
      </c>
      <c r="D142" s="3"/>
      <c r="E142" s="3" t="s">
        <v>5575</v>
      </c>
      <c r="F142" s="3"/>
      <c r="G142" s="3" t="s">
        <v>49</v>
      </c>
      <c r="H142" s="3" t="s">
        <v>50</v>
      </c>
      <c r="I142" s="3">
        <v>1500.0</v>
      </c>
      <c r="J142" s="3"/>
      <c r="K142" s="3" t="s">
        <v>51</v>
      </c>
      <c r="L142" s="3"/>
      <c r="M142" s="3" t="s">
        <v>5576</v>
      </c>
      <c r="N142" s="3" t="s">
        <v>285</v>
      </c>
      <c r="O142" s="3" t="s">
        <v>286</v>
      </c>
      <c r="P142" s="4">
        <v>44277.8426388889</v>
      </c>
      <c r="Q142" s="3" t="s">
        <v>56</v>
      </c>
      <c r="R142" s="3"/>
      <c r="S142" s="3" t="s">
        <v>2859</v>
      </c>
      <c r="T142" s="3">
        <v>2407500.0</v>
      </c>
      <c r="U142" s="3" t="s">
        <v>5577</v>
      </c>
      <c r="V142" s="3" t="s">
        <v>1084</v>
      </c>
      <c r="W142" s="3" t="s">
        <v>60</v>
      </c>
      <c r="X142" s="3"/>
      <c r="Y142" s="3"/>
      <c r="Z142" s="3" t="s">
        <v>292</v>
      </c>
      <c r="AA142" s="3" t="s">
        <v>5578</v>
      </c>
      <c r="AB142" s="3" t="str">
        <f>"***076589**"</f>
        <v>***076589**</v>
      </c>
      <c r="AC142" s="3"/>
      <c r="AD142" s="3" t="s">
        <v>62</v>
      </c>
      <c r="AE142" s="3"/>
      <c r="AF142" s="3">
        <v>-35.279167</v>
      </c>
      <c r="AG142" s="3">
        <v>-5.386389</v>
      </c>
      <c r="AH142" s="3" t="s">
        <v>5579</v>
      </c>
      <c r="AI142" s="3"/>
      <c r="AJ142" s="3" t="s">
        <v>2856</v>
      </c>
      <c r="AK142" s="3"/>
      <c r="AL142" s="3"/>
      <c r="AM142" s="3" t="s">
        <v>65</v>
      </c>
      <c r="AN142" s="3" t="s">
        <v>159</v>
      </c>
      <c r="AO142" s="3"/>
      <c r="AP142" s="4">
        <v>44277.8496875</v>
      </c>
      <c r="AQ142" s="3"/>
      <c r="AR142" s="3" t="s">
        <v>106</v>
      </c>
      <c r="AS142" s="3"/>
      <c r="AT142" s="4">
        <v>44281.0337152778</v>
      </c>
    </row>
    <row r="143" ht="15.75" customHeight="1">
      <c r="A143" s="3"/>
      <c r="B143" s="3" t="s">
        <v>46</v>
      </c>
      <c r="C143" s="3" t="s">
        <v>47</v>
      </c>
      <c r="D143" s="3"/>
      <c r="E143" s="3" t="s">
        <v>5580</v>
      </c>
      <c r="F143" s="3"/>
      <c r="G143" s="3" t="s">
        <v>49</v>
      </c>
      <c r="H143" s="3" t="s">
        <v>72</v>
      </c>
      <c r="I143" s="3">
        <v>6948.3</v>
      </c>
      <c r="J143" s="3"/>
      <c r="K143" s="3"/>
      <c r="L143" s="3"/>
      <c r="M143" s="3" t="s">
        <v>5581</v>
      </c>
      <c r="N143" s="3" t="s">
        <v>109</v>
      </c>
      <c r="O143" s="3" t="s">
        <v>110</v>
      </c>
      <c r="P143" s="4">
        <v>44277.8209143518</v>
      </c>
      <c r="Q143" s="3" t="s">
        <v>77</v>
      </c>
      <c r="R143" s="3"/>
      <c r="S143" s="3" t="s">
        <v>1349</v>
      </c>
      <c r="T143" s="3">
        <v>1508100.0</v>
      </c>
      <c r="U143" s="3" t="s">
        <v>5107</v>
      </c>
      <c r="V143" s="3" t="s">
        <v>917</v>
      </c>
      <c r="W143" s="3" t="s">
        <v>100</v>
      </c>
      <c r="X143" s="3"/>
      <c r="Y143" s="3"/>
      <c r="Z143" s="3" t="s">
        <v>112</v>
      </c>
      <c r="AA143" s="3" t="s">
        <v>5582</v>
      </c>
      <c r="AB143" s="3" t="str">
        <f>"15525729000159"</f>
        <v>15525729000159</v>
      </c>
      <c r="AC143" s="3"/>
      <c r="AD143" s="3" t="s">
        <v>81</v>
      </c>
      <c r="AE143" s="3"/>
      <c r="AF143" s="3">
        <v>-49.682528</v>
      </c>
      <c r="AG143" s="3">
        <v>-3.729083</v>
      </c>
      <c r="AH143" s="3" t="s">
        <v>5583</v>
      </c>
      <c r="AI143" s="3"/>
      <c r="AJ143" s="3" t="s">
        <v>120</v>
      </c>
      <c r="AK143" s="3"/>
      <c r="AL143" s="3"/>
      <c r="AM143" s="3" t="s">
        <v>65</v>
      </c>
      <c r="AN143" s="3" t="s">
        <v>5110</v>
      </c>
      <c r="AO143" s="3"/>
      <c r="AP143" s="4">
        <v>44277.845474537</v>
      </c>
      <c r="AQ143" s="3"/>
      <c r="AR143" s="3" t="s">
        <v>177</v>
      </c>
      <c r="AS143" s="3"/>
      <c r="AT143" s="4">
        <v>44281.0337152778</v>
      </c>
    </row>
    <row r="144" ht="15.75" customHeight="1">
      <c r="A144" s="3"/>
      <c r="B144" s="3" t="s">
        <v>46</v>
      </c>
      <c r="C144" s="3" t="s">
        <v>47</v>
      </c>
      <c r="D144" s="3"/>
      <c r="E144" s="3" t="s">
        <v>5584</v>
      </c>
      <c r="F144" s="3"/>
      <c r="G144" s="3" t="s">
        <v>49</v>
      </c>
      <c r="H144" s="3" t="s">
        <v>72</v>
      </c>
      <c r="I144" s="3">
        <v>4000.0</v>
      </c>
      <c r="J144" s="3"/>
      <c r="K144" s="3"/>
      <c r="L144" s="3"/>
      <c r="M144" s="3" t="s">
        <v>5585</v>
      </c>
      <c r="N144" s="3" t="s">
        <v>94</v>
      </c>
      <c r="O144" s="3" t="s">
        <v>95</v>
      </c>
      <c r="P144" s="4">
        <v>44277.7593287037</v>
      </c>
      <c r="Q144" s="3" t="s">
        <v>56</v>
      </c>
      <c r="R144" s="3"/>
      <c r="S144" s="3" t="s">
        <v>359</v>
      </c>
      <c r="T144" s="3">
        <v>3519071.0</v>
      </c>
      <c r="U144" s="3" t="s">
        <v>5586</v>
      </c>
      <c r="V144" s="3" t="s">
        <v>139</v>
      </c>
      <c r="W144" s="3" t="s">
        <v>78</v>
      </c>
      <c r="X144" s="3"/>
      <c r="Y144" s="3"/>
      <c r="Z144" s="3" t="s">
        <v>101</v>
      </c>
      <c r="AA144" s="3" t="s">
        <v>5587</v>
      </c>
      <c r="AB144" s="3" t="str">
        <f>"***649218**"</f>
        <v>***649218**</v>
      </c>
      <c r="AC144" s="3"/>
      <c r="AD144" s="3" t="s">
        <v>81</v>
      </c>
      <c r="AE144" s="3"/>
      <c r="AF144" s="3">
        <v>-47.224194</v>
      </c>
      <c r="AG144" s="3">
        <v>-22.891028</v>
      </c>
      <c r="AH144" s="3" t="s">
        <v>5411</v>
      </c>
      <c r="AI144" s="3"/>
      <c r="AJ144" s="3" t="s">
        <v>371</v>
      </c>
      <c r="AK144" s="3"/>
      <c r="AL144" s="3"/>
      <c r="AM144" s="3" t="s">
        <v>65</v>
      </c>
      <c r="AN144" s="3" t="s">
        <v>159</v>
      </c>
      <c r="AO144" s="3"/>
      <c r="AP144" s="4">
        <v>44279.7352199074</v>
      </c>
      <c r="AQ144" s="3"/>
      <c r="AR144" s="3" t="s">
        <v>5588</v>
      </c>
      <c r="AS144" s="3"/>
      <c r="AT144" s="4">
        <v>44281.0337152778</v>
      </c>
    </row>
    <row r="145" ht="15.75" customHeight="1">
      <c r="A145" s="3"/>
      <c r="B145" s="3" t="s">
        <v>46</v>
      </c>
      <c r="C145" s="3" t="s">
        <v>47</v>
      </c>
      <c r="D145" s="3"/>
      <c r="E145" s="3" t="s">
        <v>5589</v>
      </c>
      <c r="F145" s="3"/>
      <c r="G145" s="3" t="s">
        <v>49</v>
      </c>
      <c r="H145" s="3" t="s">
        <v>50</v>
      </c>
      <c r="I145" s="3">
        <v>108175.0</v>
      </c>
      <c r="J145" s="3"/>
      <c r="K145" s="3"/>
      <c r="L145" s="3"/>
      <c r="M145" s="3" t="s">
        <v>5590</v>
      </c>
      <c r="N145" s="3" t="s">
        <v>53</v>
      </c>
      <c r="O145" s="3" t="s">
        <v>54</v>
      </c>
      <c r="P145" s="4">
        <v>44277.7419907408</v>
      </c>
      <c r="Q145" s="3" t="s">
        <v>56</v>
      </c>
      <c r="R145" s="3"/>
      <c r="S145" s="3" t="s">
        <v>57</v>
      </c>
      <c r="T145" s="3">
        <v>3203320.0</v>
      </c>
      <c r="U145" s="3" t="s">
        <v>3392</v>
      </c>
      <c r="V145" s="3" t="s">
        <v>59</v>
      </c>
      <c r="W145" s="3" t="s">
        <v>60</v>
      </c>
      <c r="X145" s="3"/>
      <c r="Y145" s="3"/>
      <c r="Z145" s="3"/>
      <c r="AA145" s="3" t="s">
        <v>5591</v>
      </c>
      <c r="AB145" s="3" t="str">
        <f>"10456016000167"</f>
        <v>10456016000167</v>
      </c>
      <c r="AC145" s="3"/>
      <c r="AD145" s="3" t="s">
        <v>62</v>
      </c>
      <c r="AE145" s="3"/>
      <c r="AF145" s="3">
        <v>-39.743889</v>
      </c>
      <c r="AG145" s="3">
        <v>-21.206667</v>
      </c>
      <c r="AH145" s="3" t="s">
        <v>5592</v>
      </c>
      <c r="AI145" s="3"/>
      <c r="AJ145" s="3" t="s">
        <v>1763</v>
      </c>
      <c r="AK145" s="3"/>
      <c r="AL145" s="3"/>
      <c r="AM145" s="3" t="s">
        <v>65</v>
      </c>
      <c r="AN145" s="3" t="s">
        <v>1743</v>
      </c>
      <c r="AO145" s="3"/>
      <c r="AP145" s="4">
        <v>44279.6339930556</v>
      </c>
      <c r="AQ145" s="3"/>
      <c r="AR145" s="3" t="s">
        <v>1765</v>
      </c>
      <c r="AS145" s="3" t="s">
        <v>5593</v>
      </c>
      <c r="AT145" s="4">
        <v>44281.0337152778</v>
      </c>
    </row>
    <row r="146" ht="15.75" customHeight="1">
      <c r="A146" s="3"/>
      <c r="B146" s="3" t="s">
        <v>46</v>
      </c>
      <c r="C146" s="3" t="s">
        <v>47</v>
      </c>
      <c r="D146" s="3"/>
      <c r="E146" s="3" t="s">
        <v>5594</v>
      </c>
      <c r="F146" s="3"/>
      <c r="G146" s="3" t="s">
        <v>49</v>
      </c>
      <c r="H146" s="3" t="s">
        <v>50</v>
      </c>
      <c r="I146" s="3">
        <v>108100.0</v>
      </c>
      <c r="J146" s="3"/>
      <c r="K146" s="3"/>
      <c r="L146" s="3"/>
      <c r="M146" s="3" t="s">
        <v>5595</v>
      </c>
      <c r="N146" s="3" t="s">
        <v>53</v>
      </c>
      <c r="O146" s="3" t="s">
        <v>54</v>
      </c>
      <c r="P146" s="4">
        <v>44277.7348842593</v>
      </c>
      <c r="Q146" s="3" t="s">
        <v>56</v>
      </c>
      <c r="R146" s="3"/>
      <c r="S146" s="3" t="s">
        <v>2022</v>
      </c>
      <c r="T146" s="3">
        <v>3302403.0</v>
      </c>
      <c r="U146" s="3" t="s">
        <v>2520</v>
      </c>
      <c r="V146" s="3" t="s">
        <v>1741</v>
      </c>
      <c r="W146" s="3" t="s">
        <v>60</v>
      </c>
      <c r="X146" s="3"/>
      <c r="Y146" s="3"/>
      <c r="Z146" s="3"/>
      <c r="AA146" s="3" t="s">
        <v>61</v>
      </c>
      <c r="AB146" s="3" t="str">
        <f t="shared" ref="AB146:AB154" si="13">"33000167000101"</f>
        <v>33000167000101</v>
      </c>
      <c r="AC146" s="3"/>
      <c r="AD146" s="3" t="s">
        <v>62</v>
      </c>
      <c r="AE146" s="3"/>
      <c r="AF146" s="3">
        <v>-40.331</v>
      </c>
      <c r="AG146" s="3">
        <v>-22.253778</v>
      </c>
      <c r="AH146" s="3" t="s">
        <v>5596</v>
      </c>
      <c r="AI146" s="3"/>
      <c r="AJ146" s="3" t="s">
        <v>1763</v>
      </c>
      <c r="AK146" s="3"/>
      <c r="AL146" s="3"/>
      <c r="AM146" s="3" t="s">
        <v>65</v>
      </c>
      <c r="AN146" s="3" t="s">
        <v>1743</v>
      </c>
      <c r="AO146" s="3"/>
      <c r="AP146" s="4">
        <v>44277.7368055556</v>
      </c>
      <c r="AQ146" s="3"/>
      <c r="AR146" s="3" t="s">
        <v>1765</v>
      </c>
      <c r="AS146" s="3" t="s">
        <v>5597</v>
      </c>
      <c r="AT146" s="4">
        <v>44281.0337152778</v>
      </c>
    </row>
    <row r="147" ht="15.75" customHeight="1">
      <c r="A147" s="3"/>
      <c r="B147" s="3" t="s">
        <v>46</v>
      </c>
      <c r="C147" s="3" t="s">
        <v>47</v>
      </c>
      <c r="D147" s="3"/>
      <c r="E147" s="3" t="s">
        <v>5598</v>
      </c>
      <c r="F147" s="3"/>
      <c r="G147" s="3" t="s">
        <v>49</v>
      </c>
      <c r="H147" s="3" t="s">
        <v>50</v>
      </c>
      <c r="I147" s="3">
        <v>108035.0</v>
      </c>
      <c r="J147" s="3"/>
      <c r="K147" s="3"/>
      <c r="L147" s="3"/>
      <c r="M147" s="3" t="s">
        <v>5599</v>
      </c>
      <c r="N147" s="3" t="s">
        <v>53</v>
      </c>
      <c r="O147" s="3" t="s">
        <v>54</v>
      </c>
      <c r="P147" s="4">
        <v>44277.730775463</v>
      </c>
      <c r="Q147" s="3" t="s">
        <v>56</v>
      </c>
      <c r="R147" s="3"/>
      <c r="S147" s="3" t="s">
        <v>2022</v>
      </c>
      <c r="T147" s="3">
        <v>3302403.0</v>
      </c>
      <c r="U147" s="3" t="s">
        <v>2520</v>
      </c>
      <c r="V147" s="3" t="s">
        <v>1741</v>
      </c>
      <c r="W147" s="3" t="s">
        <v>60</v>
      </c>
      <c r="X147" s="3"/>
      <c r="Y147" s="3"/>
      <c r="Z147" s="3"/>
      <c r="AA147" s="3" t="s">
        <v>61</v>
      </c>
      <c r="AB147" s="3" t="str">
        <f t="shared" si="13"/>
        <v>33000167000101</v>
      </c>
      <c r="AC147" s="3"/>
      <c r="AD147" s="3" t="s">
        <v>62</v>
      </c>
      <c r="AE147" s="3"/>
      <c r="AF147" s="3">
        <v>-39.989083</v>
      </c>
      <c r="AG147" s="3">
        <v>-22.623528</v>
      </c>
      <c r="AH147" s="3" t="s">
        <v>5600</v>
      </c>
      <c r="AI147" s="3"/>
      <c r="AJ147" s="3" t="s">
        <v>1763</v>
      </c>
      <c r="AK147" s="3"/>
      <c r="AL147" s="3"/>
      <c r="AM147" s="3" t="s">
        <v>65</v>
      </c>
      <c r="AN147" s="3" t="s">
        <v>1743</v>
      </c>
      <c r="AO147" s="3"/>
      <c r="AP147" s="4">
        <v>44279.6345023148</v>
      </c>
      <c r="AQ147" s="3"/>
      <c r="AR147" s="3" t="s">
        <v>1765</v>
      </c>
      <c r="AS147" s="3" t="s">
        <v>5593</v>
      </c>
      <c r="AT147" s="4">
        <v>44281.0337152778</v>
      </c>
    </row>
    <row r="148" ht="15.75" customHeight="1">
      <c r="A148" s="3"/>
      <c r="B148" s="3" t="s">
        <v>46</v>
      </c>
      <c r="C148" s="3" t="s">
        <v>47</v>
      </c>
      <c r="D148" s="3"/>
      <c r="E148" s="3" t="s">
        <v>5601</v>
      </c>
      <c r="F148" s="3"/>
      <c r="G148" s="3" t="s">
        <v>49</v>
      </c>
      <c r="H148" s="3" t="s">
        <v>50</v>
      </c>
      <c r="I148" s="3">
        <v>108094.5</v>
      </c>
      <c r="J148" s="3"/>
      <c r="K148" s="3"/>
      <c r="L148" s="3"/>
      <c r="M148" s="3" t="s">
        <v>5602</v>
      </c>
      <c r="N148" s="3" t="s">
        <v>53</v>
      </c>
      <c r="O148" s="3" t="s">
        <v>54</v>
      </c>
      <c r="P148" s="4">
        <v>44277.7250694445</v>
      </c>
      <c r="Q148" s="3" t="s">
        <v>56</v>
      </c>
      <c r="R148" s="3"/>
      <c r="S148" s="3" t="s">
        <v>2022</v>
      </c>
      <c r="T148" s="3">
        <v>3302403.0</v>
      </c>
      <c r="U148" s="3" t="s">
        <v>2520</v>
      </c>
      <c r="V148" s="3" t="s">
        <v>1741</v>
      </c>
      <c r="W148" s="3" t="s">
        <v>60</v>
      </c>
      <c r="X148" s="3"/>
      <c r="Y148" s="3"/>
      <c r="Z148" s="3"/>
      <c r="AA148" s="3" t="s">
        <v>61</v>
      </c>
      <c r="AB148" s="3" t="str">
        <f t="shared" si="13"/>
        <v>33000167000101</v>
      </c>
      <c r="AC148" s="3"/>
      <c r="AD148" s="3" t="s">
        <v>62</v>
      </c>
      <c r="AE148" s="3"/>
      <c r="AF148" s="3">
        <v>-40.331</v>
      </c>
      <c r="AG148" s="3">
        <v>-22.253778</v>
      </c>
      <c r="AH148" s="3" t="s">
        <v>5596</v>
      </c>
      <c r="AI148" s="3"/>
      <c r="AJ148" s="3" t="s">
        <v>1763</v>
      </c>
      <c r="AK148" s="3"/>
      <c r="AL148" s="3"/>
      <c r="AM148" s="3" t="s">
        <v>65</v>
      </c>
      <c r="AN148" s="3" t="s">
        <v>1743</v>
      </c>
      <c r="AO148" s="3"/>
      <c r="AP148" s="4">
        <v>44279.6282407407</v>
      </c>
      <c r="AQ148" s="3"/>
      <c r="AR148" s="3" t="s">
        <v>1765</v>
      </c>
      <c r="AS148" s="3" t="s">
        <v>5593</v>
      </c>
      <c r="AT148" s="4">
        <v>44281.0337152778</v>
      </c>
    </row>
    <row r="149" ht="15.75" customHeight="1">
      <c r="A149" s="3"/>
      <c r="B149" s="3" t="s">
        <v>46</v>
      </c>
      <c r="C149" s="3" t="s">
        <v>47</v>
      </c>
      <c r="D149" s="3"/>
      <c r="E149" s="3" t="s">
        <v>5603</v>
      </c>
      <c r="F149" s="3"/>
      <c r="G149" s="3" t="s">
        <v>49</v>
      </c>
      <c r="H149" s="3" t="s">
        <v>50</v>
      </c>
      <c r="I149" s="3">
        <v>108466.0</v>
      </c>
      <c r="J149" s="3"/>
      <c r="K149" s="3"/>
      <c r="L149" s="3"/>
      <c r="M149" s="3" t="s">
        <v>5604</v>
      </c>
      <c r="N149" s="3" t="s">
        <v>53</v>
      </c>
      <c r="O149" s="3" t="s">
        <v>54</v>
      </c>
      <c r="P149" s="4">
        <v>44277.7193171296</v>
      </c>
      <c r="Q149" s="3" t="s">
        <v>56</v>
      </c>
      <c r="R149" s="3"/>
      <c r="S149" s="3" t="s">
        <v>2022</v>
      </c>
      <c r="T149" s="3">
        <v>3302403.0</v>
      </c>
      <c r="U149" s="3" t="s">
        <v>2520</v>
      </c>
      <c r="V149" s="3" t="s">
        <v>1741</v>
      </c>
      <c r="W149" s="3" t="s">
        <v>60</v>
      </c>
      <c r="X149" s="3"/>
      <c r="Y149" s="3"/>
      <c r="Z149" s="3"/>
      <c r="AA149" s="3" t="s">
        <v>61</v>
      </c>
      <c r="AB149" s="3" t="str">
        <f t="shared" si="13"/>
        <v>33000167000101</v>
      </c>
      <c r="AC149" s="3"/>
      <c r="AD149" s="3" t="s">
        <v>62</v>
      </c>
      <c r="AE149" s="3"/>
      <c r="AF149" s="3">
        <v>-39.989083</v>
      </c>
      <c r="AG149" s="3">
        <v>-22.623528</v>
      </c>
      <c r="AH149" s="3" t="s">
        <v>5600</v>
      </c>
      <c r="AI149" s="3"/>
      <c r="AJ149" s="3" t="s">
        <v>1763</v>
      </c>
      <c r="AK149" s="3"/>
      <c r="AL149" s="3"/>
      <c r="AM149" s="3" t="s">
        <v>65</v>
      </c>
      <c r="AN149" s="3" t="s">
        <v>1743</v>
      </c>
      <c r="AO149" s="3"/>
      <c r="AP149" s="4">
        <v>44279.6288310185</v>
      </c>
      <c r="AQ149" s="3"/>
      <c r="AR149" s="3" t="s">
        <v>1765</v>
      </c>
      <c r="AS149" s="3" t="s">
        <v>5593</v>
      </c>
      <c r="AT149" s="4">
        <v>44281.0337152778</v>
      </c>
    </row>
    <row r="150" ht="15.75" customHeight="1">
      <c r="A150" s="3"/>
      <c r="B150" s="3" t="s">
        <v>46</v>
      </c>
      <c r="C150" s="3" t="s">
        <v>47</v>
      </c>
      <c r="D150" s="3"/>
      <c r="E150" s="3" t="s">
        <v>5605</v>
      </c>
      <c r="F150" s="3"/>
      <c r="G150" s="3" t="s">
        <v>49</v>
      </c>
      <c r="H150" s="3" t="s">
        <v>50</v>
      </c>
      <c r="I150" s="3">
        <v>108185.0</v>
      </c>
      <c r="J150" s="3"/>
      <c r="K150" s="3"/>
      <c r="L150" s="3"/>
      <c r="M150" s="3" t="s">
        <v>5606</v>
      </c>
      <c r="N150" s="3" t="s">
        <v>53</v>
      </c>
      <c r="O150" s="3" t="s">
        <v>54</v>
      </c>
      <c r="P150" s="4">
        <v>44277.7131365741</v>
      </c>
      <c r="Q150" s="3" t="s">
        <v>56</v>
      </c>
      <c r="R150" s="3"/>
      <c r="S150" s="3" t="s">
        <v>2022</v>
      </c>
      <c r="T150" s="3">
        <v>3302403.0</v>
      </c>
      <c r="U150" s="3" t="s">
        <v>2520</v>
      </c>
      <c r="V150" s="3" t="s">
        <v>1741</v>
      </c>
      <c r="W150" s="3" t="s">
        <v>60</v>
      </c>
      <c r="X150" s="3"/>
      <c r="Y150" s="3"/>
      <c r="Z150" s="3"/>
      <c r="AA150" s="3" t="s">
        <v>61</v>
      </c>
      <c r="AB150" s="3" t="str">
        <f t="shared" si="13"/>
        <v>33000167000101</v>
      </c>
      <c r="AC150" s="3"/>
      <c r="AD150" s="3" t="s">
        <v>62</v>
      </c>
      <c r="AE150" s="3"/>
      <c r="AF150" s="3">
        <v>-39.988889</v>
      </c>
      <c r="AG150" s="3">
        <v>-22.623333</v>
      </c>
      <c r="AH150" s="3" t="s">
        <v>5600</v>
      </c>
      <c r="AI150" s="3"/>
      <c r="AJ150" s="3" t="s">
        <v>1763</v>
      </c>
      <c r="AK150" s="3"/>
      <c r="AL150" s="3"/>
      <c r="AM150" s="3" t="s">
        <v>65</v>
      </c>
      <c r="AN150" s="3" t="s">
        <v>1743</v>
      </c>
      <c r="AO150" s="3"/>
      <c r="AP150" s="4">
        <v>44277.7154976852</v>
      </c>
      <c r="AQ150" s="3"/>
      <c r="AR150" s="3" t="s">
        <v>5607</v>
      </c>
      <c r="AS150" s="3" t="s">
        <v>5593</v>
      </c>
      <c r="AT150" s="4">
        <v>44281.0337152778</v>
      </c>
    </row>
    <row r="151" ht="15.75" customHeight="1">
      <c r="A151" s="3"/>
      <c r="B151" s="3" t="s">
        <v>46</v>
      </c>
      <c r="C151" s="3" t="s">
        <v>47</v>
      </c>
      <c r="D151" s="3"/>
      <c r="E151" s="3" t="s">
        <v>5608</v>
      </c>
      <c r="F151" s="3"/>
      <c r="G151" s="3" t="s">
        <v>49</v>
      </c>
      <c r="H151" s="3" t="s">
        <v>50</v>
      </c>
      <c r="I151" s="3">
        <v>108280.0</v>
      </c>
      <c r="J151" s="3"/>
      <c r="K151" s="3"/>
      <c r="L151" s="3"/>
      <c r="M151" s="3" t="s">
        <v>5609</v>
      </c>
      <c r="N151" s="3" t="s">
        <v>53</v>
      </c>
      <c r="O151" s="3" t="s">
        <v>54</v>
      </c>
      <c r="P151" s="4">
        <v>44277.7075231481</v>
      </c>
      <c r="Q151" s="3" t="s">
        <v>56</v>
      </c>
      <c r="R151" s="3"/>
      <c r="S151" s="3" t="s">
        <v>2022</v>
      </c>
      <c r="T151" s="3">
        <v>3302403.0</v>
      </c>
      <c r="U151" s="3" t="s">
        <v>2520</v>
      </c>
      <c r="V151" s="3" t="s">
        <v>1741</v>
      </c>
      <c r="W151" s="3" t="s">
        <v>60</v>
      </c>
      <c r="X151" s="3"/>
      <c r="Y151" s="3"/>
      <c r="Z151" s="3"/>
      <c r="AA151" s="3" t="s">
        <v>61</v>
      </c>
      <c r="AB151" s="3" t="str">
        <f t="shared" si="13"/>
        <v>33000167000101</v>
      </c>
      <c r="AC151" s="3"/>
      <c r="AD151" s="3" t="s">
        <v>62</v>
      </c>
      <c r="AE151" s="3"/>
      <c r="AF151" s="3">
        <v>-40.09325</v>
      </c>
      <c r="AG151" s="3">
        <v>-22.6339</v>
      </c>
      <c r="AH151" s="3" t="s">
        <v>5430</v>
      </c>
      <c r="AI151" s="3"/>
      <c r="AJ151" s="3" t="s">
        <v>1763</v>
      </c>
      <c r="AK151" s="3"/>
      <c r="AL151" s="3"/>
      <c r="AM151" s="3" t="s">
        <v>65</v>
      </c>
      <c r="AN151" s="3" t="s">
        <v>1743</v>
      </c>
      <c r="AO151" s="3"/>
      <c r="AP151" s="4">
        <v>44279.6330555556</v>
      </c>
      <c r="AQ151" s="3"/>
      <c r="AR151" s="3" t="s">
        <v>1765</v>
      </c>
      <c r="AS151" s="3" t="s">
        <v>5593</v>
      </c>
      <c r="AT151" s="4">
        <v>44281.0337152778</v>
      </c>
    </row>
    <row r="152" ht="15.75" customHeight="1">
      <c r="A152" s="3"/>
      <c r="B152" s="3" t="s">
        <v>46</v>
      </c>
      <c r="C152" s="3" t="s">
        <v>47</v>
      </c>
      <c r="D152" s="3"/>
      <c r="E152" s="3" t="s">
        <v>5610</v>
      </c>
      <c r="F152" s="3"/>
      <c r="G152" s="3" t="s">
        <v>49</v>
      </c>
      <c r="H152" s="3" t="s">
        <v>50</v>
      </c>
      <c r="I152" s="3">
        <v>108435.0</v>
      </c>
      <c r="J152" s="3"/>
      <c r="K152" s="3"/>
      <c r="L152" s="3"/>
      <c r="M152" s="3" t="s">
        <v>5611</v>
      </c>
      <c r="N152" s="3" t="s">
        <v>53</v>
      </c>
      <c r="O152" s="3" t="s">
        <v>54</v>
      </c>
      <c r="P152" s="4">
        <v>44277.700150463</v>
      </c>
      <c r="Q152" s="3" t="s">
        <v>56</v>
      </c>
      <c r="R152" s="3"/>
      <c r="S152" s="3" t="s">
        <v>2022</v>
      </c>
      <c r="T152" s="3">
        <v>3302403.0</v>
      </c>
      <c r="U152" s="3" t="s">
        <v>2520</v>
      </c>
      <c r="V152" s="3" t="s">
        <v>1741</v>
      </c>
      <c r="W152" s="3" t="s">
        <v>60</v>
      </c>
      <c r="X152" s="3"/>
      <c r="Y152" s="3"/>
      <c r="Z152" s="3"/>
      <c r="AA152" s="3" t="s">
        <v>61</v>
      </c>
      <c r="AB152" s="3" t="str">
        <f t="shared" si="13"/>
        <v>33000167000101</v>
      </c>
      <c r="AC152" s="3"/>
      <c r="AD152" s="3" t="s">
        <v>62</v>
      </c>
      <c r="AE152" s="3"/>
      <c r="AF152" s="3">
        <v>-39.957222</v>
      </c>
      <c r="AG152" s="3">
        <v>-22.423333</v>
      </c>
      <c r="AH152" s="3" t="s">
        <v>5233</v>
      </c>
      <c r="AI152" s="3"/>
      <c r="AJ152" s="3" t="s">
        <v>1763</v>
      </c>
      <c r="AK152" s="3"/>
      <c r="AL152" s="3"/>
      <c r="AM152" s="3" t="s">
        <v>65</v>
      </c>
      <c r="AN152" s="3" t="s">
        <v>1743</v>
      </c>
      <c r="AO152" s="3"/>
      <c r="AP152" s="4">
        <v>44279.6350578704</v>
      </c>
      <c r="AQ152" s="3"/>
      <c r="AR152" s="3" t="s">
        <v>1765</v>
      </c>
      <c r="AS152" s="3" t="s">
        <v>5593</v>
      </c>
      <c r="AT152" s="4">
        <v>44281.0337152778</v>
      </c>
    </row>
    <row r="153" ht="15.75" customHeight="1">
      <c r="A153" s="3"/>
      <c r="B153" s="3" t="s">
        <v>46</v>
      </c>
      <c r="C153" s="3" t="s">
        <v>47</v>
      </c>
      <c r="D153" s="3"/>
      <c r="E153" s="3" t="s">
        <v>5612</v>
      </c>
      <c r="F153" s="3"/>
      <c r="G153" s="3" t="s">
        <v>49</v>
      </c>
      <c r="H153" s="3" t="s">
        <v>50</v>
      </c>
      <c r="I153" s="3">
        <v>108150.0</v>
      </c>
      <c r="J153" s="3"/>
      <c r="K153" s="3"/>
      <c r="L153" s="3"/>
      <c r="M153" s="3" t="s">
        <v>5613</v>
      </c>
      <c r="N153" s="3" t="s">
        <v>53</v>
      </c>
      <c r="O153" s="3" t="s">
        <v>54</v>
      </c>
      <c r="P153" s="4">
        <v>44277.6941203704</v>
      </c>
      <c r="Q153" s="3" t="s">
        <v>56</v>
      </c>
      <c r="R153" s="3"/>
      <c r="S153" s="3" t="s">
        <v>2022</v>
      </c>
      <c r="T153" s="3">
        <v>3302403.0</v>
      </c>
      <c r="U153" s="3" t="s">
        <v>2520</v>
      </c>
      <c r="V153" s="3" t="s">
        <v>1741</v>
      </c>
      <c r="W153" s="3" t="s">
        <v>60</v>
      </c>
      <c r="X153" s="3"/>
      <c r="Y153" s="3"/>
      <c r="Z153" s="3"/>
      <c r="AA153" s="3" t="s">
        <v>61</v>
      </c>
      <c r="AB153" s="3" t="str">
        <f t="shared" si="13"/>
        <v>33000167000101</v>
      </c>
      <c r="AC153" s="3"/>
      <c r="AD153" s="3" t="s">
        <v>62</v>
      </c>
      <c r="AE153" s="3"/>
      <c r="AF153" s="3">
        <v>-40.331</v>
      </c>
      <c r="AG153" s="3">
        <v>-22.253778</v>
      </c>
      <c r="AH153" s="3" t="s">
        <v>5596</v>
      </c>
      <c r="AI153" s="3"/>
      <c r="AJ153" s="3" t="s">
        <v>1763</v>
      </c>
      <c r="AK153" s="3"/>
      <c r="AL153" s="3"/>
      <c r="AM153" s="3" t="s">
        <v>65</v>
      </c>
      <c r="AN153" s="3" t="s">
        <v>1743</v>
      </c>
      <c r="AO153" s="3"/>
      <c r="AP153" s="4">
        <v>44279.6179050926</v>
      </c>
      <c r="AQ153" s="3"/>
      <c r="AR153" s="3" t="s">
        <v>1765</v>
      </c>
      <c r="AS153" s="3" t="s">
        <v>5614</v>
      </c>
      <c r="AT153" s="4">
        <v>44281.0337152778</v>
      </c>
    </row>
    <row r="154" ht="15.75" customHeight="1">
      <c r="A154" s="3"/>
      <c r="B154" s="3" t="s">
        <v>46</v>
      </c>
      <c r="C154" s="3" t="s">
        <v>47</v>
      </c>
      <c r="D154" s="3"/>
      <c r="E154" s="3" t="s">
        <v>5615</v>
      </c>
      <c r="F154" s="3"/>
      <c r="G154" s="3" t="s">
        <v>49</v>
      </c>
      <c r="H154" s="3" t="s">
        <v>50</v>
      </c>
      <c r="I154" s="3">
        <v>108225.0</v>
      </c>
      <c r="J154" s="3"/>
      <c r="K154" s="3"/>
      <c r="L154" s="3"/>
      <c r="M154" s="3" t="s">
        <v>5616</v>
      </c>
      <c r="N154" s="3" t="s">
        <v>53</v>
      </c>
      <c r="O154" s="3" t="s">
        <v>54</v>
      </c>
      <c r="P154" s="4">
        <v>44277.6836226852</v>
      </c>
      <c r="Q154" s="3" t="s">
        <v>56</v>
      </c>
      <c r="R154" s="3"/>
      <c r="S154" s="3" t="s">
        <v>2022</v>
      </c>
      <c r="T154" s="3">
        <v>3302403.0</v>
      </c>
      <c r="U154" s="3" t="s">
        <v>2520</v>
      </c>
      <c r="V154" s="3" t="s">
        <v>1741</v>
      </c>
      <c r="W154" s="3" t="s">
        <v>60</v>
      </c>
      <c r="X154" s="3"/>
      <c r="Y154" s="3"/>
      <c r="Z154" s="3"/>
      <c r="AA154" s="3" t="s">
        <v>61</v>
      </c>
      <c r="AB154" s="3" t="str">
        <f t="shared" si="13"/>
        <v>33000167000101</v>
      </c>
      <c r="AC154" s="3"/>
      <c r="AD154" s="3" t="s">
        <v>62</v>
      </c>
      <c r="AE154" s="3"/>
      <c r="AF154" s="3">
        <v>-39.996972</v>
      </c>
      <c r="AG154" s="3">
        <v>-21.203472</v>
      </c>
      <c r="AH154" s="3" t="s">
        <v>5617</v>
      </c>
      <c r="AI154" s="3"/>
      <c r="AJ154" s="3" t="s">
        <v>1763</v>
      </c>
      <c r="AK154" s="3"/>
      <c r="AL154" s="3"/>
      <c r="AM154" s="3" t="s">
        <v>65</v>
      </c>
      <c r="AN154" s="3" t="s">
        <v>1743</v>
      </c>
      <c r="AO154" s="3"/>
      <c r="AP154" s="4">
        <v>44279.6175231482</v>
      </c>
      <c r="AQ154" s="3"/>
      <c r="AR154" s="3" t="s">
        <v>1765</v>
      </c>
      <c r="AS154" s="3" t="s">
        <v>5597</v>
      </c>
      <c r="AT154" s="4">
        <v>44281.0337152778</v>
      </c>
    </row>
    <row r="155" ht="15.75" customHeight="1">
      <c r="A155" s="3"/>
      <c r="B155" s="3" t="s">
        <v>46</v>
      </c>
      <c r="C155" s="3" t="s">
        <v>47</v>
      </c>
      <c r="D155" s="3"/>
      <c r="E155" s="3" t="s">
        <v>5618</v>
      </c>
      <c r="F155" s="3"/>
      <c r="G155" s="3" t="s">
        <v>49</v>
      </c>
      <c r="H155" s="3" t="s">
        <v>50</v>
      </c>
      <c r="I155" s="3">
        <v>1510.0</v>
      </c>
      <c r="J155" s="3"/>
      <c r="K155" s="3" t="s">
        <v>92</v>
      </c>
      <c r="L155" s="3"/>
      <c r="M155" s="3" t="s">
        <v>5619</v>
      </c>
      <c r="N155" s="3" t="s">
        <v>53</v>
      </c>
      <c r="O155" s="3" t="s">
        <v>333</v>
      </c>
      <c r="P155" s="4">
        <v>44277.6511458333</v>
      </c>
      <c r="Q155" s="3" t="s">
        <v>56</v>
      </c>
      <c r="R155" s="3"/>
      <c r="S155" s="3" t="s">
        <v>1349</v>
      </c>
      <c r="T155" s="3">
        <v>1506609.0</v>
      </c>
      <c r="U155" s="3" t="s">
        <v>5250</v>
      </c>
      <c r="V155" s="3" t="s">
        <v>917</v>
      </c>
      <c r="W155" s="3" t="s">
        <v>100</v>
      </c>
      <c r="X155" s="3"/>
      <c r="Y155" s="3"/>
      <c r="Z155" s="3" t="s">
        <v>223</v>
      </c>
      <c r="AA155" s="3" t="s">
        <v>5620</v>
      </c>
      <c r="AB155" s="3" t="str">
        <f>"17605045000192"</f>
        <v>17605045000192</v>
      </c>
      <c r="AC155" s="3"/>
      <c r="AD155" s="3" t="s">
        <v>62</v>
      </c>
      <c r="AE155" s="3"/>
      <c r="AF155" s="3">
        <v>-47.584444</v>
      </c>
      <c r="AG155" s="3">
        <v>1.338333</v>
      </c>
      <c r="AH155" s="3" t="s">
        <v>5621</v>
      </c>
      <c r="AI155" s="3"/>
      <c r="AJ155" s="3" t="s">
        <v>1346</v>
      </c>
      <c r="AK155" s="3"/>
      <c r="AL155" s="3"/>
      <c r="AM155" s="3" t="s">
        <v>65</v>
      </c>
      <c r="AN155" s="3"/>
      <c r="AO155" s="3"/>
      <c r="AP155" s="4">
        <v>44277.6744097222</v>
      </c>
      <c r="AQ155" s="3"/>
      <c r="AR155" s="3" t="s">
        <v>3983</v>
      </c>
      <c r="AS155" s="3"/>
      <c r="AT155" s="4">
        <v>44281.0337152778</v>
      </c>
    </row>
    <row r="156" ht="15.75" customHeight="1">
      <c r="A156" s="3"/>
      <c r="B156" s="3" t="s">
        <v>46</v>
      </c>
      <c r="C156" s="3" t="s">
        <v>47</v>
      </c>
      <c r="D156" s="3"/>
      <c r="E156" s="3" t="s">
        <v>5622</v>
      </c>
      <c r="F156" s="3"/>
      <c r="G156" s="3" t="s">
        <v>49</v>
      </c>
      <c r="H156" s="3" t="s">
        <v>72</v>
      </c>
      <c r="I156" s="3">
        <v>100000.0</v>
      </c>
      <c r="J156" s="3"/>
      <c r="K156" s="3"/>
      <c r="L156" s="3"/>
      <c r="M156" s="3" t="s">
        <v>5623</v>
      </c>
      <c r="N156" s="3" t="s">
        <v>109</v>
      </c>
      <c r="O156" s="3" t="s">
        <v>110</v>
      </c>
      <c r="P156" s="4">
        <v>44277.6405787037</v>
      </c>
      <c r="Q156" s="3" t="s">
        <v>56</v>
      </c>
      <c r="R156" s="3"/>
      <c r="S156" s="3" t="s">
        <v>784</v>
      </c>
      <c r="T156" s="3">
        <v>4218251.0</v>
      </c>
      <c r="U156" s="3" t="s">
        <v>5624</v>
      </c>
      <c r="V156" s="3" t="s">
        <v>222</v>
      </c>
      <c r="W156" s="3" t="s">
        <v>78</v>
      </c>
      <c r="X156" s="3"/>
      <c r="Y156" s="3"/>
      <c r="Z156" s="3" t="s">
        <v>112</v>
      </c>
      <c r="AA156" s="3" t="s">
        <v>5625</v>
      </c>
      <c r="AB156" s="3" t="str">
        <f>"***627729**"</f>
        <v>***627729**</v>
      </c>
      <c r="AC156" s="3"/>
      <c r="AD156" s="3" t="s">
        <v>325</v>
      </c>
      <c r="AE156" s="3"/>
      <c r="AF156" s="3">
        <v>-50.612694</v>
      </c>
      <c r="AG156" s="3">
        <v>-26.721972</v>
      </c>
      <c r="AH156" s="3" t="s">
        <v>5626</v>
      </c>
      <c r="AI156" s="3"/>
      <c r="AJ156" s="3" t="s">
        <v>226</v>
      </c>
      <c r="AK156" s="3"/>
      <c r="AL156" s="3"/>
      <c r="AM156" s="3" t="s">
        <v>65</v>
      </c>
      <c r="AN156" s="3" t="s">
        <v>788</v>
      </c>
      <c r="AO156" s="3"/>
      <c r="AP156" s="4">
        <v>44277.6622222222</v>
      </c>
      <c r="AQ156" s="3"/>
      <c r="AR156" s="3" t="s">
        <v>5627</v>
      </c>
      <c r="AS156" s="3"/>
      <c r="AT156" s="4">
        <v>44281.0337152778</v>
      </c>
    </row>
    <row r="157" ht="15.75" customHeight="1">
      <c r="A157" s="3">
        <v>2044588.0</v>
      </c>
      <c r="B157" s="3" t="s">
        <v>116</v>
      </c>
      <c r="C157" s="3" t="s">
        <v>117</v>
      </c>
      <c r="D157" s="3" t="s">
        <v>46</v>
      </c>
      <c r="E157" s="3" t="s">
        <v>5628</v>
      </c>
      <c r="F157" s="3"/>
      <c r="G157" s="3" t="s">
        <v>119</v>
      </c>
      <c r="H157" s="3" t="s">
        <v>50</v>
      </c>
      <c r="I157" s="3">
        <v>1510.0</v>
      </c>
      <c r="J157" s="3"/>
      <c r="K157" s="3"/>
      <c r="L157" s="3" t="s">
        <v>142</v>
      </c>
      <c r="M157" s="3" t="s">
        <v>5629</v>
      </c>
      <c r="N157" s="3" t="s">
        <v>53</v>
      </c>
      <c r="O157" s="3" t="s">
        <v>382</v>
      </c>
      <c r="P157" s="4">
        <v>44277.625</v>
      </c>
      <c r="Q157" s="3" t="s">
        <v>56</v>
      </c>
      <c r="R157" s="3"/>
      <c r="S157" s="3" t="s">
        <v>220</v>
      </c>
      <c r="T157" s="3">
        <v>3549805.0</v>
      </c>
      <c r="U157" s="3" t="s">
        <v>368</v>
      </c>
      <c r="V157" s="3" t="s">
        <v>139</v>
      </c>
      <c r="W157" s="3" t="s">
        <v>78</v>
      </c>
      <c r="X157" s="3"/>
      <c r="Y157" s="3" t="str">
        <f>"02027002852202100"</f>
        <v>02027002852202100</v>
      </c>
      <c r="Z157" s="3" t="s">
        <v>384</v>
      </c>
      <c r="AA157" s="3" t="s">
        <v>5630</v>
      </c>
      <c r="AB157" s="3" t="str">
        <f>"***791849**"</f>
        <v>***791849**</v>
      </c>
      <c r="AC157" s="3"/>
      <c r="AD157" s="3"/>
      <c r="AE157" s="3"/>
      <c r="AF157" s="3">
        <v>-40.355556</v>
      </c>
      <c r="AG157" s="3">
        <v>-20.791944</v>
      </c>
      <c r="AH157" s="3" t="s">
        <v>5486</v>
      </c>
      <c r="AI157" s="3"/>
      <c r="AJ157" s="3" t="s">
        <v>142</v>
      </c>
      <c r="AK157" s="3"/>
      <c r="AL157" s="3" t="s">
        <v>128</v>
      </c>
      <c r="AM157" s="3" t="s">
        <v>65</v>
      </c>
      <c r="AN157" s="3" t="s">
        <v>83</v>
      </c>
      <c r="AO157" s="4">
        <v>44278.0</v>
      </c>
      <c r="AP157" s="4">
        <v>44278.3713773148</v>
      </c>
      <c r="AQ157" s="3" t="s">
        <v>132</v>
      </c>
      <c r="AR157" s="3" t="s">
        <v>3975</v>
      </c>
      <c r="AS157" s="3"/>
      <c r="AT157" s="4">
        <v>44281.0337152778</v>
      </c>
    </row>
    <row r="158" ht="15.75" customHeight="1">
      <c r="A158" s="3"/>
      <c r="B158" s="3" t="s">
        <v>46</v>
      </c>
      <c r="C158" s="3" t="s">
        <v>47</v>
      </c>
      <c r="D158" s="3"/>
      <c r="E158" s="3" t="s">
        <v>5631</v>
      </c>
      <c r="F158" s="3"/>
      <c r="G158" s="3" t="s">
        <v>49</v>
      </c>
      <c r="H158" s="3" t="s">
        <v>50</v>
      </c>
      <c r="I158" s="3">
        <v>5184.0</v>
      </c>
      <c r="J158" s="3"/>
      <c r="K158" s="3" t="s">
        <v>51</v>
      </c>
      <c r="L158" s="3"/>
      <c r="M158" s="3" t="s">
        <v>5632</v>
      </c>
      <c r="N158" s="3" t="s">
        <v>109</v>
      </c>
      <c r="O158" s="3" t="s">
        <v>110</v>
      </c>
      <c r="P158" s="4">
        <v>44277.6207060185</v>
      </c>
      <c r="Q158" s="3" t="s">
        <v>77</v>
      </c>
      <c r="R158" s="3"/>
      <c r="S158" s="3" t="s">
        <v>1349</v>
      </c>
      <c r="T158" s="3">
        <v>1508100.0</v>
      </c>
      <c r="U158" s="3" t="s">
        <v>5107</v>
      </c>
      <c r="V158" s="3" t="s">
        <v>917</v>
      </c>
      <c r="W158" s="3" t="s">
        <v>100</v>
      </c>
      <c r="X158" s="3"/>
      <c r="Y158" s="3"/>
      <c r="Z158" s="3" t="s">
        <v>112</v>
      </c>
      <c r="AA158" s="3" t="s">
        <v>5633</v>
      </c>
      <c r="AB158" s="3" t="str">
        <f t="shared" ref="AB158:AB159" si="14">"***447926**"</f>
        <v>***447926**</v>
      </c>
      <c r="AC158" s="3"/>
      <c r="AD158" s="3" t="s">
        <v>62</v>
      </c>
      <c r="AE158" s="3"/>
      <c r="AF158" s="3">
        <v>-49.683056</v>
      </c>
      <c r="AG158" s="3">
        <v>-3.733056</v>
      </c>
      <c r="AH158" s="3" t="s">
        <v>5634</v>
      </c>
      <c r="AI158" s="3"/>
      <c r="AJ158" s="3" t="s">
        <v>64</v>
      </c>
      <c r="AK158" s="3"/>
      <c r="AL158" s="3"/>
      <c r="AM158" s="3" t="s">
        <v>65</v>
      </c>
      <c r="AN158" s="3" t="s">
        <v>83</v>
      </c>
      <c r="AO158" s="3"/>
      <c r="AP158" s="4">
        <v>44277.6306481482</v>
      </c>
      <c r="AQ158" s="3"/>
      <c r="AR158" s="3" t="s">
        <v>177</v>
      </c>
      <c r="AS158" s="3"/>
      <c r="AT158" s="4">
        <v>44281.0337152778</v>
      </c>
    </row>
    <row r="159" ht="15.75" customHeight="1">
      <c r="A159" s="3"/>
      <c r="B159" s="3" t="s">
        <v>46</v>
      </c>
      <c r="C159" s="3" t="s">
        <v>47</v>
      </c>
      <c r="D159" s="3"/>
      <c r="E159" s="3" t="s">
        <v>5635</v>
      </c>
      <c r="F159" s="3"/>
      <c r="G159" s="3" t="s">
        <v>49</v>
      </c>
      <c r="H159" s="3" t="s">
        <v>50</v>
      </c>
      <c r="I159" s="3">
        <v>500.0</v>
      </c>
      <c r="J159" s="3"/>
      <c r="K159" s="3" t="s">
        <v>51</v>
      </c>
      <c r="L159" s="3"/>
      <c r="M159" s="3" t="s">
        <v>5636</v>
      </c>
      <c r="N159" s="3" t="s">
        <v>53</v>
      </c>
      <c r="O159" s="3" t="s">
        <v>333</v>
      </c>
      <c r="P159" s="4">
        <v>44277.5960300926</v>
      </c>
      <c r="Q159" s="3" t="s">
        <v>77</v>
      </c>
      <c r="R159" s="3"/>
      <c r="S159" s="3" t="s">
        <v>1349</v>
      </c>
      <c r="T159" s="3">
        <v>1508100.0</v>
      </c>
      <c r="U159" s="3" t="s">
        <v>5107</v>
      </c>
      <c r="V159" s="3" t="s">
        <v>917</v>
      </c>
      <c r="W159" s="3" t="s">
        <v>100</v>
      </c>
      <c r="X159" s="3"/>
      <c r="Y159" s="3"/>
      <c r="Z159" s="3" t="s">
        <v>223</v>
      </c>
      <c r="AA159" s="3" t="s">
        <v>5633</v>
      </c>
      <c r="AB159" s="3" t="str">
        <f t="shared" si="14"/>
        <v>***447926**</v>
      </c>
      <c r="AC159" s="3"/>
      <c r="AD159" s="3" t="s">
        <v>62</v>
      </c>
      <c r="AE159" s="3"/>
      <c r="AF159" s="3">
        <v>-49.673333</v>
      </c>
      <c r="AG159" s="3">
        <v>-3.756389</v>
      </c>
      <c r="AH159" s="3" t="s">
        <v>5634</v>
      </c>
      <c r="AI159" s="3"/>
      <c r="AJ159" s="3" t="s">
        <v>64</v>
      </c>
      <c r="AK159" s="3"/>
      <c r="AL159" s="3"/>
      <c r="AM159" s="3" t="s">
        <v>65</v>
      </c>
      <c r="AN159" s="3" t="s">
        <v>83</v>
      </c>
      <c r="AO159" s="3"/>
      <c r="AP159" s="4">
        <v>44277.6096759259</v>
      </c>
      <c r="AQ159" s="3"/>
      <c r="AR159" s="3" t="s">
        <v>463</v>
      </c>
      <c r="AS159" s="3"/>
      <c r="AT159" s="4">
        <v>44281.0337152778</v>
      </c>
    </row>
    <row r="160" ht="15.75" customHeight="1">
      <c r="A160" s="3"/>
      <c r="B160" s="3" t="s">
        <v>46</v>
      </c>
      <c r="C160" s="3" t="s">
        <v>47</v>
      </c>
      <c r="D160" s="3"/>
      <c r="E160" s="3" t="s">
        <v>5637</v>
      </c>
      <c r="F160" s="3"/>
      <c r="G160" s="3" t="s">
        <v>49</v>
      </c>
      <c r="H160" s="3" t="s">
        <v>72</v>
      </c>
      <c r="I160" s="3">
        <v>2000.0</v>
      </c>
      <c r="J160" s="3"/>
      <c r="K160" s="3"/>
      <c r="L160" s="3"/>
      <c r="M160" s="3" t="s">
        <v>5638</v>
      </c>
      <c r="N160" s="3" t="s">
        <v>109</v>
      </c>
      <c r="O160" s="3" t="s">
        <v>110</v>
      </c>
      <c r="P160" s="4">
        <v>44277.585625</v>
      </c>
      <c r="Q160" s="3" t="s">
        <v>77</v>
      </c>
      <c r="R160" s="3"/>
      <c r="S160" s="3" t="s">
        <v>220</v>
      </c>
      <c r="T160" s="3">
        <v>1508100.0</v>
      </c>
      <c r="U160" s="3" t="s">
        <v>5107</v>
      </c>
      <c r="V160" s="3" t="s">
        <v>917</v>
      </c>
      <c r="W160" s="3" t="s">
        <v>100</v>
      </c>
      <c r="X160" s="3"/>
      <c r="Y160" s="3"/>
      <c r="Z160" s="3" t="s">
        <v>112</v>
      </c>
      <c r="AA160" s="3" t="s">
        <v>5639</v>
      </c>
      <c r="AB160" s="3" t="str">
        <f>"24550871000147"</f>
        <v>24550871000147</v>
      </c>
      <c r="AC160" s="3"/>
      <c r="AD160" s="3" t="s">
        <v>81</v>
      </c>
      <c r="AE160" s="3"/>
      <c r="AF160" s="3">
        <v>-47.933056</v>
      </c>
      <c r="AG160" s="3">
        <v>-15.83</v>
      </c>
      <c r="AH160" s="3" t="s">
        <v>5640</v>
      </c>
      <c r="AI160" s="3"/>
      <c r="AJ160" s="3" t="s">
        <v>120</v>
      </c>
      <c r="AK160" s="3"/>
      <c r="AL160" s="3"/>
      <c r="AM160" s="3" t="s">
        <v>65</v>
      </c>
      <c r="AN160" s="3" t="s">
        <v>5110</v>
      </c>
      <c r="AO160" s="3"/>
      <c r="AP160" s="4">
        <v>44277.8587037037</v>
      </c>
      <c r="AQ160" s="3"/>
      <c r="AR160" s="3" t="s">
        <v>1663</v>
      </c>
      <c r="AS160" s="3"/>
      <c r="AT160" s="4">
        <v>44281.0337152778</v>
      </c>
    </row>
    <row r="161" ht="15.75" customHeight="1">
      <c r="A161" s="3">
        <v>2044617.0</v>
      </c>
      <c r="B161" s="3" t="s">
        <v>116</v>
      </c>
      <c r="C161" s="3" t="s">
        <v>117</v>
      </c>
      <c r="D161" s="3" t="s">
        <v>46</v>
      </c>
      <c r="E161" s="3" t="s">
        <v>5641</v>
      </c>
      <c r="F161" s="3"/>
      <c r="G161" s="3" t="s">
        <v>119</v>
      </c>
      <c r="H161" s="3" t="s">
        <v>50</v>
      </c>
      <c r="I161" s="3">
        <v>13000.0</v>
      </c>
      <c r="J161" s="3"/>
      <c r="K161" s="3"/>
      <c r="L161" s="3" t="s">
        <v>120</v>
      </c>
      <c r="M161" s="3" t="s">
        <v>5642</v>
      </c>
      <c r="N161" s="3" t="s">
        <v>53</v>
      </c>
      <c r="O161" s="3" t="s">
        <v>382</v>
      </c>
      <c r="P161" s="4">
        <v>44277.5833333333</v>
      </c>
      <c r="Q161" s="3" t="s">
        <v>56</v>
      </c>
      <c r="R161" s="3"/>
      <c r="S161" s="3" t="s">
        <v>169</v>
      </c>
      <c r="T161" s="3">
        <v>5208707.0</v>
      </c>
      <c r="U161" s="3" t="s">
        <v>5643</v>
      </c>
      <c r="V161" s="3" t="s">
        <v>171</v>
      </c>
      <c r="W161" s="3" t="s">
        <v>172</v>
      </c>
      <c r="X161" s="3"/>
      <c r="Y161" s="3" t="str">
        <f>"02001005943202187"</f>
        <v>02001005943202187</v>
      </c>
      <c r="Z161" s="3" t="s">
        <v>384</v>
      </c>
      <c r="AA161" s="3" t="s">
        <v>5644</v>
      </c>
      <c r="AB161" s="3" t="str">
        <f>"04874154000163"</f>
        <v>04874154000163</v>
      </c>
      <c r="AC161" s="3"/>
      <c r="AD161" s="3"/>
      <c r="AE161" s="3"/>
      <c r="AF161" s="3">
        <v>-49.311944</v>
      </c>
      <c r="AG161" s="3">
        <v>-16.666389</v>
      </c>
      <c r="AH161" s="3" t="s">
        <v>5645</v>
      </c>
      <c r="AI161" s="3"/>
      <c r="AJ161" s="3" t="s">
        <v>120</v>
      </c>
      <c r="AK161" s="3"/>
      <c r="AL161" s="3" t="s">
        <v>128</v>
      </c>
      <c r="AM161" s="3" t="s">
        <v>65</v>
      </c>
      <c r="AN161" s="3" t="s">
        <v>5317</v>
      </c>
      <c r="AO161" s="4">
        <v>44278.0</v>
      </c>
      <c r="AP161" s="4">
        <v>44278.6921180556</v>
      </c>
      <c r="AQ161" s="3" t="s">
        <v>132</v>
      </c>
      <c r="AR161" s="3" t="s">
        <v>531</v>
      </c>
      <c r="AS161" s="3" t="s">
        <v>5420</v>
      </c>
      <c r="AT161" s="4">
        <v>44281.0337152778</v>
      </c>
    </row>
    <row r="162" ht="15.75" customHeight="1">
      <c r="A162" s="3"/>
      <c r="B162" s="3" t="s">
        <v>46</v>
      </c>
      <c r="C162" s="3" t="s">
        <v>571</v>
      </c>
      <c r="D162" s="3" t="s">
        <v>116</v>
      </c>
      <c r="E162" s="3" t="s">
        <v>5646</v>
      </c>
      <c r="F162" s="3"/>
      <c r="G162" s="3" t="s">
        <v>49</v>
      </c>
      <c r="H162" s="3" t="s">
        <v>50</v>
      </c>
      <c r="I162" s="3">
        <v>11000.0</v>
      </c>
      <c r="J162" s="3"/>
      <c r="K162" s="3" t="s">
        <v>51</v>
      </c>
      <c r="L162" s="3"/>
      <c r="M162" s="3" t="s">
        <v>5647</v>
      </c>
      <c r="N162" s="3" t="s">
        <v>94</v>
      </c>
      <c r="O162" s="3" t="s">
        <v>95</v>
      </c>
      <c r="P162" s="4">
        <v>44277.5813310185</v>
      </c>
      <c r="Q162" s="3" t="s">
        <v>77</v>
      </c>
      <c r="R162" s="3"/>
      <c r="S162" s="3" t="s">
        <v>1173</v>
      </c>
      <c r="T162" s="3">
        <v>2509800.0</v>
      </c>
      <c r="U162" s="3" t="s">
        <v>5648</v>
      </c>
      <c r="V162" s="3" t="s">
        <v>1175</v>
      </c>
      <c r="W162" s="3" t="s">
        <v>78</v>
      </c>
      <c r="X162" s="3"/>
      <c r="Y162" s="3"/>
      <c r="Z162" s="3" t="s">
        <v>101</v>
      </c>
      <c r="AA162" s="3" t="s">
        <v>5649</v>
      </c>
      <c r="AB162" s="3" t="str">
        <f>"08824564000150"</f>
        <v>08824564000150</v>
      </c>
      <c r="AC162" s="3"/>
      <c r="AD162" s="3" t="s">
        <v>62</v>
      </c>
      <c r="AE162" s="3"/>
      <c r="AF162" s="3">
        <v>-35.495333</v>
      </c>
      <c r="AG162" s="3">
        <v>-7.029694</v>
      </c>
      <c r="AH162" s="3" t="s">
        <v>5650</v>
      </c>
      <c r="AI162" s="3"/>
      <c r="AJ162" s="3" t="s">
        <v>1178</v>
      </c>
      <c r="AK162" s="3"/>
      <c r="AL162" s="3"/>
      <c r="AM162" s="3" t="s">
        <v>65</v>
      </c>
      <c r="AN162" s="3" t="s">
        <v>5651</v>
      </c>
      <c r="AO162" s="3"/>
      <c r="AP162" s="4">
        <v>44277.6439467593</v>
      </c>
      <c r="AQ162" s="3"/>
      <c r="AR162" s="3" t="s">
        <v>684</v>
      </c>
      <c r="AS162" s="3"/>
      <c r="AT162" s="4">
        <v>44281.0337152778</v>
      </c>
    </row>
    <row r="163" ht="15.75" customHeight="1">
      <c r="A163" s="3"/>
      <c r="B163" s="3" t="s">
        <v>46</v>
      </c>
      <c r="C163" s="3" t="s">
        <v>47</v>
      </c>
      <c r="D163" s="3"/>
      <c r="E163" s="3" t="s">
        <v>5652</v>
      </c>
      <c r="F163" s="3"/>
      <c r="G163" s="3" t="s">
        <v>49</v>
      </c>
      <c r="H163" s="3" t="s">
        <v>50</v>
      </c>
      <c r="I163" s="3">
        <v>52500.0</v>
      </c>
      <c r="J163" s="3"/>
      <c r="K163" s="3"/>
      <c r="L163" s="3"/>
      <c r="M163" s="3" t="s">
        <v>5653</v>
      </c>
      <c r="N163" s="3" t="s">
        <v>186</v>
      </c>
      <c r="O163" s="3" t="s">
        <v>187</v>
      </c>
      <c r="P163" s="4">
        <v>44277.5525578704</v>
      </c>
      <c r="Q163" s="3" t="s">
        <v>56</v>
      </c>
      <c r="R163" s="3"/>
      <c r="S163" s="3" t="s">
        <v>148</v>
      </c>
      <c r="T163" s="3">
        <v>1100122.0</v>
      </c>
      <c r="U163" s="3" t="s">
        <v>3469</v>
      </c>
      <c r="V163" s="3" t="s">
        <v>125</v>
      </c>
      <c r="W163" s="3" t="s">
        <v>100</v>
      </c>
      <c r="X163" s="3"/>
      <c r="Y163" s="3" t="str">
        <f>"02502000104202121"</f>
        <v>02502000104202121</v>
      </c>
      <c r="Z163" s="3"/>
      <c r="AA163" s="3" t="s">
        <v>5654</v>
      </c>
      <c r="AB163" s="3" t="str">
        <f>"04772463000122"</f>
        <v>04772463000122</v>
      </c>
      <c r="AC163" s="3"/>
      <c r="AD163" s="3" t="s">
        <v>62</v>
      </c>
      <c r="AE163" s="3"/>
      <c r="AF163" s="3">
        <v>-61.915694</v>
      </c>
      <c r="AG163" s="3">
        <v>-10.905722</v>
      </c>
      <c r="AH163" s="3" t="s">
        <v>5655</v>
      </c>
      <c r="AI163" s="3"/>
      <c r="AJ163" s="3" t="s">
        <v>158</v>
      </c>
      <c r="AK163" s="3"/>
      <c r="AL163" s="3"/>
      <c r="AM163" s="3" t="s">
        <v>65</v>
      </c>
      <c r="AN163" s="3" t="s">
        <v>159</v>
      </c>
      <c r="AO163" s="3"/>
      <c r="AP163" s="4">
        <v>44277.5810185185</v>
      </c>
      <c r="AQ163" s="3"/>
      <c r="AR163" s="3" t="s">
        <v>106</v>
      </c>
      <c r="AS163" s="3"/>
      <c r="AT163" s="4">
        <v>44281.0337152778</v>
      </c>
    </row>
    <row r="164" ht="15.75" customHeight="1">
      <c r="A164" s="3"/>
      <c r="B164" s="3" t="s">
        <v>46</v>
      </c>
      <c r="C164" s="3" t="s">
        <v>47</v>
      </c>
      <c r="D164" s="3"/>
      <c r="E164" s="3" t="s">
        <v>5656</v>
      </c>
      <c r="F164" s="3"/>
      <c r="G164" s="3" t="s">
        <v>49</v>
      </c>
      <c r="H164" s="3" t="s">
        <v>72</v>
      </c>
      <c r="I164" s="3">
        <v>21000.0</v>
      </c>
      <c r="J164" s="3"/>
      <c r="K164" s="3"/>
      <c r="L164" s="3"/>
      <c r="M164" s="3" t="s">
        <v>5657</v>
      </c>
      <c r="N164" s="3" t="s">
        <v>109</v>
      </c>
      <c r="O164" s="3" t="s">
        <v>110</v>
      </c>
      <c r="P164" s="4">
        <v>44277.4839236111</v>
      </c>
      <c r="Q164" s="3" t="s">
        <v>56</v>
      </c>
      <c r="R164" s="3"/>
      <c r="S164" s="3" t="s">
        <v>268</v>
      </c>
      <c r="T164" s="3">
        <v>4121752.0</v>
      </c>
      <c r="U164" s="3" t="s">
        <v>5658</v>
      </c>
      <c r="V164" s="3" t="s">
        <v>270</v>
      </c>
      <c r="W164" s="3" t="s">
        <v>78</v>
      </c>
      <c r="X164" s="3"/>
      <c r="Y164" s="3"/>
      <c r="Z164" s="3" t="s">
        <v>112</v>
      </c>
      <c r="AA164" s="3" t="s">
        <v>5659</v>
      </c>
      <c r="AB164" s="3" t="str">
        <f>"***283589**"</f>
        <v>***283589**</v>
      </c>
      <c r="AC164" s="3"/>
      <c r="AD164" s="3" t="s">
        <v>325</v>
      </c>
      <c r="AE164" s="3"/>
      <c r="AF164" s="3">
        <v>-51.836111</v>
      </c>
      <c r="AG164" s="3">
        <v>-25.872222</v>
      </c>
      <c r="AH164" s="3" t="s">
        <v>5660</v>
      </c>
      <c r="AI164" s="3"/>
      <c r="AJ164" s="3" t="s">
        <v>273</v>
      </c>
      <c r="AK164" s="3"/>
      <c r="AL164" s="3"/>
      <c r="AM164" s="3" t="s">
        <v>65</v>
      </c>
      <c r="AN164" s="3" t="s">
        <v>274</v>
      </c>
      <c r="AO164" s="3"/>
      <c r="AP164" s="4">
        <v>44277.4948611111</v>
      </c>
      <c r="AQ164" s="3"/>
      <c r="AR164" s="3" t="s">
        <v>5661</v>
      </c>
      <c r="AS164" s="3"/>
      <c r="AT164" s="4">
        <v>44281.0337152778</v>
      </c>
    </row>
    <row r="165" ht="15.75" customHeight="1">
      <c r="A165" s="3"/>
      <c r="B165" s="3" t="s">
        <v>46</v>
      </c>
      <c r="C165" s="3" t="s">
        <v>47</v>
      </c>
      <c r="D165" s="3"/>
      <c r="E165" s="3" t="s">
        <v>5662</v>
      </c>
      <c r="F165" s="3"/>
      <c r="G165" s="3" t="s">
        <v>49</v>
      </c>
      <c r="H165" s="3" t="s">
        <v>72</v>
      </c>
      <c r="I165" s="3">
        <v>190000.0</v>
      </c>
      <c r="J165" s="3"/>
      <c r="K165" s="3"/>
      <c r="L165" s="3"/>
      <c r="M165" s="3" t="s">
        <v>5663</v>
      </c>
      <c r="N165" s="3" t="s">
        <v>109</v>
      </c>
      <c r="O165" s="3" t="s">
        <v>110</v>
      </c>
      <c r="P165" s="4">
        <v>44277.4838773148</v>
      </c>
      <c r="Q165" s="3" t="s">
        <v>56</v>
      </c>
      <c r="R165" s="3"/>
      <c r="S165" s="3" t="s">
        <v>169</v>
      </c>
      <c r="T165" s="3">
        <v>5214838.0</v>
      </c>
      <c r="U165" s="3" t="s">
        <v>5664</v>
      </c>
      <c r="V165" s="3" t="s">
        <v>171</v>
      </c>
      <c r="W165" s="3" t="s">
        <v>172</v>
      </c>
      <c r="X165" s="3" t="s">
        <v>5665</v>
      </c>
      <c r="Y165" s="3"/>
      <c r="Z165" s="3" t="s">
        <v>112</v>
      </c>
      <c r="AA165" s="3" t="s">
        <v>5666</v>
      </c>
      <c r="AB165" s="3" t="str">
        <f t="shared" ref="AB165:AB166" si="15">"***610991**"</f>
        <v>***610991**</v>
      </c>
      <c r="AC165" s="3"/>
      <c r="AD165" s="3" t="s">
        <v>325</v>
      </c>
      <c r="AE165" s="3"/>
      <c r="AF165" s="3">
        <v>-50.582778</v>
      </c>
      <c r="AG165" s="3">
        <v>-13.442778</v>
      </c>
      <c r="AH165" s="3" t="s">
        <v>5667</v>
      </c>
      <c r="AI165" s="3"/>
      <c r="AJ165" s="3" t="s">
        <v>5396</v>
      </c>
      <c r="AK165" s="3"/>
      <c r="AL165" s="3"/>
      <c r="AM165" s="3" t="s">
        <v>65</v>
      </c>
      <c r="AN165" s="3" t="s">
        <v>5397</v>
      </c>
      <c r="AO165" s="3"/>
      <c r="AP165" s="4">
        <v>44277.4902546296</v>
      </c>
      <c r="AQ165" s="3"/>
      <c r="AR165" s="3" t="s">
        <v>3473</v>
      </c>
      <c r="AS165" s="3" t="s">
        <v>5398</v>
      </c>
      <c r="AT165" s="4">
        <v>44281.0337152778</v>
      </c>
    </row>
    <row r="166" ht="15.75" customHeight="1">
      <c r="A166" s="3"/>
      <c r="B166" s="3" t="s">
        <v>46</v>
      </c>
      <c r="C166" s="3" t="s">
        <v>47</v>
      </c>
      <c r="D166" s="3"/>
      <c r="E166" s="3" t="s">
        <v>5668</v>
      </c>
      <c r="F166" s="3"/>
      <c r="G166" s="3" t="s">
        <v>49</v>
      </c>
      <c r="H166" s="3" t="s">
        <v>72</v>
      </c>
      <c r="I166" s="3">
        <v>80000.0</v>
      </c>
      <c r="J166" s="3"/>
      <c r="K166" s="3"/>
      <c r="L166" s="3"/>
      <c r="M166" s="3" t="s">
        <v>5669</v>
      </c>
      <c r="N166" s="3" t="s">
        <v>109</v>
      </c>
      <c r="O166" s="3" t="s">
        <v>110</v>
      </c>
      <c r="P166" s="4">
        <v>44277.4712384259</v>
      </c>
      <c r="Q166" s="3" t="s">
        <v>56</v>
      </c>
      <c r="R166" s="3"/>
      <c r="S166" s="3" t="s">
        <v>169</v>
      </c>
      <c r="T166" s="3">
        <v>5214838.0</v>
      </c>
      <c r="U166" s="3" t="s">
        <v>5664</v>
      </c>
      <c r="V166" s="3" t="s">
        <v>171</v>
      </c>
      <c r="W166" s="3" t="s">
        <v>172</v>
      </c>
      <c r="X166" s="3" t="s">
        <v>5665</v>
      </c>
      <c r="Y166" s="3"/>
      <c r="Z166" s="3" t="s">
        <v>112</v>
      </c>
      <c r="AA166" s="3" t="s">
        <v>5666</v>
      </c>
      <c r="AB166" s="3" t="str">
        <f t="shared" si="15"/>
        <v>***610991**</v>
      </c>
      <c r="AC166" s="3"/>
      <c r="AD166" s="3" t="s">
        <v>325</v>
      </c>
      <c r="AE166" s="3"/>
      <c r="AF166" s="3">
        <v>-50.616111</v>
      </c>
      <c r="AG166" s="3">
        <v>-13.465</v>
      </c>
      <c r="AH166" s="3" t="s">
        <v>5667</v>
      </c>
      <c r="AI166" s="3"/>
      <c r="AJ166" s="3" t="s">
        <v>5396</v>
      </c>
      <c r="AK166" s="3"/>
      <c r="AL166" s="3"/>
      <c r="AM166" s="3" t="s">
        <v>65</v>
      </c>
      <c r="AN166" s="3" t="s">
        <v>5397</v>
      </c>
      <c r="AO166" s="3"/>
      <c r="AP166" s="4">
        <v>44277.4782407407</v>
      </c>
      <c r="AQ166" s="3"/>
      <c r="AR166" s="3" t="s">
        <v>1475</v>
      </c>
      <c r="AS166" s="3" t="s">
        <v>5398</v>
      </c>
      <c r="AT166" s="4">
        <v>44281.0337152778</v>
      </c>
    </row>
    <row r="167" ht="15.75" customHeight="1">
      <c r="A167" s="3">
        <v>2044699.0</v>
      </c>
      <c r="B167" s="3" t="s">
        <v>116</v>
      </c>
      <c r="C167" s="3" t="s">
        <v>117</v>
      </c>
      <c r="D167" s="3" t="s">
        <v>46</v>
      </c>
      <c r="E167" s="3" t="s">
        <v>5670</v>
      </c>
      <c r="F167" s="3"/>
      <c r="G167" s="3" t="s">
        <v>119</v>
      </c>
      <c r="H167" s="3" t="s">
        <v>50</v>
      </c>
      <c r="I167" s="3">
        <v>2000.0</v>
      </c>
      <c r="J167" s="3"/>
      <c r="K167" s="3"/>
      <c r="L167" s="3" t="s">
        <v>405</v>
      </c>
      <c r="M167" s="3" t="s">
        <v>5671</v>
      </c>
      <c r="N167" s="3" t="s">
        <v>53</v>
      </c>
      <c r="O167" s="3" t="s">
        <v>333</v>
      </c>
      <c r="P167" s="4">
        <v>44277.4583333333</v>
      </c>
      <c r="Q167" s="3" t="s">
        <v>56</v>
      </c>
      <c r="R167" s="3"/>
      <c r="S167" s="3" t="s">
        <v>400</v>
      </c>
      <c r="T167" s="3">
        <v>4317608.0</v>
      </c>
      <c r="U167" s="3" t="s">
        <v>5672</v>
      </c>
      <c r="V167" s="3" t="s">
        <v>402</v>
      </c>
      <c r="W167" s="3" t="s">
        <v>78</v>
      </c>
      <c r="X167" s="3"/>
      <c r="Y167" s="3" t="str">
        <f>"02023000640202110"</f>
        <v>02023000640202110</v>
      </c>
      <c r="Z167" s="3" t="s">
        <v>223</v>
      </c>
      <c r="AA167" s="3" t="s">
        <v>5673</v>
      </c>
      <c r="AB167" s="3" t="str">
        <f>"***605039**"</f>
        <v>***605039**</v>
      </c>
      <c r="AC167" s="3"/>
      <c r="AD167" s="3"/>
      <c r="AE167" s="3"/>
      <c r="AF167" s="3">
        <v>-50.506944</v>
      </c>
      <c r="AG167" s="3">
        <v>-29.7625</v>
      </c>
      <c r="AH167" s="3" t="s">
        <v>5674</v>
      </c>
      <c r="AI167" s="3"/>
      <c r="AJ167" s="3" t="s">
        <v>405</v>
      </c>
      <c r="AK167" s="3"/>
      <c r="AL167" s="3" t="s">
        <v>128</v>
      </c>
      <c r="AM167" s="3" t="s">
        <v>65</v>
      </c>
      <c r="AN167" s="3" t="s">
        <v>83</v>
      </c>
      <c r="AO167" s="4">
        <v>44280.0</v>
      </c>
      <c r="AP167" s="4">
        <v>44280.4604398148</v>
      </c>
      <c r="AQ167" s="3" t="s">
        <v>132</v>
      </c>
      <c r="AR167" s="3" t="s">
        <v>2761</v>
      </c>
      <c r="AS167" s="3" t="s">
        <v>5675</v>
      </c>
      <c r="AT167" s="4">
        <v>44281.0337152778</v>
      </c>
    </row>
    <row r="168" ht="15.75" customHeight="1">
      <c r="A168" s="3"/>
      <c r="B168" s="3" t="s">
        <v>46</v>
      </c>
      <c r="C168" s="3" t="s">
        <v>47</v>
      </c>
      <c r="D168" s="3"/>
      <c r="E168" s="3" t="s">
        <v>5676</v>
      </c>
      <c r="F168" s="3"/>
      <c r="G168" s="3" t="s">
        <v>49</v>
      </c>
      <c r="H168" s="3" t="s">
        <v>50</v>
      </c>
      <c r="I168" s="3">
        <v>1500.0</v>
      </c>
      <c r="J168" s="3"/>
      <c r="K168" s="3" t="s">
        <v>51</v>
      </c>
      <c r="L168" s="3"/>
      <c r="M168" s="3" t="s">
        <v>5677</v>
      </c>
      <c r="N168" s="3" t="s">
        <v>285</v>
      </c>
      <c r="O168" s="3" t="s">
        <v>286</v>
      </c>
      <c r="P168" s="4">
        <v>44277.4279282407</v>
      </c>
      <c r="Q168" s="3" t="s">
        <v>137</v>
      </c>
      <c r="R168" s="3"/>
      <c r="S168" s="3" t="s">
        <v>1694</v>
      </c>
      <c r="T168" s="3">
        <v>1600204.0</v>
      </c>
      <c r="U168" s="3" t="s">
        <v>5678</v>
      </c>
      <c r="V168" s="3" t="s">
        <v>1138</v>
      </c>
      <c r="W168" s="3" t="s">
        <v>100</v>
      </c>
      <c r="X168" s="3"/>
      <c r="Y168" s="3"/>
      <c r="Z168" s="3" t="s">
        <v>292</v>
      </c>
      <c r="AA168" s="3" t="s">
        <v>5679</v>
      </c>
      <c r="AB168" s="3" t="str">
        <f>"11909465000267"</f>
        <v>11909465000267</v>
      </c>
      <c r="AC168" s="3"/>
      <c r="AD168" s="3" t="s">
        <v>81</v>
      </c>
      <c r="AE168" s="3"/>
      <c r="AF168" s="3">
        <v>-50.943889</v>
      </c>
      <c r="AG168" s="3">
        <v>2.4925</v>
      </c>
      <c r="AH168" s="3" t="s">
        <v>5680</v>
      </c>
      <c r="AI168" s="3"/>
      <c r="AJ168" s="3" t="s">
        <v>1141</v>
      </c>
      <c r="AK168" s="3"/>
      <c r="AL168" s="3"/>
      <c r="AM168" s="3" t="s">
        <v>65</v>
      </c>
      <c r="AN168" s="3"/>
      <c r="AO168" s="3"/>
      <c r="AP168" s="4">
        <v>44277.4475694444</v>
      </c>
      <c r="AQ168" s="3"/>
      <c r="AR168" s="3" t="s">
        <v>106</v>
      </c>
      <c r="AS168" s="3"/>
      <c r="AT168" s="4">
        <v>44281.0337152778</v>
      </c>
    </row>
    <row r="169" ht="15.75" customHeight="1">
      <c r="A169" s="3"/>
      <c r="B169" s="3" t="s">
        <v>46</v>
      </c>
      <c r="C169" s="3" t="s">
        <v>47</v>
      </c>
      <c r="D169" s="3"/>
      <c r="E169" s="3" t="s">
        <v>5681</v>
      </c>
      <c r="F169" s="3"/>
      <c r="G169" s="3" t="s">
        <v>49</v>
      </c>
      <c r="H169" s="3" t="s">
        <v>50</v>
      </c>
      <c r="I169" s="3">
        <v>1000.0</v>
      </c>
      <c r="J169" s="3"/>
      <c r="K169" s="3" t="s">
        <v>51</v>
      </c>
      <c r="L169" s="3"/>
      <c r="M169" s="3" t="s">
        <v>5682</v>
      </c>
      <c r="N169" s="3" t="s">
        <v>381</v>
      </c>
      <c r="O169" s="3" t="s">
        <v>382</v>
      </c>
      <c r="P169" s="4">
        <v>44277.4148611111</v>
      </c>
      <c r="Q169" s="3" t="s">
        <v>56</v>
      </c>
      <c r="R169" s="3"/>
      <c r="S169" s="3" t="s">
        <v>288</v>
      </c>
      <c r="T169" s="3">
        <v>2211001.0</v>
      </c>
      <c r="U169" s="3" t="s">
        <v>527</v>
      </c>
      <c r="V169" s="3" t="s">
        <v>290</v>
      </c>
      <c r="W169" s="3" t="s">
        <v>172</v>
      </c>
      <c r="X169" s="3"/>
      <c r="Y169" s="3"/>
      <c r="Z169" s="3" t="s">
        <v>384</v>
      </c>
      <c r="AA169" s="3" t="s">
        <v>5683</v>
      </c>
      <c r="AB169" s="3" t="str">
        <f>"30568619000168"</f>
        <v>30568619000168</v>
      </c>
      <c r="AC169" s="3"/>
      <c r="AD169" s="3" t="s">
        <v>62</v>
      </c>
      <c r="AE169" s="3"/>
      <c r="AF169" s="3">
        <v>-47.933056</v>
      </c>
      <c r="AG169" s="3">
        <v>-15.83</v>
      </c>
      <c r="AH169" s="3" t="s">
        <v>5684</v>
      </c>
      <c r="AI169" s="3"/>
      <c r="AJ169" s="3" t="s">
        <v>295</v>
      </c>
      <c r="AK169" s="3"/>
      <c r="AL169" s="3"/>
      <c r="AM169" s="3" t="s">
        <v>65</v>
      </c>
      <c r="AN169" s="3" t="s">
        <v>296</v>
      </c>
      <c r="AO169" s="3"/>
      <c r="AP169" s="4">
        <v>44277.4230787037</v>
      </c>
      <c r="AQ169" s="3"/>
      <c r="AR169" s="3" t="s">
        <v>298</v>
      </c>
      <c r="AS169" s="3"/>
      <c r="AT169" s="4">
        <v>44281.0337152778</v>
      </c>
    </row>
    <row r="170" ht="15.75" customHeight="1">
      <c r="A170" s="3"/>
      <c r="B170" s="3" t="s">
        <v>46</v>
      </c>
      <c r="C170" s="3" t="s">
        <v>571</v>
      </c>
      <c r="D170" s="3" t="s">
        <v>116</v>
      </c>
      <c r="E170" s="3" t="s">
        <v>5685</v>
      </c>
      <c r="F170" s="3"/>
      <c r="G170" s="3" t="s">
        <v>49</v>
      </c>
      <c r="H170" s="3" t="s">
        <v>72</v>
      </c>
      <c r="I170" s="3">
        <v>61500.0</v>
      </c>
      <c r="J170" s="3"/>
      <c r="K170" s="3"/>
      <c r="L170" s="3"/>
      <c r="M170" s="3" t="s">
        <v>5686</v>
      </c>
      <c r="N170" s="3" t="s">
        <v>109</v>
      </c>
      <c r="O170" s="3" t="s">
        <v>110</v>
      </c>
      <c r="P170" s="4">
        <v>44277.3973032407</v>
      </c>
      <c r="Q170" s="3" t="s">
        <v>77</v>
      </c>
      <c r="R170" s="3"/>
      <c r="S170" s="3" t="s">
        <v>1349</v>
      </c>
      <c r="T170" s="3">
        <v>1508100.0</v>
      </c>
      <c r="U170" s="3" t="s">
        <v>5107</v>
      </c>
      <c r="V170" s="3" t="s">
        <v>917</v>
      </c>
      <c r="W170" s="3" t="s">
        <v>100</v>
      </c>
      <c r="X170" s="3"/>
      <c r="Y170" s="3"/>
      <c r="Z170" s="3" t="s">
        <v>112</v>
      </c>
      <c r="AA170" s="3" t="s">
        <v>5405</v>
      </c>
      <c r="AB170" s="3" t="str">
        <f t="shared" ref="AB170:AB171" si="16">"22338098000124"</f>
        <v>22338098000124</v>
      </c>
      <c r="AC170" s="3"/>
      <c r="AD170" s="3" t="s">
        <v>62</v>
      </c>
      <c r="AE170" s="3"/>
      <c r="AF170" s="3">
        <v>-49.684333</v>
      </c>
      <c r="AG170" s="3">
        <v>-3.729944</v>
      </c>
      <c r="AH170" s="3" t="s">
        <v>5687</v>
      </c>
      <c r="AI170" s="3"/>
      <c r="AJ170" s="3" t="s">
        <v>120</v>
      </c>
      <c r="AK170" s="3"/>
      <c r="AL170" s="3"/>
      <c r="AM170" s="3" t="s">
        <v>65</v>
      </c>
      <c r="AN170" s="3" t="s">
        <v>5110</v>
      </c>
      <c r="AO170" s="3"/>
      <c r="AP170" s="4">
        <v>44277.4026041667</v>
      </c>
      <c r="AQ170" s="3"/>
      <c r="AR170" s="3" t="s">
        <v>177</v>
      </c>
      <c r="AS170" s="3"/>
      <c r="AT170" s="4">
        <v>44281.0337152778</v>
      </c>
    </row>
    <row r="171" ht="15.75" customHeight="1">
      <c r="A171" s="3"/>
      <c r="B171" s="3" t="s">
        <v>46</v>
      </c>
      <c r="C171" s="3" t="s">
        <v>47</v>
      </c>
      <c r="D171" s="3"/>
      <c r="E171" s="3" t="s">
        <v>5688</v>
      </c>
      <c r="F171" s="3"/>
      <c r="G171" s="3" t="s">
        <v>49</v>
      </c>
      <c r="H171" s="3" t="s">
        <v>50</v>
      </c>
      <c r="I171" s="3">
        <v>101500.0</v>
      </c>
      <c r="J171" s="3"/>
      <c r="K171" s="3" t="s">
        <v>92</v>
      </c>
      <c r="L171" s="3"/>
      <c r="M171" s="3" t="s">
        <v>5689</v>
      </c>
      <c r="N171" s="3" t="s">
        <v>109</v>
      </c>
      <c r="O171" s="3" t="s">
        <v>110</v>
      </c>
      <c r="P171" s="4">
        <v>44277.3902662037</v>
      </c>
      <c r="Q171" s="3" t="s">
        <v>77</v>
      </c>
      <c r="R171" s="3"/>
      <c r="S171" s="3" t="s">
        <v>1349</v>
      </c>
      <c r="T171" s="3">
        <v>1508100.0</v>
      </c>
      <c r="U171" s="3" t="s">
        <v>5107</v>
      </c>
      <c r="V171" s="3" t="s">
        <v>917</v>
      </c>
      <c r="W171" s="3" t="s">
        <v>100</v>
      </c>
      <c r="X171" s="3"/>
      <c r="Y171" s="3"/>
      <c r="Z171" s="3" t="s">
        <v>112</v>
      </c>
      <c r="AA171" s="3" t="s">
        <v>5690</v>
      </c>
      <c r="AB171" s="3" t="str">
        <f t="shared" si="16"/>
        <v>22338098000124</v>
      </c>
      <c r="AC171" s="3"/>
      <c r="AD171" s="3" t="s">
        <v>325</v>
      </c>
      <c r="AE171" s="3"/>
      <c r="AF171" s="3">
        <v>-49.684347</v>
      </c>
      <c r="AG171" s="3">
        <v>-3.729944</v>
      </c>
      <c r="AH171" s="3" t="s">
        <v>5691</v>
      </c>
      <c r="AI171" s="3"/>
      <c r="AJ171" s="3" t="s">
        <v>120</v>
      </c>
      <c r="AK171" s="3"/>
      <c r="AL171" s="3"/>
      <c r="AM171" s="3" t="s">
        <v>65</v>
      </c>
      <c r="AN171" s="3" t="s">
        <v>5110</v>
      </c>
      <c r="AO171" s="3"/>
      <c r="AP171" s="4">
        <v>44277.3950115741</v>
      </c>
      <c r="AQ171" s="3"/>
      <c r="AR171" s="3" t="s">
        <v>106</v>
      </c>
      <c r="AS171" s="3"/>
      <c r="AT171" s="4">
        <v>44281.0337152778</v>
      </c>
    </row>
    <row r="172" ht="15.75" customHeight="1">
      <c r="A172" s="3"/>
      <c r="B172" s="3" t="s">
        <v>46</v>
      </c>
      <c r="C172" s="3" t="s">
        <v>47</v>
      </c>
      <c r="D172" s="3"/>
      <c r="E172" s="3" t="s">
        <v>5692</v>
      </c>
      <c r="F172" s="3"/>
      <c r="G172" s="3" t="s">
        <v>49</v>
      </c>
      <c r="H172" s="3" t="s">
        <v>72</v>
      </c>
      <c r="I172" s="3">
        <v>313408.62</v>
      </c>
      <c r="J172" s="3"/>
      <c r="K172" s="3"/>
      <c r="L172" s="3"/>
      <c r="M172" s="3" t="s">
        <v>5693</v>
      </c>
      <c r="N172" s="3" t="s">
        <v>109</v>
      </c>
      <c r="O172" s="3" t="s">
        <v>110</v>
      </c>
      <c r="P172" s="4">
        <v>44277.3885532407</v>
      </c>
      <c r="Q172" s="3" t="s">
        <v>56</v>
      </c>
      <c r="R172" s="3"/>
      <c r="S172" s="3" t="s">
        <v>2859</v>
      </c>
      <c r="T172" s="3">
        <v>2408300.0</v>
      </c>
      <c r="U172" s="3" t="s">
        <v>5694</v>
      </c>
      <c r="V172" s="3" t="s">
        <v>1084</v>
      </c>
      <c r="W172" s="3" t="s">
        <v>100</v>
      </c>
      <c r="X172" s="3"/>
      <c r="Y172" s="3"/>
      <c r="Z172" s="3" t="s">
        <v>112</v>
      </c>
      <c r="AA172" s="3" t="s">
        <v>5695</v>
      </c>
      <c r="AB172" s="3" t="str">
        <f>"28941335000123"</f>
        <v>28941335000123</v>
      </c>
      <c r="AC172" s="3"/>
      <c r="AD172" s="3" t="s">
        <v>62</v>
      </c>
      <c r="AE172" s="3"/>
      <c r="AF172" s="3">
        <v>-35.430278</v>
      </c>
      <c r="AG172" s="3">
        <v>-6.480833</v>
      </c>
      <c r="AH172" s="3" t="s">
        <v>5696</v>
      </c>
      <c r="AI172" s="3"/>
      <c r="AJ172" s="3" t="s">
        <v>2856</v>
      </c>
      <c r="AK172" s="3"/>
      <c r="AL172" s="3"/>
      <c r="AM172" s="3" t="s">
        <v>65</v>
      </c>
      <c r="AN172" s="3" t="s">
        <v>159</v>
      </c>
      <c r="AO172" s="3"/>
      <c r="AP172" s="4">
        <v>44277.3974421296</v>
      </c>
      <c r="AQ172" s="3"/>
      <c r="AR172" s="3" t="s">
        <v>115</v>
      </c>
      <c r="AS172" s="3" t="s">
        <v>5697</v>
      </c>
      <c r="AT172" s="4">
        <v>44281.0337152778</v>
      </c>
    </row>
    <row r="173" ht="15.75" customHeight="1">
      <c r="A173" s="3">
        <v>2044585.0</v>
      </c>
      <c r="B173" s="3" t="s">
        <v>116</v>
      </c>
      <c r="C173" s="3" t="s">
        <v>117</v>
      </c>
      <c r="D173" s="3" t="s">
        <v>46</v>
      </c>
      <c r="E173" s="3" t="s">
        <v>5698</v>
      </c>
      <c r="F173" s="3"/>
      <c r="G173" s="3" t="s">
        <v>119</v>
      </c>
      <c r="H173" s="3" t="s">
        <v>50</v>
      </c>
      <c r="I173" s="3">
        <v>1200.0</v>
      </c>
      <c r="J173" s="3"/>
      <c r="K173" s="3"/>
      <c r="L173" s="3" t="s">
        <v>485</v>
      </c>
      <c r="M173" s="3" t="s">
        <v>5699</v>
      </c>
      <c r="N173" s="3" t="s">
        <v>285</v>
      </c>
      <c r="O173" s="3" t="s">
        <v>286</v>
      </c>
      <c r="P173" s="4">
        <v>44277.375</v>
      </c>
      <c r="Q173" s="3" t="s">
        <v>56</v>
      </c>
      <c r="R173" s="5">
        <v>44277.0</v>
      </c>
      <c r="S173" s="3" t="s">
        <v>488</v>
      </c>
      <c r="T173" s="3">
        <v>1709500.0</v>
      </c>
      <c r="U173" s="3" t="s">
        <v>1323</v>
      </c>
      <c r="V173" s="3" t="s">
        <v>490</v>
      </c>
      <c r="W173" s="3" t="s">
        <v>172</v>
      </c>
      <c r="X173" s="3"/>
      <c r="Y173" s="3" t="str">
        <f>"02029000313202116"</f>
        <v>02029000313202116</v>
      </c>
      <c r="Z173" s="3" t="s">
        <v>292</v>
      </c>
      <c r="AA173" s="3" t="s">
        <v>5700</v>
      </c>
      <c r="AB173" s="3" t="str">
        <f>"06265712000119"</f>
        <v>06265712000119</v>
      </c>
      <c r="AC173" s="3"/>
      <c r="AD173" s="3"/>
      <c r="AE173" s="3"/>
      <c r="AF173" s="3">
        <v>-48.332778</v>
      </c>
      <c r="AG173" s="3">
        <v>10.208611</v>
      </c>
      <c r="AH173" s="3" t="s">
        <v>5701</v>
      </c>
      <c r="AI173" s="3"/>
      <c r="AJ173" s="3" t="s">
        <v>485</v>
      </c>
      <c r="AK173" s="3"/>
      <c r="AL173" s="3" t="s">
        <v>128</v>
      </c>
      <c r="AM173" s="3" t="s">
        <v>65</v>
      </c>
      <c r="AN173" s="3" t="s">
        <v>296</v>
      </c>
      <c r="AO173" s="4">
        <v>44277.0</v>
      </c>
      <c r="AP173" s="4">
        <v>44277.6759027778</v>
      </c>
      <c r="AQ173" s="3" t="s">
        <v>132</v>
      </c>
      <c r="AR173" s="3" t="s">
        <v>531</v>
      </c>
      <c r="AS173" s="3"/>
      <c r="AT173" s="4">
        <v>44281.0337152778</v>
      </c>
    </row>
    <row r="174" ht="15.75" customHeight="1">
      <c r="A174" s="3">
        <v>2044629.0</v>
      </c>
      <c r="B174" s="3" t="s">
        <v>116</v>
      </c>
      <c r="C174" s="3" t="s">
        <v>117</v>
      </c>
      <c r="D174" s="3" t="s">
        <v>46</v>
      </c>
      <c r="E174" s="3" t="s">
        <v>5702</v>
      </c>
      <c r="F174" s="3"/>
      <c r="G174" s="3" t="s">
        <v>119</v>
      </c>
      <c r="H174" s="3" t="s">
        <v>50</v>
      </c>
      <c r="I174" s="3">
        <v>1000.0</v>
      </c>
      <c r="J174" s="3"/>
      <c r="K174" s="3"/>
      <c r="L174" s="3" t="s">
        <v>485</v>
      </c>
      <c r="M174" s="3" t="s">
        <v>5703</v>
      </c>
      <c r="N174" s="3" t="s">
        <v>285</v>
      </c>
      <c r="O174" s="3" t="s">
        <v>286</v>
      </c>
      <c r="P174" s="4">
        <v>44277.375</v>
      </c>
      <c r="Q174" s="3" t="s">
        <v>56</v>
      </c>
      <c r="R174" s="5">
        <v>44301.0</v>
      </c>
      <c r="S174" s="3" t="s">
        <v>488</v>
      </c>
      <c r="T174" s="3">
        <v>1718204.0</v>
      </c>
      <c r="U174" s="3" t="s">
        <v>2376</v>
      </c>
      <c r="V174" s="3" t="s">
        <v>490</v>
      </c>
      <c r="W174" s="3" t="s">
        <v>172</v>
      </c>
      <c r="X174" s="3"/>
      <c r="Y174" s="3" t="str">
        <f>"02029000319202185"</f>
        <v>02029000319202185</v>
      </c>
      <c r="Z174" s="3" t="s">
        <v>292</v>
      </c>
      <c r="AA174" s="3" t="s">
        <v>5704</v>
      </c>
      <c r="AB174" s="3" t="str">
        <f>"10981195000151"</f>
        <v>10981195000151</v>
      </c>
      <c r="AC174" s="3"/>
      <c r="AD174" s="3"/>
      <c r="AE174" s="3"/>
      <c r="AF174" s="3">
        <v>-48.414167</v>
      </c>
      <c r="AG174" s="3">
        <v>-10.7075</v>
      </c>
      <c r="AH174" s="3" t="s">
        <v>5705</v>
      </c>
      <c r="AI174" s="3"/>
      <c r="AJ174" s="3" t="s">
        <v>485</v>
      </c>
      <c r="AK174" s="3"/>
      <c r="AL174" s="3" t="s">
        <v>128</v>
      </c>
      <c r="AM174" s="3" t="s">
        <v>65</v>
      </c>
      <c r="AN174" s="3" t="s">
        <v>296</v>
      </c>
      <c r="AO174" s="4">
        <v>44278.0</v>
      </c>
      <c r="AP174" s="4">
        <v>44278.7082638889</v>
      </c>
      <c r="AQ174" s="3" t="s">
        <v>132</v>
      </c>
      <c r="AR174" s="3" t="s">
        <v>693</v>
      </c>
      <c r="AS174" s="3"/>
      <c r="AT174" s="4">
        <v>44281.0337152778</v>
      </c>
    </row>
    <row r="175" ht="15.75" customHeight="1">
      <c r="A175" s="3">
        <v>2044637.0</v>
      </c>
      <c r="B175" s="3" t="s">
        <v>116</v>
      </c>
      <c r="C175" s="3" t="s">
        <v>117</v>
      </c>
      <c r="D175" s="3" t="s">
        <v>46</v>
      </c>
      <c r="E175" s="3" t="s">
        <v>5706</v>
      </c>
      <c r="F175" s="3"/>
      <c r="G175" s="3" t="s">
        <v>119</v>
      </c>
      <c r="H175" s="3" t="s">
        <v>72</v>
      </c>
      <c r="I175" s="3">
        <v>1986000.0</v>
      </c>
      <c r="J175" s="3"/>
      <c r="K175" s="3"/>
      <c r="L175" s="3" t="s">
        <v>120</v>
      </c>
      <c r="M175" s="3" t="s">
        <v>5707</v>
      </c>
      <c r="N175" s="3" t="s">
        <v>109</v>
      </c>
      <c r="O175" s="3" t="s">
        <v>110</v>
      </c>
      <c r="P175" s="4">
        <v>44277.375</v>
      </c>
      <c r="Q175" s="3" t="s">
        <v>56</v>
      </c>
      <c r="R175" s="3"/>
      <c r="S175" s="3" t="s">
        <v>241</v>
      </c>
      <c r="T175" s="3">
        <v>1507805.0</v>
      </c>
      <c r="U175" s="3" t="s">
        <v>5222</v>
      </c>
      <c r="V175" s="3" t="s">
        <v>917</v>
      </c>
      <c r="W175" s="3" t="s">
        <v>100</v>
      </c>
      <c r="X175" s="3"/>
      <c r="Y175" s="3" t="str">
        <f>"02001005975202182"</f>
        <v>02001005975202182</v>
      </c>
      <c r="Z175" s="3" t="s">
        <v>112</v>
      </c>
      <c r="AA175" s="3" t="s">
        <v>5341</v>
      </c>
      <c r="AB175" s="3" t="str">
        <f>"***575042**"</f>
        <v>***575042**</v>
      </c>
      <c r="AC175" s="3"/>
      <c r="AD175" s="3"/>
      <c r="AE175" s="3"/>
      <c r="AF175" s="3">
        <v>-51.989806</v>
      </c>
      <c r="AG175" s="3">
        <v>-3.98125</v>
      </c>
      <c r="AH175" s="3" t="s">
        <v>5708</v>
      </c>
      <c r="AI175" s="3"/>
      <c r="AJ175" s="3" t="s">
        <v>120</v>
      </c>
      <c r="AK175" s="3"/>
      <c r="AL175" s="3" t="s">
        <v>128</v>
      </c>
      <c r="AM175" s="3" t="s">
        <v>65</v>
      </c>
      <c r="AN175" s="3" t="s">
        <v>5110</v>
      </c>
      <c r="AO175" s="4">
        <v>44279.0</v>
      </c>
      <c r="AP175" s="4">
        <v>44279.3939699074</v>
      </c>
      <c r="AQ175" s="3" t="s">
        <v>132</v>
      </c>
      <c r="AR175" s="3" t="s">
        <v>5298</v>
      </c>
      <c r="AS175" s="3"/>
      <c r="AT175" s="4">
        <v>44281.0337152778</v>
      </c>
    </row>
    <row r="176" ht="15.75" customHeight="1">
      <c r="A176" s="3">
        <v>2044683.0</v>
      </c>
      <c r="B176" s="3" t="s">
        <v>116</v>
      </c>
      <c r="C176" s="3" t="s">
        <v>117</v>
      </c>
      <c r="D176" s="3" t="s">
        <v>46</v>
      </c>
      <c r="E176" s="3" t="s">
        <v>5709</v>
      </c>
      <c r="F176" s="3"/>
      <c r="G176" s="3" t="s">
        <v>119</v>
      </c>
      <c r="H176" s="3" t="s">
        <v>72</v>
      </c>
      <c r="I176" s="3">
        <v>1542000.0</v>
      </c>
      <c r="J176" s="3"/>
      <c r="K176" s="3"/>
      <c r="L176" s="3" t="s">
        <v>120</v>
      </c>
      <c r="M176" s="3" t="s">
        <v>5710</v>
      </c>
      <c r="N176" s="3" t="s">
        <v>109</v>
      </c>
      <c r="O176" s="3" t="s">
        <v>110</v>
      </c>
      <c r="P176" s="4">
        <v>44277.375</v>
      </c>
      <c r="Q176" s="3" t="s">
        <v>56</v>
      </c>
      <c r="R176" s="3"/>
      <c r="S176" s="3" t="s">
        <v>241</v>
      </c>
      <c r="T176" s="3">
        <v>1507805.0</v>
      </c>
      <c r="U176" s="3" t="s">
        <v>5222</v>
      </c>
      <c r="V176" s="3" t="s">
        <v>917</v>
      </c>
      <c r="W176" s="3" t="s">
        <v>100</v>
      </c>
      <c r="X176" s="3"/>
      <c r="Y176" s="3" t="str">
        <f>"02001006093202134"</f>
        <v>02001006093202134</v>
      </c>
      <c r="Z176" s="3" t="s">
        <v>112</v>
      </c>
      <c r="AA176" s="3" t="s">
        <v>5711</v>
      </c>
      <c r="AB176" s="3" t="str">
        <f>"***596260**"</f>
        <v>***596260**</v>
      </c>
      <c r="AC176" s="3"/>
      <c r="AD176" s="3"/>
      <c r="AE176" s="3"/>
      <c r="AF176" s="3">
        <v>-51.783056</v>
      </c>
      <c r="AG176" s="3">
        <v>-3.977306</v>
      </c>
      <c r="AH176" s="3" t="s">
        <v>5712</v>
      </c>
      <c r="AI176" s="3"/>
      <c r="AJ176" s="3" t="s">
        <v>120</v>
      </c>
      <c r="AK176" s="3"/>
      <c r="AL176" s="3" t="s">
        <v>128</v>
      </c>
      <c r="AM176" s="3" t="s">
        <v>65</v>
      </c>
      <c r="AN176" s="3" t="s">
        <v>5110</v>
      </c>
      <c r="AO176" s="4">
        <v>44280.0</v>
      </c>
      <c r="AP176" s="4">
        <v>44280.3571064815</v>
      </c>
      <c r="AQ176" s="3" t="s">
        <v>132</v>
      </c>
      <c r="AR176" s="3" t="s">
        <v>5298</v>
      </c>
      <c r="AS176" s="3" t="s">
        <v>5713</v>
      </c>
      <c r="AT176" s="4">
        <v>44281.0337152778</v>
      </c>
    </row>
    <row r="177" ht="15.75" customHeight="1">
      <c r="A177" s="3">
        <v>2044684.0</v>
      </c>
      <c r="B177" s="3" t="s">
        <v>116</v>
      </c>
      <c r="C177" s="3" t="s">
        <v>117</v>
      </c>
      <c r="D177" s="3" t="s">
        <v>46</v>
      </c>
      <c r="E177" s="3" t="s">
        <v>5714</v>
      </c>
      <c r="F177" s="3"/>
      <c r="G177" s="3" t="s">
        <v>119</v>
      </c>
      <c r="H177" s="3" t="s">
        <v>72</v>
      </c>
      <c r="I177" s="3">
        <v>23160.0</v>
      </c>
      <c r="J177" s="3"/>
      <c r="K177" s="3"/>
      <c r="L177" s="3" t="s">
        <v>120</v>
      </c>
      <c r="M177" s="3" t="s">
        <v>5715</v>
      </c>
      <c r="N177" s="3" t="s">
        <v>109</v>
      </c>
      <c r="O177" s="3" t="s">
        <v>110</v>
      </c>
      <c r="P177" s="4">
        <v>44277.375</v>
      </c>
      <c r="Q177" s="3" t="s">
        <v>56</v>
      </c>
      <c r="R177" s="3"/>
      <c r="S177" s="3" t="s">
        <v>1349</v>
      </c>
      <c r="T177" s="3">
        <v>1507805.0</v>
      </c>
      <c r="U177" s="3" t="s">
        <v>5222</v>
      </c>
      <c r="V177" s="3" t="s">
        <v>917</v>
      </c>
      <c r="W177" s="3" t="s">
        <v>100</v>
      </c>
      <c r="X177" s="3"/>
      <c r="Y177" s="3" t="str">
        <f>"02001006095202123"</f>
        <v>02001006095202123</v>
      </c>
      <c r="Z177" s="3" t="s">
        <v>112</v>
      </c>
      <c r="AA177" s="3" t="s">
        <v>5716</v>
      </c>
      <c r="AB177" s="3" t="str">
        <f>"***017497**"</f>
        <v>***017497**</v>
      </c>
      <c r="AC177" s="3"/>
      <c r="AD177" s="3"/>
      <c r="AE177" s="3"/>
      <c r="AF177" s="3">
        <v>-51.839194</v>
      </c>
      <c r="AG177" s="3">
        <v>-3.988167</v>
      </c>
      <c r="AH177" s="3" t="s">
        <v>5717</v>
      </c>
      <c r="AI177" s="3"/>
      <c r="AJ177" s="3" t="s">
        <v>120</v>
      </c>
      <c r="AK177" s="3"/>
      <c r="AL177" s="3" t="s">
        <v>128</v>
      </c>
      <c r="AM177" s="3" t="s">
        <v>65</v>
      </c>
      <c r="AN177" s="3" t="s">
        <v>5110</v>
      </c>
      <c r="AO177" s="4">
        <v>44280.0</v>
      </c>
      <c r="AP177" s="4">
        <v>44280.3603703704</v>
      </c>
      <c r="AQ177" s="3" t="s">
        <v>132</v>
      </c>
      <c r="AR177" s="3" t="s">
        <v>5298</v>
      </c>
      <c r="AS177" s="3"/>
      <c r="AT177" s="4">
        <v>44281.0337152778</v>
      </c>
    </row>
    <row r="178" ht="15.75" customHeight="1">
      <c r="A178" s="3">
        <v>2044685.0</v>
      </c>
      <c r="B178" s="3" t="s">
        <v>116</v>
      </c>
      <c r="C178" s="3" t="s">
        <v>117</v>
      </c>
      <c r="D178" s="3" t="s">
        <v>46</v>
      </c>
      <c r="E178" s="3" t="s">
        <v>5718</v>
      </c>
      <c r="F178" s="3"/>
      <c r="G178" s="3" t="s">
        <v>119</v>
      </c>
      <c r="H178" s="3" t="s">
        <v>72</v>
      </c>
      <c r="I178" s="3">
        <v>1974000.0</v>
      </c>
      <c r="J178" s="3"/>
      <c r="K178" s="3"/>
      <c r="L178" s="3" t="s">
        <v>120</v>
      </c>
      <c r="M178" s="3" t="s">
        <v>5719</v>
      </c>
      <c r="N178" s="3" t="s">
        <v>109</v>
      </c>
      <c r="O178" s="3" t="s">
        <v>110</v>
      </c>
      <c r="P178" s="4">
        <v>44277.375</v>
      </c>
      <c r="Q178" s="3" t="s">
        <v>56</v>
      </c>
      <c r="R178" s="3"/>
      <c r="S178" s="3" t="s">
        <v>608</v>
      </c>
      <c r="T178" s="3">
        <v>1507805.0</v>
      </c>
      <c r="U178" s="3" t="s">
        <v>5222</v>
      </c>
      <c r="V178" s="3" t="s">
        <v>917</v>
      </c>
      <c r="W178" s="3" t="s">
        <v>100</v>
      </c>
      <c r="X178" s="3"/>
      <c r="Y178" s="3" t="str">
        <f>"02001006097202112"</f>
        <v>02001006097202112</v>
      </c>
      <c r="Z178" s="3" t="s">
        <v>112</v>
      </c>
      <c r="AA178" s="3" t="s">
        <v>5720</v>
      </c>
      <c r="AB178" s="3" t="str">
        <f>"***933759**"</f>
        <v>***933759**</v>
      </c>
      <c r="AC178" s="3"/>
      <c r="AD178" s="3"/>
      <c r="AE178" s="3"/>
      <c r="AF178" s="3">
        <v>-51.991111</v>
      </c>
      <c r="AG178" s="3">
        <v>-3.962917</v>
      </c>
      <c r="AH178" s="3" t="s">
        <v>5721</v>
      </c>
      <c r="AI178" s="3"/>
      <c r="AJ178" s="3" t="s">
        <v>120</v>
      </c>
      <c r="AK178" s="3"/>
      <c r="AL178" s="3" t="s">
        <v>128</v>
      </c>
      <c r="AM178" s="3" t="s">
        <v>65</v>
      </c>
      <c r="AN178" s="3" t="s">
        <v>5110</v>
      </c>
      <c r="AO178" s="4">
        <v>44280.0</v>
      </c>
      <c r="AP178" s="4">
        <v>44280.361724537</v>
      </c>
      <c r="AQ178" s="3" t="s">
        <v>132</v>
      </c>
      <c r="AR178" s="3" t="s">
        <v>5298</v>
      </c>
      <c r="AS178" s="3"/>
      <c r="AT178" s="4">
        <v>44281.0337152778</v>
      </c>
    </row>
    <row r="179" ht="15.75" customHeight="1">
      <c r="A179" s="3">
        <v>2044638.0</v>
      </c>
      <c r="B179" s="3" t="s">
        <v>116</v>
      </c>
      <c r="C179" s="3" t="s">
        <v>117</v>
      </c>
      <c r="D179" s="3" t="s">
        <v>46</v>
      </c>
      <c r="E179" s="3" t="s">
        <v>5722</v>
      </c>
      <c r="F179" s="3"/>
      <c r="G179" s="3" t="s">
        <v>119</v>
      </c>
      <c r="H179" s="3" t="s">
        <v>72</v>
      </c>
      <c r="I179" s="3">
        <v>1308000.0</v>
      </c>
      <c r="J179" s="3"/>
      <c r="K179" s="3"/>
      <c r="L179" s="3" t="s">
        <v>120</v>
      </c>
      <c r="M179" s="3" t="s">
        <v>5723</v>
      </c>
      <c r="N179" s="3" t="s">
        <v>109</v>
      </c>
      <c r="O179" s="3" t="s">
        <v>110</v>
      </c>
      <c r="P179" s="4">
        <v>44277.3333333333</v>
      </c>
      <c r="Q179" s="3" t="s">
        <v>56</v>
      </c>
      <c r="R179" s="3"/>
      <c r="S179" s="3" t="s">
        <v>608</v>
      </c>
      <c r="T179" s="3">
        <v>1507805.0</v>
      </c>
      <c r="U179" s="3" t="s">
        <v>5222</v>
      </c>
      <c r="V179" s="3" t="s">
        <v>917</v>
      </c>
      <c r="W179" s="3" t="s">
        <v>100</v>
      </c>
      <c r="X179" s="3"/>
      <c r="Y179" s="3" t="str">
        <f>"02001005976202127"</f>
        <v>02001005976202127</v>
      </c>
      <c r="Z179" s="3" t="s">
        <v>112</v>
      </c>
      <c r="AA179" s="3" t="s">
        <v>5724</v>
      </c>
      <c r="AB179" s="3" t="str">
        <f>"***589501**"</f>
        <v>***589501**</v>
      </c>
      <c r="AC179" s="3"/>
      <c r="AD179" s="3"/>
      <c r="AE179" s="3"/>
      <c r="AF179" s="3">
        <v>-51.920111</v>
      </c>
      <c r="AG179" s="3">
        <v>-4.006083</v>
      </c>
      <c r="AH179" s="3" t="s">
        <v>5725</v>
      </c>
      <c r="AI179" s="3"/>
      <c r="AJ179" s="3" t="s">
        <v>120</v>
      </c>
      <c r="AK179" s="3"/>
      <c r="AL179" s="3" t="s">
        <v>128</v>
      </c>
      <c r="AM179" s="3" t="s">
        <v>65</v>
      </c>
      <c r="AN179" s="3" t="s">
        <v>5110</v>
      </c>
      <c r="AO179" s="4">
        <v>44279.0</v>
      </c>
      <c r="AP179" s="4">
        <v>44279.3955208333</v>
      </c>
      <c r="AQ179" s="3" t="s">
        <v>132</v>
      </c>
      <c r="AR179" s="3" t="s">
        <v>5298</v>
      </c>
      <c r="AS179" s="3" t="s">
        <v>5726</v>
      </c>
      <c r="AT179" s="4">
        <v>44281.0337152778</v>
      </c>
    </row>
    <row r="180" ht="15.75" customHeight="1">
      <c r="A180" s="3">
        <v>2044646.0</v>
      </c>
      <c r="B180" s="3" t="s">
        <v>116</v>
      </c>
      <c r="C180" s="3" t="s">
        <v>117</v>
      </c>
      <c r="D180" s="3" t="s">
        <v>46</v>
      </c>
      <c r="E180" s="3" t="s">
        <v>5727</v>
      </c>
      <c r="F180" s="3"/>
      <c r="G180" s="3" t="s">
        <v>119</v>
      </c>
      <c r="H180" s="3" t="s">
        <v>72</v>
      </c>
      <c r="I180" s="3">
        <v>3270000.0</v>
      </c>
      <c r="J180" s="3"/>
      <c r="K180" s="3"/>
      <c r="L180" s="3" t="s">
        <v>120</v>
      </c>
      <c r="M180" s="3" t="s">
        <v>5728</v>
      </c>
      <c r="N180" s="3" t="s">
        <v>109</v>
      </c>
      <c r="O180" s="3" t="s">
        <v>110</v>
      </c>
      <c r="P180" s="4">
        <v>44277.3333333333</v>
      </c>
      <c r="Q180" s="3" t="s">
        <v>56</v>
      </c>
      <c r="R180" s="3"/>
      <c r="S180" s="3" t="s">
        <v>608</v>
      </c>
      <c r="T180" s="3">
        <v>1507805.0</v>
      </c>
      <c r="U180" s="3" t="s">
        <v>5222</v>
      </c>
      <c r="V180" s="3" t="s">
        <v>917</v>
      </c>
      <c r="W180" s="3" t="s">
        <v>100</v>
      </c>
      <c r="X180" s="3"/>
      <c r="Y180" s="3" t="str">
        <f>"02001005989202104"</f>
        <v>02001005989202104</v>
      </c>
      <c r="Z180" s="3" t="s">
        <v>112</v>
      </c>
      <c r="AA180" s="3" t="s">
        <v>5729</v>
      </c>
      <c r="AB180" s="3" t="str">
        <f>"***505633**"</f>
        <v>***505633**</v>
      </c>
      <c r="AC180" s="3"/>
      <c r="AD180" s="3"/>
      <c r="AE180" s="3"/>
      <c r="AF180" s="3">
        <v>-51.98825</v>
      </c>
      <c r="AG180" s="3">
        <v>-3.948944</v>
      </c>
      <c r="AH180" s="3" t="s">
        <v>5730</v>
      </c>
      <c r="AI180" s="3"/>
      <c r="AJ180" s="3" t="s">
        <v>120</v>
      </c>
      <c r="AK180" s="3"/>
      <c r="AL180" s="3" t="s">
        <v>128</v>
      </c>
      <c r="AM180" s="3" t="s">
        <v>65</v>
      </c>
      <c r="AN180" s="3" t="s">
        <v>5110</v>
      </c>
      <c r="AO180" s="4">
        <v>44279.0</v>
      </c>
      <c r="AP180" s="4">
        <v>44279.4257638889</v>
      </c>
      <c r="AQ180" s="3" t="s">
        <v>132</v>
      </c>
      <c r="AR180" s="3" t="s">
        <v>5298</v>
      </c>
      <c r="AS180" s="3" t="s">
        <v>5713</v>
      </c>
      <c r="AT180" s="4">
        <v>44281.0337152778</v>
      </c>
    </row>
    <row r="181" ht="15.75" customHeight="1">
      <c r="A181" s="3">
        <v>2044645.0</v>
      </c>
      <c r="B181" s="3" t="s">
        <v>116</v>
      </c>
      <c r="C181" s="3" t="s">
        <v>5014</v>
      </c>
      <c r="D181" s="3" t="s">
        <v>116</v>
      </c>
      <c r="E181" s="3" t="s">
        <v>5731</v>
      </c>
      <c r="F181" s="3"/>
      <c r="G181" s="3" t="s">
        <v>119</v>
      </c>
      <c r="H181" s="3" t="s">
        <v>50</v>
      </c>
      <c r="I181" s="3">
        <v>269700.0</v>
      </c>
      <c r="J181" s="3"/>
      <c r="K181" s="3"/>
      <c r="L181" s="3" t="s">
        <v>405</v>
      </c>
      <c r="M181" s="3" t="s">
        <v>5732</v>
      </c>
      <c r="N181" s="3" t="s">
        <v>74</v>
      </c>
      <c r="O181" s="3" t="s">
        <v>75</v>
      </c>
      <c r="P181" s="4">
        <v>44276.625</v>
      </c>
      <c r="Q181" s="3" t="s">
        <v>77</v>
      </c>
      <c r="R181" s="5">
        <v>44276.0</v>
      </c>
      <c r="S181" s="3" t="s">
        <v>400</v>
      </c>
      <c r="T181" s="3">
        <v>4313508.0</v>
      </c>
      <c r="U181" s="3" t="s">
        <v>5094</v>
      </c>
      <c r="V181" s="3" t="s">
        <v>402</v>
      </c>
      <c r="W181" s="3" t="s">
        <v>60</v>
      </c>
      <c r="X181" s="3"/>
      <c r="Y181" s="3" t="str">
        <f>"02023000618202170"</f>
        <v>02023000618202170</v>
      </c>
      <c r="Z181" s="3" t="s">
        <v>79</v>
      </c>
      <c r="AA181" s="3" t="s">
        <v>5733</v>
      </c>
      <c r="AB181" s="3" t="str">
        <f>"***628700**"</f>
        <v>***628700**</v>
      </c>
      <c r="AC181" s="3"/>
      <c r="AD181" s="3"/>
      <c r="AE181" s="3"/>
      <c r="AF181" s="3">
        <v>-50.247778</v>
      </c>
      <c r="AG181" s="3">
        <v>-29.856944</v>
      </c>
      <c r="AH181" s="3" t="s">
        <v>5734</v>
      </c>
      <c r="AI181" s="3"/>
      <c r="AJ181" s="3" t="s">
        <v>405</v>
      </c>
      <c r="AK181" s="3"/>
      <c r="AL181" s="3" t="s">
        <v>128</v>
      </c>
      <c r="AM181" s="3" t="s">
        <v>65</v>
      </c>
      <c r="AN181" s="3" t="s">
        <v>1044</v>
      </c>
      <c r="AO181" s="4">
        <v>44279.0</v>
      </c>
      <c r="AP181" s="4">
        <v>44279.437037037</v>
      </c>
      <c r="AQ181" s="3" t="s">
        <v>5014</v>
      </c>
      <c r="AR181" s="3" t="s">
        <v>1046</v>
      </c>
      <c r="AS181" s="3"/>
      <c r="AT181" s="4">
        <v>44281.0337152778</v>
      </c>
    </row>
    <row r="182" ht="15.75" customHeight="1">
      <c r="A182" s="3"/>
      <c r="B182" s="3" t="s">
        <v>46</v>
      </c>
      <c r="C182" s="3" t="s">
        <v>47</v>
      </c>
      <c r="D182" s="3"/>
      <c r="E182" s="3" t="s">
        <v>5735</v>
      </c>
      <c r="F182" s="3"/>
      <c r="G182" s="3" t="s">
        <v>49</v>
      </c>
      <c r="H182" s="3" t="s">
        <v>50</v>
      </c>
      <c r="I182" s="3">
        <v>229700.0</v>
      </c>
      <c r="J182" s="3"/>
      <c r="K182" s="3" t="s">
        <v>92</v>
      </c>
      <c r="L182" s="3"/>
      <c r="M182" s="3" t="s">
        <v>5736</v>
      </c>
      <c r="N182" s="3" t="s">
        <v>74</v>
      </c>
      <c r="O182" s="3" t="s">
        <v>75</v>
      </c>
      <c r="P182" s="4">
        <v>44276.0606134259</v>
      </c>
      <c r="Q182" s="3" t="s">
        <v>137</v>
      </c>
      <c r="R182" s="3"/>
      <c r="S182" s="3" t="s">
        <v>400</v>
      </c>
      <c r="T182" s="3">
        <v>4306767.0</v>
      </c>
      <c r="U182" s="3" t="s">
        <v>1947</v>
      </c>
      <c r="V182" s="3" t="s">
        <v>402</v>
      </c>
      <c r="W182" s="3" t="s">
        <v>78</v>
      </c>
      <c r="X182" s="3"/>
      <c r="Y182" s="3"/>
      <c r="Z182" s="3" t="s">
        <v>79</v>
      </c>
      <c r="AA182" s="3" t="s">
        <v>5737</v>
      </c>
      <c r="AB182" s="3" t="str">
        <f>"12757735000143"</f>
        <v>12757735000143</v>
      </c>
      <c r="AC182" s="3"/>
      <c r="AD182" s="3" t="s">
        <v>81</v>
      </c>
      <c r="AE182" s="3"/>
      <c r="AF182" s="3">
        <v>-51.3275</v>
      </c>
      <c r="AG182" s="3">
        <v>-30.036111</v>
      </c>
      <c r="AH182" s="3" t="s">
        <v>5738</v>
      </c>
      <c r="AI182" s="3"/>
      <c r="AJ182" s="3" t="s">
        <v>405</v>
      </c>
      <c r="AK182" s="3"/>
      <c r="AL182" s="3"/>
      <c r="AM182" s="3" t="s">
        <v>65</v>
      </c>
      <c r="AN182" s="3" t="s">
        <v>1044</v>
      </c>
      <c r="AO182" s="3"/>
      <c r="AP182" s="4">
        <v>44276.0879282407</v>
      </c>
      <c r="AQ182" s="3"/>
      <c r="AR182" s="3" t="s">
        <v>502</v>
      </c>
      <c r="AS182" s="3" t="s">
        <v>5739</v>
      </c>
      <c r="AT182" s="4">
        <v>44281.0337152778</v>
      </c>
    </row>
    <row r="183" ht="15.75" customHeight="1">
      <c r="A183" s="3"/>
      <c r="B183" s="3" t="s">
        <v>46</v>
      </c>
      <c r="C183" s="3" t="s">
        <v>47</v>
      </c>
      <c r="D183" s="3"/>
      <c r="E183" s="3" t="s">
        <v>5740</v>
      </c>
      <c r="F183" s="3"/>
      <c r="G183" s="3" t="s">
        <v>49</v>
      </c>
      <c r="H183" s="3" t="s">
        <v>50</v>
      </c>
      <c r="I183" s="3">
        <v>45700.0</v>
      </c>
      <c r="J183" s="3"/>
      <c r="K183" s="3" t="s">
        <v>92</v>
      </c>
      <c r="L183" s="3"/>
      <c r="M183" s="3" t="s">
        <v>5741</v>
      </c>
      <c r="N183" s="3" t="s">
        <v>74</v>
      </c>
      <c r="O183" s="3" t="s">
        <v>75</v>
      </c>
      <c r="P183" s="4">
        <v>44275.9772569444</v>
      </c>
      <c r="Q183" s="3" t="s">
        <v>77</v>
      </c>
      <c r="R183" s="3"/>
      <c r="S183" s="3" t="s">
        <v>400</v>
      </c>
      <c r="T183" s="3">
        <v>4306767.0</v>
      </c>
      <c r="U183" s="3" t="s">
        <v>1947</v>
      </c>
      <c r="V183" s="3" t="s">
        <v>402</v>
      </c>
      <c r="W183" s="3" t="s">
        <v>78</v>
      </c>
      <c r="X183" s="3"/>
      <c r="Y183" s="3"/>
      <c r="Z183" s="3" t="s">
        <v>79</v>
      </c>
      <c r="AA183" s="3" t="s">
        <v>5742</v>
      </c>
      <c r="AB183" s="3" t="str">
        <f>"***989720**"</f>
        <v>***989720**</v>
      </c>
      <c r="AC183" s="3"/>
      <c r="AD183" s="3" t="s">
        <v>81</v>
      </c>
      <c r="AE183" s="3"/>
      <c r="AF183" s="3">
        <v>-51.327778</v>
      </c>
      <c r="AG183" s="3">
        <v>-30.036111</v>
      </c>
      <c r="AH183" s="3" t="s">
        <v>5743</v>
      </c>
      <c r="AI183" s="3"/>
      <c r="AJ183" s="3" t="s">
        <v>405</v>
      </c>
      <c r="AK183" s="3"/>
      <c r="AL183" s="3"/>
      <c r="AM183" s="3" t="s">
        <v>65</v>
      </c>
      <c r="AN183" s="3" t="s">
        <v>1044</v>
      </c>
      <c r="AO183" s="3"/>
      <c r="AP183" s="4">
        <v>44275.988287037</v>
      </c>
      <c r="AQ183" s="3"/>
      <c r="AR183" s="3" t="s">
        <v>407</v>
      </c>
      <c r="AS183" s="3" t="s">
        <v>5744</v>
      </c>
      <c r="AT183" s="4">
        <v>44281.0337152778</v>
      </c>
    </row>
    <row r="184" ht="15.75" customHeight="1">
      <c r="A184" s="3"/>
      <c r="B184" s="3" t="s">
        <v>46</v>
      </c>
      <c r="C184" s="3" t="s">
        <v>47</v>
      </c>
      <c r="D184" s="3"/>
      <c r="E184" s="3" t="s">
        <v>5745</v>
      </c>
      <c r="F184" s="3"/>
      <c r="G184" s="3" t="s">
        <v>49</v>
      </c>
      <c r="H184" s="3" t="s">
        <v>50</v>
      </c>
      <c r="I184" s="3">
        <v>60440.0</v>
      </c>
      <c r="J184" s="3"/>
      <c r="K184" s="3" t="s">
        <v>92</v>
      </c>
      <c r="L184" s="3"/>
      <c r="M184" s="3" t="s">
        <v>5746</v>
      </c>
      <c r="N184" s="3" t="s">
        <v>74</v>
      </c>
      <c r="O184" s="3" t="s">
        <v>75</v>
      </c>
      <c r="P184" s="4">
        <v>44275.9315046296</v>
      </c>
      <c r="Q184" s="3" t="s">
        <v>77</v>
      </c>
      <c r="R184" s="3"/>
      <c r="S184" s="3" t="s">
        <v>400</v>
      </c>
      <c r="T184" s="3">
        <v>4306767.0</v>
      </c>
      <c r="U184" s="3" t="s">
        <v>1947</v>
      </c>
      <c r="V184" s="3" t="s">
        <v>402</v>
      </c>
      <c r="W184" s="3" t="s">
        <v>60</v>
      </c>
      <c r="X184" s="3"/>
      <c r="Y184" s="3"/>
      <c r="Z184" s="3" t="s">
        <v>79</v>
      </c>
      <c r="AA184" s="3" t="s">
        <v>5747</v>
      </c>
      <c r="AB184" s="3" t="str">
        <f>"***077499**"</f>
        <v>***077499**</v>
      </c>
      <c r="AC184" s="3"/>
      <c r="AD184" s="3" t="s">
        <v>62</v>
      </c>
      <c r="AE184" s="3"/>
      <c r="AF184" s="3">
        <v>-51.327222</v>
      </c>
      <c r="AG184" s="3">
        <v>-30.036389</v>
      </c>
      <c r="AH184" s="3" t="s">
        <v>5748</v>
      </c>
      <c r="AI184" s="3"/>
      <c r="AJ184" s="3" t="s">
        <v>405</v>
      </c>
      <c r="AK184" s="3"/>
      <c r="AL184" s="3"/>
      <c r="AM184" s="3" t="s">
        <v>65</v>
      </c>
      <c r="AN184" s="3" t="s">
        <v>1044</v>
      </c>
      <c r="AO184" s="3"/>
      <c r="AP184" s="4">
        <v>44276.0385416667</v>
      </c>
      <c r="AQ184" s="3"/>
      <c r="AR184" s="3" t="s">
        <v>502</v>
      </c>
      <c r="AS184" s="3"/>
      <c r="AT184" s="4">
        <v>44281.0337152778</v>
      </c>
    </row>
    <row r="185" ht="15.75" customHeight="1">
      <c r="A185" s="3"/>
      <c r="B185" s="3" t="s">
        <v>46</v>
      </c>
      <c r="C185" s="3" t="s">
        <v>47</v>
      </c>
      <c r="D185" s="3"/>
      <c r="E185" s="3" t="s">
        <v>5749</v>
      </c>
      <c r="F185" s="3"/>
      <c r="G185" s="3" t="s">
        <v>49</v>
      </c>
      <c r="H185" s="3" t="s">
        <v>50</v>
      </c>
      <c r="I185" s="3">
        <v>93360.0</v>
      </c>
      <c r="J185" s="3"/>
      <c r="K185" s="3" t="s">
        <v>92</v>
      </c>
      <c r="L185" s="3"/>
      <c r="M185" s="3" t="s">
        <v>5750</v>
      </c>
      <c r="N185" s="3" t="s">
        <v>74</v>
      </c>
      <c r="O185" s="3" t="s">
        <v>75</v>
      </c>
      <c r="P185" s="4">
        <v>44275.6431018519</v>
      </c>
      <c r="Q185" s="3" t="s">
        <v>77</v>
      </c>
      <c r="R185" s="3"/>
      <c r="S185" s="3" t="s">
        <v>1694</v>
      </c>
      <c r="T185" s="3">
        <v>1600600.0</v>
      </c>
      <c r="U185" s="3" t="s">
        <v>5751</v>
      </c>
      <c r="V185" s="3" t="s">
        <v>1138</v>
      </c>
      <c r="W185" s="3" t="s">
        <v>100</v>
      </c>
      <c r="X185" s="3"/>
      <c r="Y185" s="3"/>
      <c r="Z185" s="3" t="s">
        <v>79</v>
      </c>
      <c r="AA185" s="3" t="s">
        <v>5752</v>
      </c>
      <c r="AB185" s="3" t="str">
        <f>"***000000**"</f>
        <v>***000000**</v>
      </c>
      <c r="AC185" s="3"/>
      <c r="AD185" s="3" t="s">
        <v>62</v>
      </c>
      <c r="AE185" s="3"/>
      <c r="AF185" s="3">
        <v>-47.933056</v>
      </c>
      <c r="AG185" s="3">
        <v>-15.83</v>
      </c>
      <c r="AH185" s="3" t="s">
        <v>5753</v>
      </c>
      <c r="AI185" s="3"/>
      <c r="AJ185" s="3" t="s">
        <v>1141</v>
      </c>
      <c r="AK185" s="3"/>
      <c r="AL185" s="3"/>
      <c r="AM185" s="3" t="s">
        <v>65</v>
      </c>
      <c r="AN185" s="3"/>
      <c r="AO185" s="3"/>
      <c r="AP185" s="4">
        <v>44278.376724537</v>
      </c>
      <c r="AQ185" s="3"/>
      <c r="AR185" s="3" t="s">
        <v>1713</v>
      </c>
      <c r="AS185" s="3"/>
      <c r="AT185" s="4">
        <v>44281.0337152778</v>
      </c>
    </row>
    <row r="186" ht="15.75" customHeight="1">
      <c r="A186" s="3"/>
      <c r="B186" s="3" t="s">
        <v>46</v>
      </c>
      <c r="C186" s="3" t="s">
        <v>47</v>
      </c>
      <c r="D186" s="3"/>
      <c r="E186" s="3" t="s">
        <v>5754</v>
      </c>
      <c r="F186" s="3"/>
      <c r="G186" s="3" t="s">
        <v>49</v>
      </c>
      <c r="H186" s="3" t="s">
        <v>50</v>
      </c>
      <c r="I186" s="3">
        <v>21700.0</v>
      </c>
      <c r="J186" s="3"/>
      <c r="K186" s="3" t="s">
        <v>92</v>
      </c>
      <c r="L186" s="3"/>
      <c r="M186" s="3" t="s">
        <v>5755</v>
      </c>
      <c r="N186" s="3" t="s">
        <v>74</v>
      </c>
      <c r="O186" s="3" t="s">
        <v>75</v>
      </c>
      <c r="P186" s="4">
        <v>44275.613587963</v>
      </c>
      <c r="Q186" s="3" t="s">
        <v>77</v>
      </c>
      <c r="R186" s="3"/>
      <c r="S186" s="3" t="s">
        <v>400</v>
      </c>
      <c r="T186" s="3">
        <v>4315602.0</v>
      </c>
      <c r="U186" s="3" t="s">
        <v>1042</v>
      </c>
      <c r="V186" s="3" t="s">
        <v>402</v>
      </c>
      <c r="W186" s="3" t="s">
        <v>60</v>
      </c>
      <c r="X186" s="3"/>
      <c r="Y186" s="3"/>
      <c r="Z186" s="3" t="s">
        <v>79</v>
      </c>
      <c r="AA186" s="3" t="s">
        <v>5756</v>
      </c>
      <c r="AB186" s="3" t="str">
        <f t="shared" ref="AB186:AB187" si="17">"***423790**"</f>
        <v>***423790**</v>
      </c>
      <c r="AC186" s="3"/>
      <c r="AD186" s="3" t="s">
        <v>62</v>
      </c>
      <c r="AE186" s="3"/>
      <c r="AF186" s="3">
        <v>-52.039167</v>
      </c>
      <c r="AG186" s="3">
        <v>-31.738333</v>
      </c>
      <c r="AH186" s="3" t="s">
        <v>5757</v>
      </c>
      <c r="AI186" s="3"/>
      <c r="AJ186" s="3" t="s">
        <v>405</v>
      </c>
      <c r="AK186" s="3"/>
      <c r="AL186" s="3"/>
      <c r="AM186" s="3" t="s">
        <v>65</v>
      </c>
      <c r="AN186" s="3" t="s">
        <v>1044</v>
      </c>
      <c r="AO186" s="3"/>
      <c r="AP186" s="4">
        <v>44275.6218634259</v>
      </c>
      <c r="AQ186" s="3"/>
      <c r="AR186" s="3" t="s">
        <v>5758</v>
      </c>
      <c r="AS186" s="3"/>
      <c r="AT186" s="4">
        <v>44281.0337152778</v>
      </c>
    </row>
    <row r="187" ht="15.75" customHeight="1">
      <c r="A187" s="3"/>
      <c r="B187" s="3" t="s">
        <v>46</v>
      </c>
      <c r="C187" s="3" t="s">
        <v>47</v>
      </c>
      <c r="D187" s="3"/>
      <c r="E187" s="3" t="s">
        <v>5759</v>
      </c>
      <c r="F187" s="3"/>
      <c r="G187" s="3" t="s">
        <v>49</v>
      </c>
      <c r="H187" s="3" t="s">
        <v>50</v>
      </c>
      <c r="I187" s="3">
        <v>11500.0</v>
      </c>
      <c r="J187" s="3"/>
      <c r="K187" s="3" t="s">
        <v>92</v>
      </c>
      <c r="L187" s="3"/>
      <c r="M187" s="3" t="s">
        <v>5760</v>
      </c>
      <c r="N187" s="3" t="s">
        <v>74</v>
      </c>
      <c r="O187" s="3" t="s">
        <v>75</v>
      </c>
      <c r="P187" s="4">
        <v>44275.5994328704</v>
      </c>
      <c r="Q187" s="3" t="s">
        <v>77</v>
      </c>
      <c r="R187" s="3"/>
      <c r="S187" s="3" t="s">
        <v>400</v>
      </c>
      <c r="T187" s="3">
        <v>4315602.0</v>
      </c>
      <c r="U187" s="3" t="s">
        <v>1042</v>
      </c>
      <c r="V187" s="3" t="s">
        <v>402</v>
      </c>
      <c r="W187" s="3" t="s">
        <v>60</v>
      </c>
      <c r="X187" s="3"/>
      <c r="Y187" s="3"/>
      <c r="Z187" s="3" t="s">
        <v>79</v>
      </c>
      <c r="AA187" s="3" t="s">
        <v>5756</v>
      </c>
      <c r="AB187" s="3" t="str">
        <f t="shared" si="17"/>
        <v>***423790**</v>
      </c>
      <c r="AC187" s="3"/>
      <c r="AD187" s="3" t="s">
        <v>62</v>
      </c>
      <c r="AE187" s="3"/>
      <c r="AF187" s="3">
        <v>-52.039167</v>
      </c>
      <c r="AG187" s="3">
        <v>-31.738333</v>
      </c>
      <c r="AH187" s="3" t="s">
        <v>5761</v>
      </c>
      <c r="AI187" s="3"/>
      <c r="AJ187" s="3" t="s">
        <v>405</v>
      </c>
      <c r="AK187" s="3"/>
      <c r="AL187" s="3"/>
      <c r="AM187" s="3" t="s">
        <v>65</v>
      </c>
      <c r="AN187" s="3" t="s">
        <v>1044</v>
      </c>
      <c r="AO187" s="3"/>
      <c r="AP187" s="4">
        <v>44275.6086574074</v>
      </c>
      <c r="AQ187" s="3"/>
      <c r="AR187" s="3" t="s">
        <v>3441</v>
      </c>
      <c r="AS187" s="3"/>
      <c r="AT187" s="4">
        <v>44281.0337152778</v>
      </c>
    </row>
    <row r="188" ht="15.75" customHeight="1">
      <c r="A188" s="3"/>
      <c r="B188" s="3" t="s">
        <v>46</v>
      </c>
      <c r="C188" s="3" t="s">
        <v>47</v>
      </c>
      <c r="D188" s="3"/>
      <c r="E188" s="3" t="s">
        <v>5762</v>
      </c>
      <c r="F188" s="3"/>
      <c r="G188" s="3" t="s">
        <v>3165</v>
      </c>
      <c r="H188" s="3" t="s">
        <v>50</v>
      </c>
      <c r="I188" s="3">
        <v>121000.0</v>
      </c>
      <c r="J188" s="3"/>
      <c r="K188" s="3" t="s">
        <v>92</v>
      </c>
      <c r="L188" s="3"/>
      <c r="M188" s="3" t="s">
        <v>5763</v>
      </c>
      <c r="N188" s="3" t="s">
        <v>74</v>
      </c>
      <c r="O188" s="3" t="s">
        <v>75</v>
      </c>
      <c r="P188" s="4">
        <v>44275.0930902778</v>
      </c>
      <c r="Q188" s="3" t="s">
        <v>77</v>
      </c>
      <c r="R188" s="3"/>
      <c r="S188" s="3" t="s">
        <v>400</v>
      </c>
      <c r="T188" s="3">
        <v>4304671.0</v>
      </c>
      <c r="U188" s="3" t="s">
        <v>1755</v>
      </c>
      <c r="V188" s="3" t="s">
        <v>402</v>
      </c>
      <c r="W188" s="3" t="s">
        <v>78</v>
      </c>
      <c r="X188" s="3"/>
      <c r="Y188" s="3"/>
      <c r="Z188" s="3" t="s">
        <v>79</v>
      </c>
      <c r="AA188" s="3" t="s">
        <v>5764</v>
      </c>
      <c r="AB188" s="3" t="str">
        <f>"***601110**"</f>
        <v>***601110**</v>
      </c>
      <c r="AC188" s="3"/>
      <c r="AD188" s="3" t="s">
        <v>81</v>
      </c>
      <c r="AE188" s="3"/>
      <c r="AF188" s="3">
        <v>-50.511944</v>
      </c>
      <c r="AG188" s="3">
        <v>-30.144167</v>
      </c>
      <c r="AH188" s="3" t="s">
        <v>5765</v>
      </c>
      <c r="AI188" s="3"/>
      <c r="AJ188" s="3" t="s">
        <v>405</v>
      </c>
      <c r="AK188" s="3"/>
      <c r="AL188" s="3"/>
      <c r="AM188" s="3" t="s">
        <v>65</v>
      </c>
      <c r="AN188" s="3" t="s">
        <v>1044</v>
      </c>
      <c r="AO188" s="3"/>
      <c r="AP188" s="4">
        <v>44275.1067939815</v>
      </c>
      <c r="AQ188" s="3"/>
      <c r="AR188" s="3" t="s">
        <v>5766</v>
      </c>
      <c r="AS188" s="3" t="s">
        <v>5767</v>
      </c>
      <c r="AT188" s="4">
        <v>44281.0337152778</v>
      </c>
    </row>
    <row r="189" ht="15.75" customHeight="1">
      <c r="A189" s="3"/>
      <c r="B189" s="3" t="s">
        <v>46</v>
      </c>
      <c r="C189" s="3" t="s">
        <v>47</v>
      </c>
      <c r="D189" s="3"/>
      <c r="E189" s="3" t="s">
        <v>5768</v>
      </c>
      <c r="F189" s="3"/>
      <c r="G189" s="3" t="s">
        <v>49</v>
      </c>
      <c r="H189" s="3" t="s">
        <v>50</v>
      </c>
      <c r="I189" s="3">
        <v>90700.0</v>
      </c>
      <c r="J189" s="3"/>
      <c r="K189" s="3" t="s">
        <v>92</v>
      </c>
      <c r="L189" s="3"/>
      <c r="M189" s="3" t="s">
        <v>5769</v>
      </c>
      <c r="N189" s="3" t="s">
        <v>74</v>
      </c>
      <c r="O189" s="3" t="s">
        <v>75</v>
      </c>
      <c r="P189" s="4">
        <v>44274.9430208333</v>
      </c>
      <c r="Q189" s="3" t="s">
        <v>77</v>
      </c>
      <c r="R189" s="3"/>
      <c r="S189" s="3" t="s">
        <v>400</v>
      </c>
      <c r="T189" s="3">
        <v>4306767.0</v>
      </c>
      <c r="U189" s="3" t="s">
        <v>1947</v>
      </c>
      <c r="V189" s="3" t="s">
        <v>402</v>
      </c>
      <c r="W189" s="3" t="s">
        <v>78</v>
      </c>
      <c r="X189" s="3"/>
      <c r="Y189" s="3"/>
      <c r="Z189" s="3" t="s">
        <v>79</v>
      </c>
      <c r="AA189" s="3" t="s">
        <v>5770</v>
      </c>
      <c r="AB189" s="3" t="str">
        <f>"***020649**"</f>
        <v>***020649**</v>
      </c>
      <c r="AC189" s="3"/>
      <c r="AD189" s="3" t="s">
        <v>81</v>
      </c>
      <c r="AE189" s="3"/>
      <c r="AF189" s="3">
        <v>-51.3275</v>
      </c>
      <c r="AG189" s="3">
        <v>-30.036111</v>
      </c>
      <c r="AH189" s="3" t="s">
        <v>5771</v>
      </c>
      <c r="AI189" s="3"/>
      <c r="AJ189" s="3" t="s">
        <v>405</v>
      </c>
      <c r="AK189" s="3"/>
      <c r="AL189" s="3"/>
      <c r="AM189" s="3" t="s">
        <v>65</v>
      </c>
      <c r="AN189" s="3" t="s">
        <v>1044</v>
      </c>
      <c r="AO189" s="3"/>
      <c r="AP189" s="4">
        <v>44274.9717824074</v>
      </c>
      <c r="AQ189" s="3"/>
      <c r="AR189" s="3" t="s">
        <v>502</v>
      </c>
      <c r="AS189" s="3" t="s">
        <v>5767</v>
      </c>
      <c r="AT189" s="4">
        <v>44281.0337152778</v>
      </c>
    </row>
    <row r="190" ht="15.75" customHeight="1">
      <c r="A190" s="3"/>
      <c r="B190" s="3" t="s">
        <v>46</v>
      </c>
      <c r="C190" s="3" t="s">
        <v>47</v>
      </c>
      <c r="D190" s="3"/>
      <c r="E190" s="3" t="s">
        <v>5772</v>
      </c>
      <c r="F190" s="3"/>
      <c r="G190" s="3" t="s">
        <v>49</v>
      </c>
      <c r="H190" s="3" t="s">
        <v>72</v>
      </c>
      <c r="I190" s="3">
        <v>3080000.0</v>
      </c>
      <c r="J190" s="3"/>
      <c r="K190" s="3"/>
      <c r="L190" s="3"/>
      <c r="M190" s="3" t="s">
        <v>5773</v>
      </c>
      <c r="N190" s="3" t="s">
        <v>109</v>
      </c>
      <c r="O190" s="3" t="s">
        <v>110</v>
      </c>
      <c r="P190" s="4">
        <v>44274.8135763889</v>
      </c>
      <c r="Q190" s="3" t="s">
        <v>77</v>
      </c>
      <c r="R190" s="3"/>
      <c r="S190" s="3" t="s">
        <v>220</v>
      </c>
      <c r="T190" s="3">
        <v>5105101.0</v>
      </c>
      <c r="U190" s="3" t="s">
        <v>5774</v>
      </c>
      <c r="V190" s="3" t="s">
        <v>323</v>
      </c>
      <c r="W190" s="3" t="s">
        <v>100</v>
      </c>
      <c r="X190" s="3"/>
      <c r="Y190" s="3"/>
      <c r="Z190" s="3" t="s">
        <v>112</v>
      </c>
      <c r="AA190" s="3" t="s">
        <v>5775</v>
      </c>
      <c r="AB190" s="3" t="str">
        <f t="shared" ref="AB190:AB191" si="18">"***569548**"</f>
        <v>***569548**</v>
      </c>
      <c r="AC190" s="3"/>
      <c r="AD190" s="3" t="s">
        <v>325</v>
      </c>
      <c r="AE190" s="3"/>
      <c r="AF190" s="3">
        <v>-57.577222</v>
      </c>
      <c r="AG190" s="3">
        <v>-10.701389</v>
      </c>
      <c r="AH190" s="3" t="s">
        <v>5776</v>
      </c>
      <c r="AI190" s="3"/>
      <c r="AJ190" s="3" t="s">
        <v>327</v>
      </c>
      <c r="AK190" s="3"/>
      <c r="AL190" s="3"/>
      <c r="AM190" s="3" t="s">
        <v>65</v>
      </c>
      <c r="AN190" s="3" t="s">
        <v>328</v>
      </c>
      <c r="AO190" s="3"/>
      <c r="AP190" s="4">
        <v>44275.7940162037</v>
      </c>
      <c r="AQ190" s="3"/>
      <c r="AR190" s="3" t="s">
        <v>5165</v>
      </c>
      <c r="AS190" s="3"/>
      <c r="AT190" s="4">
        <v>44281.0337152778</v>
      </c>
    </row>
    <row r="191" ht="15.75" customHeight="1">
      <c r="A191" s="3"/>
      <c r="B191" s="3" t="s">
        <v>46</v>
      </c>
      <c r="C191" s="3" t="s">
        <v>47</v>
      </c>
      <c r="D191" s="3"/>
      <c r="E191" s="3" t="s">
        <v>5777</v>
      </c>
      <c r="F191" s="3"/>
      <c r="G191" s="3" t="s">
        <v>49</v>
      </c>
      <c r="H191" s="3" t="s">
        <v>72</v>
      </c>
      <c r="I191" s="3">
        <v>3080000.0</v>
      </c>
      <c r="J191" s="3"/>
      <c r="K191" s="3"/>
      <c r="L191" s="3"/>
      <c r="M191" s="3"/>
      <c r="N191" s="3" t="s">
        <v>109</v>
      </c>
      <c r="O191" s="3" t="s">
        <v>110</v>
      </c>
      <c r="P191" s="4">
        <v>44274.8061574074</v>
      </c>
      <c r="Q191" s="3" t="s">
        <v>77</v>
      </c>
      <c r="R191" s="3"/>
      <c r="S191" s="3" t="s">
        <v>220</v>
      </c>
      <c r="T191" s="3">
        <v>5105101.0</v>
      </c>
      <c r="U191" s="3" t="s">
        <v>5774</v>
      </c>
      <c r="V191" s="3" t="s">
        <v>323</v>
      </c>
      <c r="W191" s="3" t="s">
        <v>100</v>
      </c>
      <c r="X191" s="3"/>
      <c r="Y191" s="3"/>
      <c r="Z191" s="3" t="s">
        <v>112</v>
      </c>
      <c r="AA191" s="3" t="s">
        <v>5775</v>
      </c>
      <c r="AB191" s="3" t="str">
        <f t="shared" si="18"/>
        <v>***569548**</v>
      </c>
      <c r="AC191" s="3"/>
      <c r="AD191" s="3" t="s">
        <v>325</v>
      </c>
      <c r="AE191" s="3"/>
      <c r="AF191" s="3">
        <v>-57.577222</v>
      </c>
      <c r="AG191" s="3">
        <v>-10.701389</v>
      </c>
      <c r="AH191" s="3" t="s">
        <v>5776</v>
      </c>
      <c r="AI191" s="3"/>
      <c r="AJ191" s="3" t="s">
        <v>327</v>
      </c>
      <c r="AK191" s="3"/>
      <c r="AL191" s="3"/>
      <c r="AM191" s="3" t="s">
        <v>65</v>
      </c>
      <c r="AN191" s="3" t="s">
        <v>328</v>
      </c>
      <c r="AO191" s="3"/>
      <c r="AP191" s="4">
        <v>44275.7941435185</v>
      </c>
      <c r="AQ191" s="3"/>
      <c r="AR191" s="3" t="s">
        <v>5165</v>
      </c>
      <c r="AS191" s="3"/>
      <c r="AT191" s="4">
        <v>44281.0337152778</v>
      </c>
    </row>
    <row r="192" ht="15.75" customHeight="1">
      <c r="A192" s="3">
        <v>2044677.0</v>
      </c>
      <c r="B192" s="3" t="s">
        <v>116</v>
      </c>
      <c r="C192" s="3" t="s">
        <v>117</v>
      </c>
      <c r="D192" s="3" t="s">
        <v>46</v>
      </c>
      <c r="E192" s="3" t="s">
        <v>5778</v>
      </c>
      <c r="F192" s="3"/>
      <c r="G192" s="3" t="s">
        <v>119</v>
      </c>
      <c r="H192" s="3" t="s">
        <v>50</v>
      </c>
      <c r="I192" s="3">
        <v>5700.0</v>
      </c>
      <c r="J192" s="3"/>
      <c r="K192" s="3"/>
      <c r="L192" s="3" t="s">
        <v>120</v>
      </c>
      <c r="M192" s="3" t="s">
        <v>5779</v>
      </c>
      <c r="N192" s="3" t="s">
        <v>74</v>
      </c>
      <c r="O192" s="3" t="s">
        <v>75</v>
      </c>
      <c r="P192" s="4">
        <v>44274.75</v>
      </c>
      <c r="Q192" s="3" t="s">
        <v>56</v>
      </c>
      <c r="R192" s="3"/>
      <c r="S192" s="3" t="s">
        <v>220</v>
      </c>
      <c r="T192" s="3">
        <v>2408953.0</v>
      </c>
      <c r="U192" s="3" t="s">
        <v>5780</v>
      </c>
      <c r="V192" s="3" t="s">
        <v>1084</v>
      </c>
      <c r="W192" s="3" t="s">
        <v>60</v>
      </c>
      <c r="X192" s="3"/>
      <c r="Y192" s="3"/>
      <c r="Z192" s="3" t="s">
        <v>79</v>
      </c>
      <c r="AA192" s="3" t="s">
        <v>5781</v>
      </c>
      <c r="AB192" s="3" t="str">
        <f>"***684004**"</f>
        <v>***684004**</v>
      </c>
      <c r="AC192" s="3"/>
      <c r="AD192" s="3"/>
      <c r="AE192" s="3"/>
      <c r="AF192" s="3">
        <v>-35.358611</v>
      </c>
      <c r="AG192" s="3">
        <v>-5.3475</v>
      </c>
      <c r="AH192" s="3" t="s">
        <v>5782</v>
      </c>
      <c r="AI192" s="3"/>
      <c r="AJ192" s="3" t="s">
        <v>120</v>
      </c>
      <c r="AK192" s="3"/>
      <c r="AL192" s="3" t="s">
        <v>128</v>
      </c>
      <c r="AM192" s="3" t="s">
        <v>65</v>
      </c>
      <c r="AN192" s="3" t="s">
        <v>5783</v>
      </c>
      <c r="AO192" s="4">
        <v>44279.0</v>
      </c>
      <c r="AP192" s="4">
        <v>44279.6547569444</v>
      </c>
      <c r="AQ192" s="3" t="s">
        <v>132</v>
      </c>
      <c r="AR192" s="3" t="s">
        <v>3196</v>
      </c>
      <c r="AS192" s="3" t="s">
        <v>5784</v>
      </c>
      <c r="AT192" s="4">
        <v>44281.0337152778</v>
      </c>
    </row>
    <row r="193" ht="15.75" customHeight="1">
      <c r="A193" s="3"/>
      <c r="B193" s="3" t="s">
        <v>46</v>
      </c>
      <c r="C193" s="3" t="s">
        <v>47</v>
      </c>
      <c r="D193" s="3"/>
      <c r="E193" s="3" t="s">
        <v>5785</v>
      </c>
      <c r="F193" s="3"/>
      <c r="G193" s="3" t="s">
        <v>49</v>
      </c>
      <c r="H193" s="3" t="s">
        <v>72</v>
      </c>
      <c r="I193" s="3">
        <v>8358.0</v>
      </c>
      <c r="J193" s="3"/>
      <c r="K193" s="3"/>
      <c r="L193" s="3"/>
      <c r="M193" s="3" t="s">
        <v>5786</v>
      </c>
      <c r="N193" s="3" t="s">
        <v>109</v>
      </c>
      <c r="O193" s="3" t="s">
        <v>110</v>
      </c>
      <c r="P193" s="4">
        <v>44274.7372685185</v>
      </c>
      <c r="Q193" s="3" t="s">
        <v>56</v>
      </c>
      <c r="R193" s="3"/>
      <c r="S193" s="3" t="s">
        <v>1639</v>
      </c>
      <c r="T193" s="3">
        <v>5103106.0</v>
      </c>
      <c r="U193" s="3" t="s">
        <v>5787</v>
      </c>
      <c r="V193" s="3" t="s">
        <v>323</v>
      </c>
      <c r="W193" s="3" t="s">
        <v>100</v>
      </c>
      <c r="X193" s="3"/>
      <c r="Y193" s="3"/>
      <c r="Z193" s="3" t="s">
        <v>112</v>
      </c>
      <c r="AA193" s="3" t="s">
        <v>5788</v>
      </c>
      <c r="AB193" s="3" t="str">
        <f>"***548891**"</f>
        <v>***548891**</v>
      </c>
      <c r="AC193" s="3"/>
      <c r="AD193" s="3" t="s">
        <v>81</v>
      </c>
      <c r="AE193" s="3"/>
      <c r="AF193" s="3">
        <v>-51.005278</v>
      </c>
      <c r="AG193" s="3">
        <v>-14.390278</v>
      </c>
      <c r="AH193" s="3" t="s">
        <v>5789</v>
      </c>
      <c r="AI193" s="3"/>
      <c r="AJ193" s="3" t="s">
        <v>5396</v>
      </c>
      <c r="AK193" s="3"/>
      <c r="AL193" s="3"/>
      <c r="AM193" s="3" t="s">
        <v>65</v>
      </c>
      <c r="AN193" s="3" t="s">
        <v>5397</v>
      </c>
      <c r="AO193" s="3"/>
      <c r="AP193" s="4">
        <v>44274.7466898148</v>
      </c>
      <c r="AQ193" s="3"/>
      <c r="AR193" s="3" t="s">
        <v>455</v>
      </c>
      <c r="AS193" s="3"/>
      <c r="AT193" s="4">
        <v>44281.0337152778</v>
      </c>
    </row>
    <row r="194" ht="15.75" customHeight="1">
      <c r="A194" s="3"/>
      <c r="B194" s="3" t="s">
        <v>46</v>
      </c>
      <c r="C194" s="3" t="s">
        <v>47</v>
      </c>
      <c r="D194" s="3"/>
      <c r="E194" s="3" t="s">
        <v>5790</v>
      </c>
      <c r="F194" s="3"/>
      <c r="G194" s="3" t="s">
        <v>49</v>
      </c>
      <c r="H194" s="3" t="s">
        <v>50</v>
      </c>
      <c r="I194" s="3">
        <v>52500.0</v>
      </c>
      <c r="J194" s="3"/>
      <c r="K194" s="3"/>
      <c r="L194" s="3"/>
      <c r="M194" s="3" t="s">
        <v>5791</v>
      </c>
      <c r="N194" s="3" t="s">
        <v>186</v>
      </c>
      <c r="O194" s="3" t="s">
        <v>187</v>
      </c>
      <c r="P194" s="4">
        <v>44274.7152546296</v>
      </c>
      <c r="Q194" s="3" t="s">
        <v>56</v>
      </c>
      <c r="R194" s="3"/>
      <c r="S194" s="3" t="s">
        <v>148</v>
      </c>
      <c r="T194" s="3">
        <v>1100155.0</v>
      </c>
      <c r="U194" s="3" t="s">
        <v>5792</v>
      </c>
      <c r="V194" s="3" t="s">
        <v>125</v>
      </c>
      <c r="W194" s="3" t="s">
        <v>100</v>
      </c>
      <c r="X194" s="3"/>
      <c r="Y194" s="3" t="str">
        <f>"02502000103202187"</f>
        <v>02502000103202187</v>
      </c>
      <c r="Z194" s="3"/>
      <c r="AA194" s="3" t="s">
        <v>5793</v>
      </c>
      <c r="AB194" s="3" t="str">
        <f>"14443896000198"</f>
        <v>14443896000198</v>
      </c>
      <c r="AC194" s="3"/>
      <c r="AD194" s="3" t="s">
        <v>62</v>
      </c>
      <c r="AE194" s="3"/>
      <c r="AF194" s="3">
        <v>-62.266389</v>
      </c>
      <c r="AG194" s="3">
        <v>-10.716667</v>
      </c>
      <c r="AH194" s="3" t="s">
        <v>5794</v>
      </c>
      <c r="AI194" s="3"/>
      <c r="AJ194" s="3" t="s">
        <v>158</v>
      </c>
      <c r="AK194" s="3"/>
      <c r="AL194" s="3"/>
      <c r="AM194" s="3" t="s">
        <v>65</v>
      </c>
      <c r="AN194" s="3" t="s">
        <v>159</v>
      </c>
      <c r="AO194" s="3"/>
      <c r="AP194" s="4">
        <v>44277.582025463</v>
      </c>
      <c r="AQ194" s="3"/>
      <c r="AR194" s="3" t="s">
        <v>106</v>
      </c>
      <c r="AS194" s="3"/>
      <c r="AT194" s="4">
        <v>44281.0337152778</v>
      </c>
    </row>
    <row r="195" ht="15.75" customHeight="1">
      <c r="A195" s="3"/>
      <c r="B195" s="3" t="s">
        <v>46</v>
      </c>
      <c r="C195" s="3" t="s">
        <v>47</v>
      </c>
      <c r="D195" s="3"/>
      <c r="E195" s="3" t="s">
        <v>5795</v>
      </c>
      <c r="F195" s="3"/>
      <c r="G195" s="3" t="s">
        <v>49</v>
      </c>
      <c r="H195" s="3" t="s">
        <v>50</v>
      </c>
      <c r="I195" s="3">
        <v>10500.0</v>
      </c>
      <c r="J195" s="3"/>
      <c r="K195" s="3" t="s">
        <v>51</v>
      </c>
      <c r="L195" s="3"/>
      <c r="M195" s="3" t="s">
        <v>5796</v>
      </c>
      <c r="N195" s="3" t="s">
        <v>301</v>
      </c>
      <c r="O195" s="3" t="s">
        <v>302</v>
      </c>
      <c r="P195" s="4">
        <v>44274.680787037</v>
      </c>
      <c r="Q195" s="3" t="s">
        <v>56</v>
      </c>
      <c r="R195" s="5">
        <v>44274.0</v>
      </c>
      <c r="S195" s="3" t="s">
        <v>1173</v>
      </c>
      <c r="T195" s="3">
        <v>2503209.0</v>
      </c>
      <c r="U195" s="3" t="s">
        <v>3050</v>
      </c>
      <c r="V195" s="3" t="s">
        <v>1175</v>
      </c>
      <c r="W195" s="3" t="s">
        <v>78</v>
      </c>
      <c r="X195" s="3"/>
      <c r="Y195" s="3"/>
      <c r="Z195" s="3" t="s">
        <v>306</v>
      </c>
      <c r="AA195" s="3" t="s">
        <v>5797</v>
      </c>
      <c r="AB195" s="3" t="str">
        <f>"18723506000356"</f>
        <v>18723506000356</v>
      </c>
      <c r="AC195" s="3"/>
      <c r="AD195" s="3" t="s">
        <v>81</v>
      </c>
      <c r="AE195" s="3"/>
      <c r="AF195" s="3">
        <v>-34.844444</v>
      </c>
      <c r="AG195" s="3">
        <v>-1.020833</v>
      </c>
      <c r="AH195" s="3" t="s">
        <v>5798</v>
      </c>
      <c r="AI195" s="3"/>
      <c r="AJ195" s="3" t="s">
        <v>1178</v>
      </c>
      <c r="AK195" s="3"/>
      <c r="AL195" s="3"/>
      <c r="AM195" s="3" t="s">
        <v>65</v>
      </c>
      <c r="AN195" s="3" t="s">
        <v>296</v>
      </c>
      <c r="AO195" s="3"/>
      <c r="AP195" s="4">
        <v>44274.6858333333</v>
      </c>
      <c r="AQ195" s="3"/>
      <c r="AR195" s="3" t="s">
        <v>387</v>
      </c>
      <c r="AS195" s="3"/>
      <c r="AT195" s="4">
        <v>44281.0337152778</v>
      </c>
    </row>
    <row r="196" ht="15.75" customHeight="1">
      <c r="A196" s="3"/>
      <c r="B196" s="3" t="s">
        <v>46</v>
      </c>
      <c r="C196" s="3" t="s">
        <v>47</v>
      </c>
      <c r="D196" s="3"/>
      <c r="E196" s="3" t="s">
        <v>5799</v>
      </c>
      <c r="F196" s="3"/>
      <c r="G196" s="3" t="s">
        <v>49</v>
      </c>
      <c r="H196" s="3" t="s">
        <v>72</v>
      </c>
      <c r="I196" s="3">
        <v>4878000.0</v>
      </c>
      <c r="J196" s="3"/>
      <c r="K196" s="3"/>
      <c r="L196" s="3"/>
      <c r="M196" s="3" t="s">
        <v>5800</v>
      </c>
      <c r="N196" s="3" t="s">
        <v>109</v>
      </c>
      <c r="O196" s="3" t="s">
        <v>110</v>
      </c>
      <c r="P196" s="4">
        <v>44274.6766666667</v>
      </c>
      <c r="Q196" s="3" t="s">
        <v>56</v>
      </c>
      <c r="R196" s="3"/>
      <c r="S196" s="3" t="s">
        <v>608</v>
      </c>
      <c r="T196" s="3">
        <v>1507805.0</v>
      </c>
      <c r="U196" s="3" t="s">
        <v>5222</v>
      </c>
      <c r="V196" s="3" t="s">
        <v>917</v>
      </c>
      <c r="W196" s="3" t="s">
        <v>100</v>
      </c>
      <c r="X196" s="3"/>
      <c r="Y196" s="3"/>
      <c r="Z196" s="3" t="s">
        <v>112</v>
      </c>
      <c r="AA196" s="3" t="s">
        <v>5801</v>
      </c>
      <c r="AB196" s="3" t="str">
        <f>"***249105**"</f>
        <v>***249105**</v>
      </c>
      <c r="AC196" s="3"/>
      <c r="AD196" s="3" t="s">
        <v>325</v>
      </c>
      <c r="AE196" s="3"/>
      <c r="AF196" s="3">
        <v>-51.983889</v>
      </c>
      <c r="AG196" s="3">
        <v>-3.9945</v>
      </c>
      <c r="AH196" s="3" t="s">
        <v>5802</v>
      </c>
      <c r="AI196" s="3"/>
      <c r="AJ196" s="3" t="s">
        <v>120</v>
      </c>
      <c r="AK196" s="3"/>
      <c r="AL196" s="3"/>
      <c r="AM196" s="3" t="s">
        <v>65</v>
      </c>
      <c r="AN196" s="3" t="s">
        <v>5110</v>
      </c>
      <c r="AO196" s="3"/>
      <c r="AP196" s="4">
        <v>44280.5649421296</v>
      </c>
      <c r="AQ196" s="3"/>
      <c r="AR196" s="3" t="s">
        <v>5803</v>
      </c>
      <c r="AS196" s="3" t="s">
        <v>5804</v>
      </c>
      <c r="AT196" s="4">
        <v>44281.0337152778</v>
      </c>
    </row>
    <row r="197" ht="15.75" customHeight="1">
      <c r="A197" s="3">
        <v>2044639.0</v>
      </c>
      <c r="B197" s="3" t="s">
        <v>116</v>
      </c>
      <c r="C197" s="3" t="s">
        <v>117</v>
      </c>
      <c r="D197" s="3" t="s">
        <v>46</v>
      </c>
      <c r="E197" s="3" t="s">
        <v>5805</v>
      </c>
      <c r="F197" s="3"/>
      <c r="G197" s="3" t="s">
        <v>119</v>
      </c>
      <c r="H197" s="3" t="s">
        <v>72</v>
      </c>
      <c r="I197" s="3">
        <v>5400000.0</v>
      </c>
      <c r="J197" s="3"/>
      <c r="K197" s="3"/>
      <c r="L197" s="3" t="s">
        <v>120</v>
      </c>
      <c r="M197" s="3" t="s">
        <v>5806</v>
      </c>
      <c r="N197" s="3" t="s">
        <v>109</v>
      </c>
      <c r="O197" s="3" t="s">
        <v>110</v>
      </c>
      <c r="P197" s="4">
        <v>44274.6666666667</v>
      </c>
      <c r="Q197" s="3" t="s">
        <v>56</v>
      </c>
      <c r="R197" s="5">
        <v>44272.0</v>
      </c>
      <c r="S197" s="3" t="s">
        <v>608</v>
      </c>
      <c r="T197" s="3">
        <v>1507805.0</v>
      </c>
      <c r="U197" s="3" t="s">
        <v>5222</v>
      </c>
      <c r="V197" s="3" t="s">
        <v>917</v>
      </c>
      <c r="W197" s="3" t="s">
        <v>100</v>
      </c>
      <c r="X197" s="3"/>
      <c r="Y197" s="3" t="str">
        <f>"02001005977202171"</f>
        <v>02001005977202171</v>
      </c>
      <c r="Z197" s="3" t="s">
        <v>112</v>
      </c>
      <c r="AA197" s="3" t="s">
        <v>5807</v>
      </c>
      <c r="AB197" s="3" t="str">
        <f>"***967620**"</f>
        <v>***967620**</v>
      </c>
      <c r="AC197" s="3"/>
      <c r="AD197" s="3"/>
      <c r="AE197" s="3"/>
      <c r="AF197" s="3">
        <v>-51.773</v>
      </c>
      <c r="AG197" s="3">
        <v>-3.932667</v>
      </c>
      <c r="AH197" s="3" t="s">
        <v>5808</v>
      </c>
      <c r="AI197" s="3"/>
      <c r="AJ197" s="3" t="s">
        <v>120</v>
      </c>
      <c r="AK197" s="3"/>
      <c r="AL197" s="3" t="s">
        <v>128</v>
      </c>
      <c r="AM197" s="3" t="s">
        <v>65</v>
      </c>
      <c r="AN197" s="3" t="s">
        <v>5110</v>
      </c>
      <c r="AO197" s="4">
        <v>44279.0</v>
      </c>
      <c r="AP197" s="4">
        <v>44279.3977314815</v>
      </c>
      <c r="AQ197" s="3" t="s">
        <v>132</v>
      </c>
      <c r="AR197" s="3" t="s">
        <v>5298</v>
      </c>
      <c r="AS197" s="3" t="s">
        <v>5713</v>
      </c>
      <c r="AT197" s="4">
        <v>44281.0337152778</v>
      </c>
    </row>
    <row r="198" ht="15.75" customHeight="1">
      <c r="A198" s="3"/>
      <c r="B198" s="3" t="s">
        <v>46</v>
      </c>
      <c r="C198" s="3" t="s">
        <v>571</v>
      </c>
      <c r="D198" s="3" t="s">
        <v>116</v>
      </c>
      <c r="E198" s="3" t="s">
        <v>5809</v>
      </c>
      <c r="F198" s="3"/>
      <c r="G198" s="3" t="s">
        <v>49</v>
      </c>
      <c r="H198" s="3" t="s">
        <v>50</v>
      </c>
      <c r="I198" s="3">
        <v>13000.0</v>
      </c>
      <c r="J198" s="3"/>
      <c r="K198" s="3"/>
      <c r="L198" s="3"/>
      <c r="M198" s="3" t="s">
        <v>5810</v>
      </c>
      <c r="N198" s="3" t="s">
        <v>381</v>
      </c>
      <c r="O198" s="3" t="s">
        <v>382</v>
      </c>
      <c r="P198" s="4">
        <v>44274.6328472222</v>
      </c>
      <c r="Q198" s="3" t="s">
        <v>56</v>
      </c>
      <c r="R198" s="3"/>
      <c r="S198" s="3" t="s">
        <v>169</v>
      </c>
      <c r="T198" s="3">
        <v>5208707.0</v>
      </c>
      <c r="U198" s="3" t="s">
        <v>5643</v>
      </c>
      <c r="V198" s="3" t="s">
        <v>171</v>
      </c>
      <c r="W198" s="3" t="s">
        <v>172</v>
      </c>
      <c r="X198" s="3"/>
      <c r="Y198" s="3"/>
      <c r="Z198" s="3" t="s">
        <v>384</v>
      </c>
      <c r="AA198" s="3" t="s">
        <v>5644</v>
      </c>
      <c r="AB198" s="3" t="str">
        <f t="shared" ref="AB198:AB199" si="19">"04874154000163"</f>
        <v>04874154000163</v>
      </c>
      <c r="AC198" s="3"/>
      <c r="AD198" s="3" t="s">
        <v>62</v>
      </c>
      <c r="AE198" s="3"/>
      <c r="AF198" s="3">
        <v>-49.311944</v>
      </c>
      <c r="AG198" s="3">
        <v>-16.666389</v>
      </c>
      <c r="AH198" s="3" t="s">
        <v>5645</v>
      </c>
      <c r="AI198" s="3"/>
      <c r="AJ198" s="3" t="s">
        <v>1763</v>
      </c>
      <c r="AK198" s="3"/>
      <c r="AL198" s="3"/>
      <c r="AM198" s="3" t="s">
        <v>65</v>
      </c>
      <c r="AN198" s="3" t="s">
        <v>5317</v>
      </c>
      <c r="AO198" s="3"/>
      <c r="AP198" s="4">
        <v>44274.6383449074</v>
      </c>
      <c r="AQ198" s="3"/>
      <c r="AR198" s="3" t="s">
        <v>298</v>
      </c>
      <c r="AS198" s="3" t="s">
        <v>5420</v>
      </c>
      <c r="AT198" s="4">
        <v>44281.0337152778</v>
      </c>
    </row>
    <row r="199" ht="15.75" customHeight="1">
      <c r="A199" s="3">
        <v>2044620.0</v>
      </c>
      <c r="B199" s="3" t="s">
        <v>116</v>
      </c>
      <c r="C199" s="3" t="s">
        <v>117</v>
      </c>
      <c r="D199" s="3" t="s">
        <v>46</v>
      </c>
      <c r="E199" s="3" t="s">
        <v>5811</v>
      </c>
      <c r="F199" s="3"/>
      <c r="G199" s="3" t="s">
        <v>119</v>
      </c>
      <c r="H199" s="3" t="s">
        <v>50</v>
      </c>
      <c r="I199" s="3">
        <v>3000.0</v>
      </c>
      <c r="J199" s="3"/>
      <c r="K199" s="3"/>
      <c r="L199" s="3" t="s">
        <v>120</v>
      </c>
      <c r="M199" s="3" t="s">
        <v>5812</v>
      </c>
      <c r="N199" s="3" t="s">
        <v>53</v>
      </c>
      <c r="O199" s="3" t="s">
        <v>382</v>
      </c>
      <c r="P199" s="4">
        <v>44274.625</v>
      </c>
      <c r="Q199" s="3" t="s">
        <v>56</v>
      </c>
      <c r="R199" s="3"/>
      <c r="S199" s="3" t="s">
        <v>169</v>
      </c>
      <c r="T199" s="3">
        <v>5208707.0</v>
      </c>
      <c r="U199" s="3" t="s">
        <v>5643</v>
      </c>
      <c r="V199" s="3" t="s">
        <v>171</v>
      </c>
      <c r="W199" s="3" t="s">
        <v>172</v>
      </c>
      <c r="X199" s="3"/>
      <c r="Y199" s="3"/>
      <c r="Z199" s="3" t="s">
        <v>384</v>
      </c>
      <c r="AA199" s="3" t="s">
        <v>5644</v>
      </c>
      <c r="AB199" s="3" t="str">
        <f t="shared" si="19"/>
        <v>04874154000163</v>
      </c>
      <c r="AC199" s="3"/>
      <c r="AD199" s="3"/>
      <c r="AE199" s="3"/>
      <c r="AF199" s="3">
        <v>-49.311944</v>
      </c>
      <c r="AG199" s="3">
        <v>-16.666389</v>
      </c>
      <c r="AH199" s="3" t="s">
        <v>5813</v>
      </c>
      <c r="AI199" s="3"/>
      <c r="AJ199" s="3" t="s">
        <v>120</v>
      </c>
      <c r="AK199" s="3"/>
      <c r="AL199" s="3" t="s">
        <v>128</v>
      </c>
      <c r="AM199" s="3" t="s">
        <v>65</v>
      </c>
      <c r="AN199" s="3" t="s">
        <v>5317</v>
      </c>
      <c r="AO199" s="4">
        <v>44278.0</v>
      </c>
      <c r="AP199" s="4">
        <v>44278.6957175926</v>
      </c>
      <c r="AQ199" s="3" t="s">
        <v>132</v>
      </c>
      <c r="AR199" s="3" t="s">
        <v>693</v>
      </c>
      <c r="AS199" s="3"/>
      <c r="AT199" s="4">
        <v>44281.0337152778</v>
      </c>
    </row>
    <row r="200" ht="15.75" customHeight="1">
      <c r="A200" s="3"/>
      <c r="B200" s="3" t="s">
        <v>46</v>
      </c>
      <c r="C200" s="3" t="s">
        <v>47</v>
      </c>
      <c r="D200" s="3"/>
      <c r="E200" s="3" t="s">
        <v>5814</v>
      </c>
      <c r="F200" s="3"/>
      <c r="G200" s="3" t="s">
        <v>49</v>
      </c>
      <c r="H200" s="3" t="s">
        <v>50</v>
      </c>
      <c r="I200" s="3">
        <v>11000.0</v>
      </c>
      <c r="J200" s="3"/>
      <c r="K200" s="3" t="s">
        <v>92</v>
      </c>
      <c r="L200" s="3"/>
      <c r="M200" s="3" t="s">
        <v>5815</v>
      </c>
      <c r="N200" s="3" t="s">
        <v>285</v>
      </c>
      <c r="O200" s="3" t="s">
        <v>286</v>
      </c>
      <c r="P200" s="4">
        <v>44274.5883101852</v>
      </c>
      <c r="Q200" s="3" t="s">
        <v>56</v>
      </c>
      <c r="R200" s="3"/>
      <c r="S200" s="3" t="s">
        <v>784</v>
      </c>
      <c r="T200" s="3">
        <v>4208203.0</v>
      </c>
      <c r="U200" s="3" t="s">
        <v>1554</v>
      </c>
      <c r="V200" s="3" t="s">
        <v>222</v>
      </c>
      <c r="W200" s="3" t="s">
        <v>172</v>
      </c>
      <c r="X200" s="3"/>
      <c r="Y200" s="3"/>
      <c r="Z200" s="3" t="s">
        <v>292</v>
      </c>
      <c r="AA200" s="3" t="s">
        <v>5816</v>
      </c>
      <c r="AB200" s="3" t="str">
        <f>"11312361000190"</f>
        <v>11312361000190</v>
      </c>
      <c r="AC200" s="3"/>
      <c r="AD200" s="3" t="s">
        <v>81</v>
      </c>
      <c r="AE200" s="3"/>
      <c r="AF200" s="3">
        <v>-49.246667</v>
      </c>
      <c r="AG200" s="3">
        <v>-16.674167</v>
      </c>
      <c r="AH200" s="3" t="s">
        <v>5817</v>
      </c>
      <c r="AI200" s="3"/>
      <c r="AJ200" s="3" t="s">
        <v>1763</v>
      </c>
      <c r="AK200" s="3"/>
      <c r="AL200" s="3"/>
      <c r="AM200" s="3" t="s">
        <v>65</v>
      </c>
      <c r="AN200" s="3" t="s">
        <v>5317</v>
      </c>
      <c r="AO200" s="3"/>
      <c r="AP200" s="4">
        <v>44278.5136458333</v>
      </c>
      <c r="AQ200" s="3"/>
      <c r="AR200" s="3" t="s">
        <v>298</v>
      </c>
      <c r="AS200" s="3"/>
      <c r="AT200" s="4">
        <v>44281.0337152778</v>
      </c>
    </row>
    <row r="201" ht="15.75" customHeight="1">
      <c r="A201" s="3">
        <v>2044618.0</v>
      </c>
      <c r="B201" s="3" t="s">
        <v>116</v>
      </c>
      <c r="C201" s="3" t="s">
        <v>117</v>
      </c>
      <c r="D201" s="3" t="s">
        <v>46</v>
      </c>
      <c r="E201" s="3" t="s">
        <v>5818</v>
      </c>
      <c r="F201" s="3"/>
      <c r="G201" s="3" t="s">
        <v>119</v>
      </c>
      <c r="H201" s="3" t="s">
        <v>50</v>
      </c>
      <c r="I201" s="3">
        <v>1000.0</v>
      </c>
      <c r="J201" s="3"/>
      <c r="K201" s="3"/>
      <c r="L201" s="3" t="s">
        <v>120</v>
      </c>
      <c r="M201" s="3" t="s">
        <v>5819</v>
      </c>
      <c r="N201" s="3" t="s">
        <v>53</v>
      </c>
      <c r="O201" s="3" t="s">
        <v>382</v>
      </c>
      <c r="P201" s="4">
        <v>44274.5833333333</v>
      </c>
      <c r="Q201" s="3" t="s">
        <v>56</v>
      </c>
      <c r="R201" s="3"/>
      <c r="S201" s="3" t="s">
        <v>268</v>
      </c>
      <c r="T201" s="3">
        <v>4101408.0</v>
      </c>
      <c r="U201" s="3" t="s">
        <v>5820</v>
      </c>
      <c r="V201" s="3" t="s">
        <v>270</v>
      </c>
      <c r="W201" s="3" t="s">
        <v>78</v>
      </c>
      <c r="X201" s="3"/>
      <c r="Y201" s="3"/>
      <c r="Z201" s="3" t="s">
        <v>384</v>
      </c>
      <c r="AA201" s="3" t="s">
        <v>5821</v>
      </c>
      <c r="AB201" s="3" t="str">
        <f>"21720600000102"</f>
        <v>21720600000102</v>
      </c>
      <c r="AC201" s="3"/>
      <c r="AD201" s="3"/>
      <c r="AE201" s="3"/>
      <c r="AF201" s="3">
        <v>-51.455</v>
      </c>
      <c r="AG201" s="3">
        <v>-23.543056</v>
      </c>
      <c r="AH201" s="3" t="s">
        <v>5822</v>
      </c>
      <c r="AI201" s="3"/>
      <c r="AJ201" s="3" t="s">
        <v>120</v>
      </c>
      <c r="AK201" s="3"/>
      <c r="AL201" s="3" t="s">
        <v>128</v>
      </c>
      <c r="AM201" s="3" t="s">
        <v>65</v>
      </c>
      <c r="AN201" s="3" t="s">
        <v>5317</v>
      </c>
      <c r="AO201" s="4">
        <v>44278.0</v>
      </c>
      <c r="AP201" s="4">
        <v>44278.6937962963</v>
      </c>
      <c r="AQ201" s="3" t="s">
        <v>132</v>
      </c>
      <c r="AR201" s="3" t="s">
        <v>693</v>
      </c>
      <c r="AS201" s="3" t="s">
        <v>5420</v>
      </c>
      <c r="AT201" s="4">
        <v>44281.0337152778</v>
      </c>
    </row>
    <row r="202" ht="15.75" customHeight="1">
      <c r="A202" s="3"/>
      <c r="B202" s="3" t="s">
        <v>46</v>
      </c>
      <c r="C202" s="3" t="s">
        <v>47</v>
      </c>
      <c r="D202" s="3"/>
      <c r="E202" s="3" t="s">
        <v>5823</v>
      </c>
      <c r="F202" s="3"/>
      <c r="G202" s="3" t="s">
        <v>49</v>
      </c>
      <c r="H202" s="3" t="s">
        <v>50</v>
      </c>
      <c r="I202" s="3">
        <v>4000.0</v>
      </c>
      <c r="J202" s="3"/>
      <c r="K202" s="3" t="s">
        <v>51</v>
      </c>
      <c r="L202" s="3"/>
      <c r="M202" s="3" t="s">
        <v>5824</v>
      </c>
      <c r="N202" s="3" t="s">
        <v>94</v>
      </c>
      <c r="O202" s="3" t="s">
        <v>95</v>
      </c>
      <c r="P202" s="4">
        <v>44274.5650925926</v>
      </c>
      <c r="Q202" s="3" t="s">
        <v>56</v>
      </c>
      <c r="R202" s="5">
        <v>44274.0</v>
      </c>
      <c r="S202" s="3" t="s">
        <v>288</v>
      </c>
      <c r="T202" s="3">
        <v>2211001.0</v>
      </c>
      <c r="U202" s="3" t="s">
        <v>527</v>
      </c>
      <c r="V202" s="3" t="s">
        <v>290</v>
      </c>
      <c r="W202" s="3" t="s">
        <v>172</v>
      </c>
      <c r="X202" s="3"/>
      <c r="Y202" s="3"/>
      <c r="Z202" s="3" t="s">
        <v>101</v>
      </c>
      <c r="AA202" s="3" t="s">
        <v>5825</v>
      </c>
      <c r="AB202" s="3" t="str">
        <f>"10868906000186"</f>
        <v>10868906000186</v>
      </c>
      <c r="AC202" s="3"/>
      <c r="AD202" s="3" t="s">
        <v>62</v>
      </c>
      <c r="AE202" s="3"/>
      <c r="AF202" s="3">
        <v>-42.783889</v>
      </c>
      <c r="AG202" s="3">
        <v>-5.065</v>
      </c>
      <c r="AH202" s="3" t="s">
        <v>354</v>
      </c>
      <c r="AI202" s="3"/>
      <c r="AJ202" s="3" t="s">
        <v>295</v>
      </c>
      <c r="AK202" s="3"/>
      <c r="AL202" s="3"/>
      <c r="AM202" s="3" t="s">
        <v>65</v>
      </c>
      <c r="AN202" s="3" t="s">
        <v>296</v>
      </c>
      <c r="AO202" s="3"/>
      <c r="AP202" s="4">
        <v>44274.5685763889</v>
      </c>
      <c r="AQ202" s="3"/>
      <c r="AR202" s="3" t="s">
        <v>298</v>
      </c>
      <c r="AS202" s="3"/>
      <c r="AT202" s="4">
        <v>44281.0337152778</v>
      </c>
    </row>
    <row r="203" ht="15.75" customHeight="1">
      <c r="A203" s="3">
        <v>2044621.0</v>
      </c>
      <c r="B203" s="3" t="s">
        <v>116</v>
      </c>
      <c r="C203" s="3" t="s">
        <v>117</v>
      </c>
      <c r="D203" s="3" t="s">
        <v>46</v>
      </c>
      <c r="E203" s="3" t="s">
        <v>5826</v>
      </c>
      <c r="F203" s="3"/>
      <c r="G203" s="3" t="s">
        <v>119</v>
      </c>
      <c r="H203" s="3" t="s">
        <v>50</v>
      </c>
      <c r="I203" s="3">
        <v>1000.0</v>
      </c>
      <c r="J203" s="3"/>
      <c r="K203" s="3"/>
      <c r="L203" s="3" t="s">
        <v>120</v>
      </c>
      <c r="M203" s="3" t="s">
        <v>5447</v>
      </c>
      <c r="N203" s="3" t="s">
        <v>53</v>
      </c>
      <c r="O203" s="3" t="s">
        <v>382</v>
      </c>
      <c r="P203" s="4">
        <v>44274.5416666667</v>
      </c>
      <c r="Q203" s="3" t="s">
        <v>56</v>
      </c>
      <c r="R203" s="3"/>
      <c r="S203" s="3" t="s">
        <v>268</v>
      </c>
      <c r="T203" s="3">
        <v>4101408.0</v>
      </c>
      <c r="U203" s="3" t="s">
        <v>5820</v>
      </c>
      <c r="V203" s="3" t="s">
        <v>270</v>
      </c>
      <c r="W203" s="3" t="s">
        <v>78</v>
      </c>
      <c r="X203" s="3"/>
      <c r="Y203" s="3" t="str">
        <f>"02001005944202121"</f>
        <v>02001005944202121</v>
      </c>
      <c r="Z203" s="3" t="s">
        <v>384</v>
      </c>
      <c r="AA203" s="3" t="s">
        <v>5821</v>
      </c>
      <c r="AB203" s="3" t="str">
        <f>"21720600000102"</f>
        <v>21720600000102</v>
      </c>
      <c r="AC203" s="3"/>
      <c r="AD203" s="3"/>
      <c r="AE203" s="3"/>
      <c r="AF203" s="3">
        <v>-51.455</v>
      </c>
      <c r="AG203" s="3">
        <v>-23.543056</v>
      </c>
      <c r="AH203" s="3" t="s">
        <v>5827</v>
      </c>
      <c r="AI203" s="3"/>
      <c r="AJ203" s="3" t="s">
        <v>120</v>
      </c>
      <c r="AK203" s="3"/>
      <c r="AL203" s="3" t="s">
        <v>128</v>
      </c>
      <c r="AM203" s="3" t="s">
        <v>65</v>
      </c>
      <c r="AN203" s="3" t="s">
        <v>5317</v>
      </c>
      <c r="AO203" s="4">
        <v>44278.0</v>
      </c>
      <c r="AP203" s="4">
        <v>44278.6962037037</v>
      </c>
      <c r="AQ203" s="3" t="s">
        <v>132</v>
      </c>
      <c r="AR203" s="3" t="s">
        <v>531</v>
      </c>
      <c r="AS203" s="3" t="s">
        <v>5420</v>
      </c>
      <c r="AT203" s="4">
        <v>44281.0337152778</v>
      </c>
    </row>
    <row r="204" ht="15.75" customHeight="1">
      <c r="A204" s="3">
        <v>2044662.0</v>
      </c>
      <c r="B204" s="3" t="s">
        <v>116</v>
      </c>
      <c r="C204" s="3" t="s">
        <v>117</v>
      </c>
      <c r="D204" s="3" t="s">
        <v>46</v>
      </c>
      <c r="E204" s="3" t="s">
        <v>5828</v>
      </c>
      <c r="F204" s="3"/>
      <c r="G204" s="3" t="s">
        <v>119</v>
      </c>
      <c r="H204" s="3" t="s">
        <v>50</v>
      </c>
      <c r="I204" s="3">
        <v>411500.0</v>
      </c>
      <c r="J204" s="3"/>
      <c r="K204" s="3"/>
      <c r="L204" s="3" t="s">
        <v>327</v>
      </c>
      <c r="M204" s="3" t="s">
        <v>5829</v>
      </c>
      <c r="N204" s="3" t="s">
        <v>186</v>
      </c>
      <c r="O204" s="3" t="s">
        <v>95</v>
      </c>
      <c r="P204" s="4">
        <v>44274.5416666667</v>
      </c>
      <c r="Q204" s="3" t="s">
        <v>56</v>
      </c>
      <c r="R204" s="5">
        <v>44326.0</v>
      </c>
      <c r="S204" s="3" t="s">
        <v>1613</v>
      </c>
      <c r="T204" s="3">
        <v>5105176.0</v>
      </c>
      <c r="U204" s="3" t="s">
        <v>5830</v>
      </c>
      <c r="V204" s="3" t="s">
        <v>323</v>
      </c>
      <c r="W204" s="3" t="s">
        <v>100</v>
      </c>
      <c r="X204" s="3"/>
      <c r="Y204" s="3" t="str">
        <f>"02013000619202133"</f>
        <v>02013000619202133</v>
      </c>
      <c r="Z204" s="3" t="s">
        <v>101</v>
      </c>
      <c r="AA204" s="3" t="s">
        <v>5831</v>
      </c>
      <c r="AB204" s="3" t="str">
        <f>"25983093000142"</f>
        <v>25983093000142</v>
      </c>
      <c r="AC204" s="3"/>
      <c r="AD204" s="3"/>
      <c r="AE204" s="3"/>
      <c r="AF204" s="3">
        <v>-58.488611</v>
      </c>
      <c r="AG204" s="3">
        <v>-10.348611</v>
      </c>
      <c r="AH204" s="3" t="s">
        <v>5832</v>
      </c>
      <c r="AI204" s="3"/>
      <c r="AJ204" s="3" t="s">
        <v>327</v>
      </c>
      <c r="AK204" s="3"/>
      <c r="AL204" s="3" t="s">
        <v>128</v>
      </c>
      <c r="AM204" s="3" t="s">
        <v>65</v>
      </c>
      <c r="AN204" s="3" t="s">
        <v>274</v>
      </c>
      <c r="AO204" s="4">
        <v>44279.0</v>
      </c>
      <c r="AP204" s="4">
        <v>44279.5114814815</v>
      </c>
      <c r="AQ204" s="3" t="s">
        <v>132</v>
      </c>
      <c r="AR204" s="3" t="s">
        <v>247</v>
      </c>
      <c r="AS204" s="3"/>
      <c r="AT204" s="4">
        <v>44281.0337152778</v>
      </c>
    </row>
    <row r="205" ht="15.75" customHeight="1">
      <c r="A205" s="3"/>
      <c r="B205" s="3" t="s">
        <v>46</v>
      </c>
      <c r="C205" s="3" t="s">
        <v>47</v>
      </c>
      <c r="D205" s="3"/>
      <c r="E205" s="3" t="s">
        <v>5833</v>
      </c>
      <c r="F205" s="3"/>
      <c r="G205" s="3" t="s">
        <v>49</v>
      </c>
      <c r="H205" s="3" t="s">
        <v>50</v>
      </c>
      <c r="I205" s="3">
        <v>1100.0</v>
      </c>
      <c r="J205" s="3"/>
      <c r="K205" s="3" t="s">
        <v>51</v>
      </c>
      <c r="L205" s="3"/>
      <c r="M205" s="3" t="s">
        <v>5834</v>
      </c>
      <c r="N205" s="3" t="s">
        <v>381</v>
      </c>
      <c r="O205" s="3" t="s">
        <v>382</v>
      </c>
      <c r="P205" s="4">
        <v>44274.4063541667</v>
      </c>
      <c r="Q205" s="3" t="s">
        <v>56</v>
      </c>
      <c r="R205" s="3"/>
      <c r="S205" s="3" t="s">
        <v>288</v>
      </c>
      <c r="T205" s="3">
        <v>2209351.0</v>
      </c>
      <c r="U205" s="3" t="s">
        <v>5835</v>
      </c>
      <c r="V205" s="3" t="s">
        <v>290</v>
      </c>
      <c r="W205" s="3" t="s">
        <v>172</v>
      </c>
      <c r="X205" s="3"/>
      <c r="Y205" s="3"/>
      <c r="Z205" s="3" t="s">
        <v>384</v>
      </c>
      <c r="AA205" s="3" t="s">
        <v>5836</v>
      </c>
      <c r="AB205" s="3" t="str">
        <f>"12868275000120"</f>
        <v>12868275000120</v>
      </c>
      <c r="AC205" s="3"/>
      <c r="AD205" s="3" t="s">
        <v>62</v>
      </c>
      <c r="AE205" s="3"/>
      <c r="AF205" s="3">
        <v>-47.933056</v>
      </c>
      <c r="AG205" s="3">
        <v>-15.83</v>
      </c>
      <c r="AH205" s="3" t="s">
        <v>5837</v>
      </c>
      <c r="AI205" s="3"/>
      <c r="AJ205" s="3" t="s">
        <v>295</v>
      </c>
      <c r="AK205" s="3"/>
      <c r="AL205" s="3"/>
      <c r="AM205" s="3" t="s">
        <v>65</v>
      </c>
      <c r="AN205" s="3" t="s">
        <v>296</v>
      </c>
      <c r="AO205" s="3"/>
      <c r="AP205" s="4">
        <v>44274.4180208333</v>
      </c>
      <c r="AQ205" s="3"/>
      <c r="AR205" s="3" t="s">
        <v>298</v>
      </c>
      <c r="AS205" s="3"/>
      <c r="AT205" s="4">
        <v>44281.0337152778</v>
      </c>
    </row>
    <row r="206" ht="15.75" customHeight="1">
      <c r="A206" s="3"/>
      <c r="B206" s="3" t="s">
        <v>46</v>
      </c>
      <c r="C206" s="3" t="s">
        <v>47</v>
      </c>
      <c r="D206" s="3"/>
      <c r="E206" s="3" t="s">
        <v>5838</v>
      </c>
      <c r="F206" s="3"/>
      <c r="G206" s="3" t="s">
        <v>49</v>
      </c>
      <c r="H206" s="3" t="s">
        <v>72</v>
      </c>
      <c r="I206" s="3">
        <v>188000.0</v>
      </c>
      <c r="J206" s="3"/>
      <c r="K206" s="3"/>
      <c r="L206" s="3"/>
      <c r="M206" s="3" t="s">
        <v>5839</v>
      </c>
      <c r="N206" s="3" t="s">
        <v>109</v>
      </c>
      <c r="O206" s="3" t="s">
        <v>110</v>
      </c>
      <c r="P206" s="4">
        <v>44274.3815972222</v>
      </c>
      <c r="Q206" s="3" t="s">
        <v>77</v>
      </c>
      <c r="R206" s="3"/>
      <c r="S206" s="3" t="s">
        <v>169</v>
      </c>
      <c r="T206" s="3">
        <v>5202502.0</v>
      </c>
      <c r="U206" s="3" t="s">
        <v>1211</v>
      </c>
      <c r="V206" s="3" t="s">
        <v>171</v>
      </c>
      <c r="W206" s="3" t="s">
        <v>172</v>
      </c>
      <c r="X206" s="3" t="s">
        <v>5393</v>
      </c>
      <c r="Y206" s="3"/>
      <c r="Z206" s="3" t="s">
        <v>112</v>
      </c>
      <c r="AA206" s="3" t="s">
        <v>5840</v>
      </c>
      <c r="AB206" s="3" t="str">
        <f>"***424421**"</f>
        <v>***424421**</v>
      </c>
      <c r="AC206" s="3"/>
      <c r="AD206" s="3" t="s">
        <v>325</v>
      </c>
      <c r="AE206" s="3"/>
      <c r="AF206" s="3">
        <v>-51.043611</v>
      </c>
      <c r="AG206" s="3">
        <v>-14.813889</v>
      </c>
      <c r="AH206" s="3" t="s">
        <v>5395</v>
      </c>
      <c r="AI206" s="3"/>
      <c r="AJ206" s="3" t="s">
        <v>5396</v>
      </c>
      <c r="AK206" s="3"/>
      <c r="AL206" s="3"/>
      <c r="AM206" s="3" t="s">
        <v>65</v>
      </c>
      <c r="AN206" s="3" t="s">
        <v>5397</v>
      </c>
      <c r="AO206" s="3"/>
      <c r="AP206" s="4">
        <v>44274.3901388889</v>
      </c>
      <c r="AQ206" s="3"/>
      <c r="AR206" s="3" t="s">
        <v>1475</v>
      </c>
      <c r="AS206" s="3" t="s">
        <v>5398</v>
      </c>
      <c r="AT206" s="4">
        <v>44281.0337152778</v>
      </c>
    </row>
    <row r="207" ht="15.75" customHeight="1">
      <c r="A207" s="3"/>
      <c r="B207" s="3" t="s">
        <v>46</v>
      </c>
      <c r="C207" s="3" t="s">
        <v>47</v>
      </c>
      <c r="D207" s="3"/>
      <c r="E207" s="3" t="s">
        <v>5841</v>
      </c>
      <c r="F207" s="3"/>
      <c r="G207" s="3" t="s">
        <v>49</v>
      </c>
      <c r="H207" s="3" t="s">
        <v>50</v>
      </c>
      <c r="I207" s="3">
        <v>2400.0</v>
      </c>
      <c r="J207" s="3"/>
      <c r="K207" s="3" t="s">
        <v>92</v>
      </c>
      <c r="L207" s="3"/>
      <c r="M207" s="3" t="s">
        <v>5842</v>
      </c>
      <c r="N207" s="3" t="s">
        <v>74</v>
      </c>
      <c r="O207" s="3" t="s">
        <v>75</v>
      </c>
      <c r="P207" s="4">
        <v>44273.9244097222</v>
      </c>
      <c r="Q207" s="3" t="s">
        <v>56</v>
      </c>
      <c r="R207" s="3"/>
      <c r="S207" s="3" t="s">
        <v>400</v>
      </c>
      <c r="T207" s="3">
        <v>4318804.0</v>
      </c>
      <c r="U207" s="3" t="s">
        <v>4230</v>
      </c>
      <c r="V207" s="3" t="s">
        <v>402</v>
      </c>
      <c r="W207" s="3" t="s">
        <v>60</v>
      </c>
      <c r="X207" s="3"/>
      <c r="Y207" s="3"/>
      <c r="Z207" s="3" t="s">
        <v>79</v>
      </c>
      <c r="AA207" s="3" t="s">
        <v>5843</v>
      </c>
      <c r="AB207" s="3" t="str">
        <f>"***655570**"</f>
        <v>***655570**</v>
      </c>
      <c r="AC207" s="3"/>
      <c r="AD207" s="3" t="s">
        <v>81</v>
      </c>
      <c r="AE207" s="3"/>
      <c r="AF207" s="3">
        <v>-51.972778</v>
      </c>
      <c r="AG207" s="3">
        <v>-31.371111</v>
      </c>
      <c r="AH207" s="3" t="s">
        <v>5844</v>
      </c>
      <c r="AI207" s="3"/>
      <c r="AJ207" s="3" t="s">
        <v>405</v>
      </c>
      <c r="AK207" s="3"/>
      <c r="AL207" s="3"/>
      <c r="AM207" s="3" t="s">
        <v>65</v>
      </c>
      <c r="AN207" s="3" t="s">
        <v>1044</v>
      </c>
      <c r="AO207" s="3"/>
      <c r="AP207" s="4">
        <v>44273.9335185185</v>
      </c>
      <c r="AQ207" s="3"/>
      <c r="AR207" s="3" t="s">
        <v>5845</v>
      </c>
      <c r="AS207" s="3"/>
      <c r="AT207" s="4">
        <v>44281.0337152778</v>
      </c>
    </row>
    <row r="208" ht="15.75" customHeight="1">
      <c r="A208" s="3"/>
      <c r="B208" s="3" t="s">
        <v>46</v>
      </c>
      <c r="C208" s="3" t="s">
        <v>47</v>
      </c>
      <c r="D208" s="3"/>
      <c r="E208" s="3" t="s">
        <v>5846</v>
      </c>
      <c r="F208" s="3"/>
      <c r="G208" s="3" t="s">
        <v>49</v>
      </c>
      <c r="H208" s="3" t="s">
        <v>50</v>
      </c>
      <c r="I208" s="3">
        <v>10700.0</v>
      </c>
      <c r="J208" s="3"/>
      <c r="K208" s="3" t="s">
        <v>92</v>
      </c>
      <c r="L208" s="3"/>
      <c r="M208" s="3" t="s">
        <v>5847</v>
      </c>
      <c r="N208" s="3" t="s">
        <v>74</v>
      </c>
      <c r="O208" s="3" t="s">
        <v>75</v>
      </c>
      <c r="P208" s="4">
        <v>44273.8536574074</v>
      </c>
      <c r="Q208" s="3" t="s">
        <v>56</v>
      </c>
      <c r="R208" s="3"/>
      <c r="S208" s="3" t="s">
        <v>400</v>
      </c>
      <c r="T208" s="3">
        <v>4318804.0</v>
      </c>
      <c r="U208" s="3" t="s">
        <v>4230</v>
      </c>
      <c r="V208" s="3" t="s">
        <v>402</v>
      </c>
      <c r="W208" s="3" t="s">
        <v>60</v>
      </c>
      <c r="X208" s="3"/>
      <c r="Y208" s="3"/>
      <c r="Z208" s="3" t="s">
        <v>79</v>
      </c>
      <c r="AA208" s="3" t="s">
        <v>5848</v>
      </c>
      <c r="AB208" s="3" t="str">
        <f>"***655540**"</f>
        <v>***655540**</v>
      </c>
      <c r="AC208" s="3"/>
      <c r="AD208" s="3" t="s">
        <v>81</v>
      </c>
      <c r="AE208" s="3"/>
      <c r="AF208" s="3">
        <v>-51.97</v>
      </c>
      <c r="AG208" s="3">
        <v>-31.372222</v>
      </c>
      <c r="AH208" s="3" t="s">
        <v>5844</v>
      </c>
      <c r="AI208" s="3"/>
      <c r="AJ208" s="3" t="s">
        <v>405</v>
      </c>
      <c r="AK208" s="3"/>
      <c r="AL208" s="3"/>
      <c r="AM208" s="3" t="s">
        <v>65</v>
      </c>
      <c r="AN208" s="3" t="s">
        <v>1044</v>
      </c>
      <c r="AO208" s="3"/>
      <c r="AP208" s="4">
        <v>44273.9085416667</v>
      </c>
      <c r="AQ208" s="3"/>
      <c r="AR208" s="3" t="s">
        <v>5758</v>
      </c>
      <c r="AS208" s="3" t="s">
        <v>5849</v>
      </c>
      <c r="AT208" s="4">
        <v>44281.0337152778</v>
      </c>
    </row>
    <row r="209" ht="15.75" customHeight="1">
      <c r="A209" s="3"/>
      <c r="B209" s="3" t="s">
        <v>46</v>
      </c>
      <c r="C209" s="3" t="s">
        <v>47</v>
      </c>
      <c r="D209" s="3"/>
      <c r="E209" s="3" t="s">
        <v>5850</v>
      </c>
      <c r="F209" s="3"/>
      <c r="G209" s="3" t="s">
        <v>49</v>
      </c>
      <c r="H209" s="3" t="s">
        <v>72</v>
      </c>
      <c r="I209" s="3">
        <v>374650.0</v>
      </c>
      <c r="J209" s="3"/>
      <c r="K209" s="3"/>
      <c r="L209" s="3"/>
      <c r="M209" s="3" t="s">
        <v>5851</v>
      </c>
      <c r="N209" s="3" t="s">
        <v>109</v>
      </c>
      <c r="O209" s="3" t="s">
        <v>110</v>
      </c>
      <c r="P209" s="4">
        <v>44273.8143981482</v>
      </c>
      <c r="Q209" s="3" t="s">
        <v>56</v>
      </c>
      <c r="R209" s="3"/>
      <c r="S209" s="3" t="s">
        <v>1613</v>
      </c>
      <c r="T209" s="3">
        <v>5107941.0</v>
      </c>
      <c r="U209" s="3" t="s">
        <v>5852</v>
      </c>
      <c r="V209" s="3" t="s">
        <v>323</v>
      </c>
      <c r="W209" s="3" t="s">
        <v>100</v>
      </c>
      <c r="X209" s="3"/>
      <c r="Y209" s="3"/>
      <c r="Z209" s="3" t="s">
        <v>112</v>
      </c>
      <c r="AA209" s="3" t="s">
        <v>5853</v>
      </c>
      <c r="AB209" s="3" t="str">
        <f>"***316609**"</f>
        <v>***316609**</v>
      </c>
      <c r="AC209" s="3"/>
      <c r="AD209" s="3" t="s">
        <v>62</v>
      </c>
      <c r="AE209" s="3"/>
      <c r="AF209" s="3">
        <v>-56.503611</v>
      </c>
      <c r="AG209" s="3">
        <v>-11.211944</v>
      </c>
      <c r="AH209" s="3" t="s">
        <v>5854</v>
      </c>
      <c r="AI209" s="3"/>
      <c r="AJ209" s="3" t="s">
        <v>327</v>
      </c>
      <c r="AK209" s="3"/>
      <c r="AL209" s="3"/>
      <c r="AM209" s="3" t="s">
        <v>65</v>
      </c>
      <c r="AN209" s="3" t="s">
        <v>328</v>
      </c>
      <c r="AO209" s="3"/>
      <c r="AP209" s="4">
        <v>44273.8318518519</v>
      </c>
      <c r="AQ209" s="3"/>
      <c r="AR209" s="3" t="s">
        <v>5855</v>
      </c>
      <c r="AS209" s="3"/>
      <c r="AT209" s="4">
        <v>44281.0337152778</v>
      </c>
    </row>
    <row r="210" ht="15.75" customHeight="1">
      <c r="A210" s="3"/>
      <c r="B210" s="3" t="s">
        <v>46</v>
      </c>
      <c r="C210" s="3" t="s">
        <v>47</v>
      </c>
      <c r="D210" s="3"/>
      <c r="E210" s="3" t="s">
        <v>5856</v>
      </c>
      <c r="F210" s="3"/>
      <c r="G210" s="3" t="s">
        <v>49</v>
      </c>
      <c r="H210" s="3" t="s">
        <v>72</v>
      </c>
      <c r="I210" s="3">
        <v>500.0</v>
      </c>
      <c r="J210" s="3"/>
      <c r="K210" s="3"/>
      <c r="L210" s="3"/>
      <c r="M210" s="3" t="s">
        <v>5857</v>
      </c>
      <c r="N210" s="3" t="s">
        <v>257</v>
      </c>
      <c r="O210" s="3" t="s">
        <v>258</v>
      </c>
      <c r="P210" s="4">
        <v>44273.768599537</v>
      </c>
      <c r="Q210" s="3" t="s">
        <v>56</v>
      </c>
      <c r="R210" s="3"/>
      <c r="S210" s="3" t="s">
        <v>412</v>
      </c>
      <c r="T210" s="3">
        <v>2708907.0</v>
      </c>
      <c r="U210" s="3" t="s">
        <v>4173</v>
      </c>
      <c r="V210" s="3" t="s">
        <v>414</v>
      </c>
      <c r="W210" s="3" t="s">
        <v>78</v>
      </c>
      <c r="X210" s="3"/>
      <c r="Y210" s="3"/>
      <c r="Z210" s="3" t="s">
        <v>260</v>
      </c>
      <c r="AA210" s="3" t="s">
        <v>5858</v>
      </c>
      <c r="AB210" s="3" t="str">
        <f>"***072114**"</f>
        <v>***072114**</v>
      </c>
      <c r="AC210" s="3"/>
      <c r="AD210" s="3" t="s">
        <v>62</v>
      </c>
      <c r="AE210" s="3"/>
      <c r="AF210" s="3">
        <v>-35.825611</v>
      </c>
      <c r="AG210" s="3">
        <v>-9.572583</v>
      </c>
      <c r="AH210" s="3" t="s">
        <v>5859</v>
      </c>
      <c r="AI210" s="3"/>
      <c r="AJ210" s="3" t="s">
        <v>417</v>
      </c>
      <c r="AK210" s="3"/>
      <c r="AL210" s="3"/>
      <c r="AM210" s="3" t="s">
        <v>65</v>
      </c>
      <c r="AN210" s="3" t="s">
        <v>274</v>
      </c>
      <c r="AO210" s="3"/>
      <c r="AP210" s="4">
        <v>44273.7860185185</v>
      </c>
      <c r="AQ210" s="3"/>
      <c r="AR210" s="3" t="s">
        <v>4033</v>
      </c>
      <c r="AS210" s="3"/>
      <c r="AT210" s="4">
        <v>44281.0337152778</v>
      </c>
    </row>
    <row r="211" ht="15.75" customHeight="1">
      <c r="A211" s="3"/>
      <c r="B211" s="3" t="s">
        <v>46</v>
      </c>
      <c r="C211" s="3" t="s">
        <v>47</v>
      </c>
      <c r="D211" s="3"/>
      <c r="E211" s="3" t="s">
        <v>5860</v>
      </c>
      <c r="F211" s="3"/>
      <c r="G211" s="3" t="s">
        <v>49</v>
      </c>
      <c r="H211" s="3" t="s">
        <v>72</v>
      </c>
      <c r="I211" s="3">
        <v>243903.0</v>
      </c>
      <c r="J211" s="3"/>
      <c r="K211" s="3"/>
      <c r="L211" s="3"/>
      <c r="M211" s="3" t="s">
        <v>5861</v>
      </c>
      <c r="N211" s="3" t="s">
        <v>109</v>
      </c>
      <c r="O211" s="3" t="s">
        <v>110</v>
      </c>
      <c r="P211" s="4">
        <v>44273.7625578704</v>
      </c>
      <c r="Q211" s="3" t="s">
        <v>137</v>
      </c>
      <c r="R211" s="3"/>
      <c r="S211" s="3" t="s">
        <v>1349</v>
      </c>
      <c r="T211" s="3">
        <v>1508100.0</v>
      </c>
      <c r="U211" s="3" t="s">
        <v>5107</v>
      </c>
      <c r="V211" s="3" t="s">
        <v>917</v>
      </c>
      <c r="W211" s="3" t="s">
        <v>100</v>
      </c>
      <c r="X211" s="3"/>
      <c r="Y211" s="3"/>
      <c r="Z211" s="3" t="s">
        <v>112</v>
      </c>
      <c r="AA211" s="3" t="s">
        <v>5862</v>
      </c>
      <c r="AB211" s="3" t="str">
        <f>"39535361000178"</f>
        <v>39535361000178</v>
      </c>
      <c r="AC211" s="3"/>
      <c r="AD211" s="3" t="s">
        <v>325</v>
      </c>
      <c r="AE211" s="3"/>
      <c r="AF211" s="3">
        <v>-49.683889</v>
      </c>
      <c r="AG211" s="3">
        <v>-3.733056</v>
      </c>
      <c r="AH211" s="3" t="s">
        <v>5863</v>
      </c>
      <c r="AI211" s="3"/>
      <c r="AJ211" s="3" t="s">
        <v>120</v>
      </c>
      <c r="AK211" s="3"/>
      <c r="AL211" s="3"/>
      <c r="AM211" s="3" t="s">
        <v>65</v>
      </c>
      <c r="AN211" s="3" t="s">
        <v>5110</v>
      </c>
      <c r="AO211" s="3"/>
      <c r="AP211" s="4">
        <v>44277.7179398148</v>
      </c>
      <c r="AQ211" s="3"/>
      <c r="AR211" s="3" t="s">
        <v>5864</v>
      </c>
      <c r="AS211" s="3"/>
      <c r="AT211" s="4">
        <v>44281.0337152778</v>
      </c>
    </row>
    <row r="212" ht="15.75" customHeight="1">
      <c r="A212" s="3"/>
      <c r="B212" s="3" t="s">
        <v>46</v>
      </c>
      <c r="C212" s="3" t="s">
        <v>47</v>
      </c>
      <c r="D212" s="3"/>
      <c r="E212" s="3" t="s">
        <v>5865</v>
      </c>
      <c r="F212" s="3"/>
      <c r="G212" s="3" t="s">
        <v>49</v>
      </c>
      <c r="H212" s="3" t="s">
        <v>72</v>
      </c>
      <c r="I212" s="3">
        <v>1000.0</v>
      </c>
      <c r="J212" s="3"/>
      <c r="K212" s="3"/>
      <c r="L212" s="3"/>
      <c r="M212" s="3" t="s">
        <v>5866</v>
      </c>
      <c r="N212" s="3" t="s">
        <v>257</v>
      </c>
      <c r="O212" s="3" t="s">
        <v>258</v>
      </c>
      <c r="P212" s="4">
        <v>44273.7417939815</v>
      </c>
      <c r="Q212" s="3" t="s">
        <v>56</v>
      </c>
      <c r="R212" s="3"/>
      <c r="S212" s="3" t="s">
        <v>412</v>
      </c>
      <c r="T212" s="3">
        <v>2708907.0</v>
      </c>
      <c r="U212" s="3" t="s">
        <v>4173</v>
      </c>
      <c r="V212" s="3" t="s">
        <v>414</v>
      </c>
      <c r="W212" s="3" t="s">
        <v>78</v>
      </c>
      <c r="X212" s="3"/>
      <c r="Y212" s="3"/>
      <c r="Z212" s="3" t="s">
        <v>260</v>
      </c>
      <c r="AA212" s="3" t="s">
        <v>5867</v>
      </c>
      <c r="AB212" s="3" t="str">
        <f>"***326864**"</f>
        <v>***326864**</v>
      </c>
      <c r="AC212" s="3"/>
      <c r="AD212" s="3" t="s">
        <v>62</v>
      </c>
      <c r="AE212" s="3"/>
      <c r="AF212" s="3">
        <v>-35.825611</v>
      </c>
      <c r="AG212" s="3">
        <v>-9.572583</v>
      </c>
      <c r="AH212" s="3" t="s">
        <v>5868</v>
      </c>
      <c r="AI212" s="3"/>
      <c r="AJ212" s="3" t="s">
        <v>417</v>
      </c>
      <c r="AK212" s="3"/>
      <c r="AL212" s="3"/>
      <c r="AM212" s="3" t="s">
        <v>65</v>
      </c>
      <c r="AN212" s="3" t="s">
        <v>274</v>
      </c>
      <c r="AO212" s="3"/>
      <c r="AP212" s="4">
        <v>44273.7625578704</v>
      </c>
      <c r="AQ212" s="3"/>
      <c r="AR212" s="3" t="s">
        <v>4033</v>
      </c>
      <c r="AS212" s="3"/>
      <c r="AT212" s="4">
        <v>44281.0337152778</v>
      </c>
    </row>
    <row r="213" ht="15.75" customHeight="1">
      <c r="A213" s="3"/>
      <c r="B213" s="3" t="s">
        <v>46</v>
      </c>
      <c r="C213" s="3" t="s">
        <v>47</v>
      </c>
      <c r="D213" s="3"/>
      <c r="E213" s="3" t="s">
        <v>5869</v>
      </c>
      <c r="F213" s="3"/>
      <c r="G213" s="3" t="s">
        <v>49</v>
      </c>
      <c r="H213" s="3" t="s">
        <v>50</v>
      </c>
      <c r="I213" s="3">
        <v>1510.0</v>
      </c>
      <c r="J213" s="3"/>
      <c r="K213" s="3" t="s">
        <v>92</v>
      </c>
      <c r="L213" s="3"/>
      <c r="M213" s="3" t="s">
        <v>5870</v>
      </c>
      <c r="N213" s="3" t="s">
        <v>53</v>
      </c>
      <c r="O213" s="3" t="s">
        <v>333</v>
      </c>
      <c r="P213" s="4">
        <v>44273.7416550926</v>
      </c>
      <c r="Q213" s="3" t="s">
        <v>56</v>
      </c>
      <c r="R213" s="3"/>
      <c r="S213" s="3" t="s">
        <v>1349</v>
      </c>
      <c r="T213" s="3">
        <v>1506609.0</v>
      </c>
      <c r="U213" s="3" t="s">
        <v>5250</v>
      </c>
      <c r="V213" s="3" t="s">
        <v>917</v>
      </c>
      <c r="W213" s="3" t="s">
        <v>100</v>
      </c>
      <c r="X213" s="3"/>
      <c r="Y213" s="3"/>
      <c r="Z213" s="3" t="s">
        <v>223</v>
      </c>
      <c r="AA213" s="3" t="s">
        <v>5871</v>
      </c>
      <c r="AB213" s="3" t="str">
        <f>"08859368000111"</f>
        <v>08859368000111</v>
      </c>
      <c r="AC213" s="3"/>
      <c r="AD213" s="3" t="s">
        <v>62</v>
      </c>
      <c r="AE213" s="3"/>
      <c r="AF213" s="3">
        <v>-47.584444</v>
      </c>
      <c r="AG213" s="3">
        <v>-1.338056</v>
      </c>
      <c r="AH213" s="3" t="s">
        <v>5872</v>
      </c>
      <c r="AI213" s="3"/>
      <c r="AJ213" s="3" t="s">
        <v>1346</v>
      </c>
      <c r="AK213" s="3"/>
      <c r="AL213" s="3"/>
      <c r="AM213" s="3" t="s">
        <v>65</v>
      </c>
      <c r="AN213" s="3"/>
      <c r="AO213" s="3"/>
      <c r="AP213" s="4">
        <v>44274.3727893519</v>
      </c>
      <c r="AQ213" s="3"/>
      <c r="AR213" s="3" t="s">
        <v>3983</v>
      </c>
      <c r="AS213" s="3"/>
      <c r="AT213" s="4">
        <v>44281.0337152778</v>
      </c>
    </row>
    <row r="214" ht="15.75" customHeight="1">
      <c r="A214" s="3"/>
      <c r="B214" s="3" t="s">
        <v>46</v>
      </c>
      <c r="C214" s="3" t="s">
        <v>47</v>
      </c>
      <c r="D214" s="3"/>
      <c r="E214" s="3" t="s">
        <v>5873</v>
      </c>
      <c r="F214" s="3"/>
      <c r="G214" s="3" t="s">
        <v>49</v>
      </c>
      <c r="H214" s="3" t="s">
        <v>50</v>
      </c>
      <c r="I214" s="3">
        <v>500.0</v>
      </c>
      <c r="J214" s="3"/>
      <c r="K214" s="3" t="s">
        <v>51</v>
      </c>
      <c r="L214" s="3"/>
      <c r="M214" s="3" t="s">
        <v>5874</v>
      </c>
      <c r="N214" s="3" t="s">
        <v>301</v>
      </c>
      <c r="O214" s="3" t="s">
        <v>302</v>
      </c>
      <c r="P214" s="4">
        <v>44273.7358796296</v>
      </c>
      <c r="Q214" s="3" t="s">
        <v>56</v>
      </c>
      <c r="R214" s="3"/>
      <c r="S214" s="3"/>
      <c r="T214" s="3">
        <v>3550308.0</v>
      </c>
      <c r="U214" s="3" t="s">
        <v>535</v>
      </c>
      <c r="V214" s="3" t="s">
        <v>139</v>
      </c>
      <c r="W214" s="3" t="s">
        <v>78</v>
      </c>
      <c r="X214" s="3"/>
      <c r="Y214" s="3"/>
      <c r="Z214" s="3" t="s">
        <v>306</v>
      </c>
      <c r="AA214" s="3" t="s">
        <v>5875</v>
      </c>
      <c r="AB214" s="3" t="str">
        <f>"***832986**"</f>
        <v>***832986**</v>
      </c>
      <c r="AC214" s="3"/>
      <c r="AD214" s="3" t="s">
        <v>81</v>
      </c>
      <c r="AE214" s="3"/>
      <c r="AF214" s="3">
        <v>-46.7375</v>
      </c>
      <c r="AG214" s="3">
        <v>-23.529444</v>
      </c>
      <c r="AH214" s="3" t="s">
        <v>5876</v>
      </c>
      <c r="AI214" s="3"/>
      <c r="AJ214" s="3" t="s">
        <v>142</v>
      </c>
      <c r="AK214" s="3"/>
      <c r="AL214" s="3"/>
      <c r="AM214" s="3" t="s">
        <v>65</v>
      </c>
      <c r="AN214" s="3" t="s">
        <v>83</v>
      </c>
      <c r="AO214" s="3"/>
      <c r="AP214" s="4">
        <v>44273.7458449074</v>
      </c>
      <c r="AQ214" s="3"/>
      <c r="AR214" s="3" t="s">
        <v>310</v>
      </c>
      <c r="AS214" s="3" t="s">
        <v>5877</v>
      </c>
      <c r="AT214" s="4">
        <v>44281.0337152778</v>
      </c>
    </row>
    <row r="215" ht="15.75" customHeight="1">
      <c r="A215" s="3"/>
      <c r="B215" s="3" t="s">
        <v>46</v>
      </c>
      <c r="C215" s="3" t="s">
        <v>47</v>
      </c>
      <c r="D215" s="3"/>
      <c r="E215" s="3" t="s">
        <v>5878</v>
      </c>
      <c r="F215" s="3"/>
      <c r="G215" s="3" t="s">
        <v>49</v>
      </c>
      <c r="H215" s="3" t="s">
        <v>50</v>
      </c>
      <c r="I215" s="3">
        <v>2600.0</v>
      </c>
      <c r="J215" s="3"/>
      <c r="K215" s="3" t="s">
        <v>92</v>
      </c>
      <c r="L215" s="3"/>
      <c r="M215" s="3" t="s">
        <v>5879</v>
      </c>
      <c r="N215" s="3" t="s">
        <v>53</v>
      </c>
      <c r="O215" s="3" t="s">
        <v>333</v>
      </c>
      <c r="P215" s="4">
        <v>44273.7148611111</v>
      </c>
      <c r="Q215" s="3" t="s">
        <v>56</v>
      </c>
      <c r="R215" s="3"/>
      <c r="S215" s="3" t="s">
        <v>1349</v>
      </c>
      <c r="T215" s="3">
        <v>1506609.0</v>
      </c>
      <c r="U215" s="3" t="s">
        <v>5250</v>
      </c>
      <c r="V215" s="3" t="s">
        <v>917</v>
      </c>
      <c r="W215" s="3" t="s">
        <v>100</v>
      </c>
      <c r="X215" s="3"/>
      <c r="Y215" s="3"/>
      <c r="Z215" s="3" t="s">
        <v>223</v>
      </c>
      <c r="AA215" s="3" t="s">
        <v>5880</v>
      </c>
      <c r="AB215" s="3" t="str">
        <f>"27956983000190"</f>
        <v>27956983000190</v>
      </c>
      <c r="AC215" s="3"/>
      <c r="AD215" s="3" t="s">
        <v>62</v>
      </c>
      <c r="AE215" s="3"/>
      <c r="AF215" s="3">
        <v>-47.584444</v>
      </c>
      <c r="AG215" s="3">
        <v>-1.338333</v>
      </c>
      <c r="AH215" s="3" t="s">
        <v>5881</v>
      </c>
      <c r="AI215" s="3"/>
      <c r="AJ215" s="3" t="s">
        <v>1346</v>
      </c>
      <c r="AK215" s="3"/>
      <c r="AL215" s="3"/>
      <c r="AM215" s="3" t="s">
        <v>65</v>
      </c>
      <c r="AN215" s="3"/>
      <c r="AO215" s="3"/>
      <c r="AP215" s="4">
        <v>44274.3737152778</v>
      </c>
      <c r="AQ215" s="3"/>
      <c r="AR215" s="3" t="s">
        <v>3983</v>
      </c>
      <c r="AS215" s="3"/>
      <c r="AT215" s="4">
        <v>44281.0337152778</v>
      </c>
    </row>
    <row r="216" ht="15.75" customHeight="1">
      <c r="A216" s="3"/>
      <c r="B216" s="3" t="s">
        <v>46</v>
      </c>
      <c r="C216" s="3" t="s">
        <v>47</v>
      </c>
      <c r="D216" s="3"/>
      <c r="E216" s="3" t="s">
        <v>5882</v>
      </c>
      <c r="F216" s="3"/>
      <c r="G216" s="3" t="s">
        <v>49</v>
      </c>
      <c r="H216" s="3" t="s">
        <v>72</v>
      </c>
      <c r="I216" s="3">
        <v>2500.0</v>
      </c>
      <c r="J216" s="3"/>
      <c r="K216" s="3"/>
      <c r="L216" s="3"/>
      <c r="M216" s="3" t="s">
        <v>5883</v>
      </c>
      <c r="N216" s="3" t="s">
        <v>257</v>
      </c>
      <c r="O216" s="3" t="s">
        <v>258</v>
      </c>
      <c r="P216" s="4">
        <v>44273.6964236111</v>
      </c>
      <c r="Q216" s="3" t="s">
        <v>56</v>
      </c>
      <c r="R216" s="3"/>
      <c r="S216" s="3" t="s">
        <v>220</v>
      </c>
      <c r="T216" s="3">
        <v>2708907.0</v>
      </c>
      <c r="U216" s="3" t="s">
        <v>4173</v>
      </c>
      <c r="V216" s="3" t="s">
        <v>414</v>
      </c>
      <c r="W216" s="3" t="s">
        <v>78</v>
      </c>
      <c r="X216" s="3"/>
      <c r="Y216" s="3"/>
      <c r="Z216" s="3" t="s">
        <v>260</v>
      </c>
      <c r="AA216" s="3" t="s">
        <v>5884</v>
      </c>
      <c r="AB216" s="3" t="str">
        <f>"***703414**"</f>
        <v>***703414**</v>
      </c>
      <c r="AC216" s="3"/>
      <c r="AD216" s="3" t="s">
        <v>62</v>
      </c>
      <c r="AE216" s="3"/>
      <c r="AF216" s="3">
        <v>-35.825611</v>
      </c>
      <c r="AG216" s="3">
        <v>-9.572583</v>
      </c>
      <c r="AH216" s="3" t="s">
        <v>5885</v>
      </c>
      <c r="AI216" s="3"/>
      <c r="AJ216" s="3" t="s">
        <v>417</v>
      </c>
      <c r="AK216" s="3"/>
      <c r="AL216" s="3"/>
      <c r="AM216" s="3" t="s">
        <v>65</v>
      </c>
      <c r="AN216" s="3" t="s">
        <v>274</v>
      </c>
      <c r="AO216" s="3"/>
      <c r="AP216" s="4">
        <v>44273.7316087963</v>
      </c>
      <c r="AQ216" s="3"/>
      <c r="AR216" s="3" t="s">
        <v>4033</v>
      </c>
      <c r="AS216" s="3"/>
      <c r="AT216" s="4">
        <v>44281.0337152778</v>
      </c>
    </row>
    <row r="217" ht="15.75" customHeight="1">
      <c r="A217" s="3"/>
      <c r="B217" s="3" t="s">
        <v>46</v>
      </c>
      <c r="C217" s="3" t="s">
        <v>47</v>
      </c>
      <c r="D217" s="3"/>
      <c r="E217" s="3" t="s">
        <v>5886</v>
      </c>
      <c r="F217" s="3"/>
      <c r="G217" s="3" t="s">
        <v>49</v>
      </c>
      <c r="H217" s="3" t="s">
        <v>50</v>
      </c>
      <c r="I217" s="3">
        <v>65000.0</v>
      </c>
      <c r="J217" s="3"/>
      <c r="K217" s="3" t="s">
        <v>92</v>
      </c>
      <c r="L217" s="3"/>
      <c r="M217" s="3" t="s">
        <v>5887</v>
      </c>
      <c r="N217" s="3" t="s">
        <v>109</v>
      </c>
      <c r="O217" s="3" t="s">
        <v>110</v>
      </c>
      <c r="P217" s="4">
        <v>44273.6499305556</v>
      </c>
      <c r="Q217" s="3" t="s">
        <v>56</v>
      </c>
      <c r="R217" s="3"/>
      <c r="S217" s="3" t="s">
        <v>1513</v>
      </c>
      <c r="T217" s="3">
        <v>2800704.0</v>
      </c>
      <c r="U217" s="3" t="s">
        <v>5888</v>
      </c>
      <c r="V217" s="3" t="s">
        <v>1515</v>
      </c>
      <c r="W217" s="3" t="s">
        <v>78</v>
      </c>
      <c r="X217" s="3"/>
      <c r="Y217" s="3"/>
      <c r="Z217" s="3" t="s">
        <v>112</v>
      </c>
      <c r="AA217" s="3" t="s">
        <v>5889</v>
      </c>
      <c r="AB217" s="3" t="str">
        <f>"***786665**"</f>
        <v>***786665**</v>
      </c>
      <c r="AC217" s="3"/>
      <c r="AD217" s="3" t="s">
        <v>325</v>
      </c>
      <c r="AE217" s="3"/>
      <c r="AF217" s="3">
        <v>-36.423333</v>
      </c>
      <c r="AG217" s="3">
        <v>-10.488611</v>
      </c>
      <c r="AH217" s="3" t="s">
        <v>5890</v>
      </c>
      <c r="AI217" s="3"/>
      <c r="AJ217" s="3" t="s">
        <v>1518</v>
      </c>
      <c r="AK217" s="3"/>
      <c r="AL217" s="3"/>
      <c r="AM217" s="3" t="s">
        <v>65</v>
      </c>
      <c r="AN217" s="3"/>
      <c r="AO217" s="3"/>
      <c r="AP217" s="4">
        <v>44273.6763773148</v>
      </c>
      <c r="AQ217" s="3"/>
      <c r="AR217" s="3" t="s">
        <v>5891</v>
      </c>
      <c r="AS217" s="3"/>
      <c r="AT217" s="4">
        <v>44281.0337152778</v>
      </c>
    </row>
    <row r="218" ht="15.75" customHeight="1">
      <c r="A218" s="3"/>
      <c r="B218" s="3" t="s">
        <v>46</v>
      </c>
      <c r="C218" s="3" t="s">
        <v>47</v>
      </c>
      <c r="D218" s="3"/>
      <c r="E218" s="3" t="s">
        <v>5892</v>
      </c>
      <c r="F218" s="3"/>
      <c r="G218" s="3" t="s">
        <v>49</v>
      </c>
      <c r="H218" s="3" t="s">
        <v>50</v>
      </c>
      <c r="I218" s="3">
        <v>210100.0</v>
      </c>
      <c r="J218" s="3"/>
      <c r="K218" s="3" t="s">
        <v>92</v>
      </c>
      <c r="L218" s="3"/>
      <c r="M218" s="3" t="s">
        <v>5893</v>
      </c>
      <c r="N218" s="3" t="s">
        <v>74</v>
      </c>
      <c r="O218" s="3" t="s">
        <v>75</v>
      </c>
      <c r="P218" s="4">
        <v>44273.6313194444</v>
      </c>
      <c r="Q218" s="3" t="s">
        <v>56</v>
      </c>
      <c r="R218" s="3"/>
      <c r="S218" s="3" t="s">
        <v>400</v>
      </c>
      <c r="T218" s="3">
        <v>4321105.0</v>
      </c>
      <c r="U218" s="3" t="s">
        <v>5894</v>
      </c>
      <c r="V218" s="3" t="s">
        <v>402</v>
      </c>
      <c r="W218" s="3" t="s">
        <v>60</v>
      </c>
      <c r="X218" s="3"/>
      <c r="Y218" s="3"/>
      <c r="Z218" s="3" t="s">
        <v>79</v>
      </c>
      <c r="AA218" s="3" t="s">
        <v>5895</v>
      </c>
      <c r="AB218" s="3" t="str">
        <f>"11447881000100"</f>
        <v>11447881000100</v>
      </c>
      <c r="AC218" s="3"/>
      <c r="AD218" s="3" t="s">
        <v>62</v>
      </c>
      <c r="AE218" s="3"/>
      <c r="AF218" s="3">
        <v>-51.405278</v>
      </c>
      <c r="AG218" s="3">
        <v>-30.673611</v>
      </c>
      <c r="AH218" s="3" t="s">
        <v>5896</v>
      </c>
      <c r="AI218" s="3"/>
      <c r="AJ218" s="3" t="s">
        <v>405</v>
      </c>
      <c r="AK218" s="3"/>
      <c r="AL218" s="3"/>
      <c r="AM218" s="3" t="s">
        <v>65</v>
      </c>
      <c r="AN218" s="3" t="s">
        <v>1044</v>
      </c>
      <c r="AO218" s="3"/>
      <c r="AP218" s="4">
        <v>44273.6365046296</v>
      </c>
      <c r="AQ218" s="3"/>
      <c r="AR218" s="3" t="s">
        <v>407</v>
      </c>
      <c r="AS218" s="3"/>
      <c r="AT218" s="4">
        <v>44281.0337152778</v>
      </c>
    </row>
    <row r="219" ht="15.75" customHeight="1">
      <c r="A219" s="3"/>
      <c r="B219" s="3" t="s">
        <v>46</v>
      </c>
      <c r="C219" s="3" t="s">
        <v>47</v>
      </c>
      <c r="D219" s="3"/>
      <c r="E219" s="3" t="s">
        <v>5897</v>
      </c>
      <c r="F219" s="3"/>
      <c r="G219" s="3" t="s">
        <v>49</v>
      </c>
      <c r="H219" s="3" t="s">
        <v>50</v>
      </c>
      <c r="I219" s="3">
        <v>210100.0</v>
      </c>
      <c r="J219" s="3"/>
      <c r="K219" s="3" t="s">
        <v>92</v>
      </c>
      <c r="L219" s="3"/>
      <c r="M219" s="3" t="s">
        <v>5898</v>
      </c>
      <c r="N219" s="3" t="s">
        <v>74</v>
      </c>
      <c r="O219" s="3" t="s">
        <v>75</v>
      </c>
      <c r="P219" s="4">
        <v>44273.6212037037</v>
      </c>
      <c r="Q219" s="3" t="s">
        <v>56</v>
      </c>
      <c r="R219" s="3"/>
      <c r="S219" s="3" t="s">
        <v>400</v>
      </c>
      <c r="T219" s="3">
        <v>4321105.0</v>
      </c>
      <c r="U219" s="3" t="s">
        <v>5894</v>
      </c>
      <c r="V219" s="3" t="s">
        <v>402</v>
      </c>
      <c r="W219" s="3" t="s">
        <v>60</v>
      </c>
      <c r="X219" s="3"/>
      <c r="Y219" s="3"/>
      <c r="Z219" s="3" t="s">
        <v>79</v>
      </c>
      <c r="AA219" s="3" t="s">
        <v>5899</v>
      </c>
      <c r="AB219" s="3" t="str">
        <f>"00944779000284"</f>
        <v>00944779000284</v>
      </c>
      <c r="AC219" s="3"/>
      <c r="AD219" s="3" t="s">
        <v>62</v>
      </c>
      <c r="AE219" s="3"/>
      <c r="AF219" s="3">
        <v>-51.405278</v>
      </c>
      <c r="AG219" s="3">
        <v>-30.673611</v>
      </c>
      <c r="AH219" s="3" t="s">
        <v>5900</v>
      </c>
      <c r="AI219" s="3"/>
      <c r="AJ219" s="3" t="s">
        <v>405</v>
      </c>
      <c r="AK219" s="3"/>
      <c r="AL219" s="3"/>
      <c r="AM219" s="3" t="s">
        <v>65</v>
      </c>
      <c r="AN219" s="3" t="s">
        <v>1044</v>
      </c>
      <c r="AO219" s="3"/>
      <c r="AP219" s="4">
        <v>44273.6284953704</v>
      </c>
      <c r="AQ219" s="3"/>
      <c r="AR219" s="3" t="s">
        <v>407</v>
      </c>
      <c r="AS219" s="3"/>
      <c r="AT219" s="4">
        <v>44281.0337152778</v>
      </c>
    </row>
    <row r="220" ht="15.75" customHeight="1">
      <c r="A220" s="3"/>
      <c r="B220" s="3" t="s">
        <v>46</v>
      </c>
      <c r="C220" s="3" t="s">
        <v>47</v>
      </c>
      <c r="D220" s="3"/>
      <c r="E220" s="3" t="s">
        <v>5901</v>
      </c>
      <c r="F220" s="3"/>
      <c r="G220" s="3" t="s">
        <v>49</v>
      </c>
      <c r="H220" s="3" t="s">
        <v>50</v>
      </c>
      <c r="I220" s="3">
        <v>7500.0</v>
      </c>
      <c r="J220" s="3"/>
      <c r="K220" s="3" t="s">
        <v>92</v>
      </c>
      <c r="L220" s="3"/>
      <c r="M220" s="3" t="s">
        <v>5902</v>
      </c>
      <c r="N220" s="3" t="s">
        <v>109</v>
      </c>
      <c r="O220" s="3" t="s">
        <v>110</v>
      </c>
      <c r="P220" s="4">
        <v>44273.6064583333</v>
      </c>
      <c r="Q220" s="3" t="s">
        <v>56</v>
      </c>
      <c r="R220" s="3"/>
      <c r="S220" s="3" t="s">
        <v>1513</v>
      </c>
      <c r="T220" s="3">
        <v>2800704.0</v>
      </c>
      <c r="U220" s="3" t="s">
        <v>5888</v>
      </c>
      <c r="V220" s="3" t="s">
        <v>1515</v>
      </c>
      <c r="W220" s="3" t="s">
        <v>78</v>
      </c>
      <c r="X220" s="3"/>
      <c r="Y220" s="3"/>
      <c r="Z220" s="3" t="s">
        <v>112</v>
      </c>
      <c r="AA220" s="3" t="s">
        <v>5903</v>
      </c>
      <c r="AB220" s="3" t="str">
        <f>"***505245**"</f>
        <v>***505245**</v>
      </c>
      <c r="AC220" s="3"/>
      <c r="AD220" s="3" t="s">
        <v>325</v>
      </c>
      <c r="AE220" s="3"/>
      <c r="AF220" s="3">
        <v>-36.421389</v>
      </c>
      <c r="AG220" s="3">
        <v>-10.481389</v>
      </c>
      <c r="AH220" s="3" t="s">
        <v>5904</v>
      </c>
      <c r="AI220" s="3"/>
      <c r="AJ220" s="3" t="s">
        <v>1518</v>
      </c>
      <c r="AK220" s="3"/>
      <c r="AL220" s="3"/>
      <c r="AM220" s="3" t="s">
        <v>65</v>
      </c>
      <c r="AN220" s="3"/>
      <c r="AO220" s="3"/>
      <c r="AP220" s="4">
        <v>44273.6125578704</v>
      </c>
      <c r="AQ220" s="3"/>
      <c r="AR220" s="3" t="s">
        <v>5891</v>
      </c>
      <c r="AS220" s="3"/>
      <c r="AT220" s="4">
        <v>44281.0337152778</v>
      </c>
    </row>
    <row r="221" ht="15.75" customHeight="1">
      <c r="A221" s="3">
        <v>2044600.0</v>
      </c>
      <c r="B221" s="3" t="s">
        <v>116</v>
      </c>
      <c r="C221" s="3" t="s">
        <v>117</v>
      </c>
      <c r="D221" s="3" t="s">
        <v>46</v>
      </c>
      <c r="E221" s="3" t="s">
        <v>5905</v>
      </c>
      <c r="F221" s="3"/>
      <c r="G221" s="3" t="s">
        <v>119</v>
      </c>
      <c r="H221" s="3" t="s">
        <v>50</v>
      </c>
      <c r="I221" s="3">
        <v>9860.0</v>
      </c>
      <c r="J221" s="3"/>
      <c r="K221" s="3"/>
      <c r="L221" s="3" t="s">
        <v>226</v>
      </c>
      <c r="M221" s="3" t="s">
        <v>5906</v>
      </c>
      <c r="N221" s="3" t="s">
        <v>74</v>
      </c>
      <c r="O221" s="3" t="s">
        <v>75</v>
      </c>
      <c r="P221" s="4">
        <v>44273.5833333333</v>
      </c>
      <c r="Q221" s="3" t="s">
        <v>77</v>
      </c>
      <c r="R221" s="5">
        <v>44273.0</v>
      </c>
      <c r="S221" s="3" t="s">
        <v>220</v>
      </c>
      <c r="T221" s="3">
        <v>4202453.0</v>
      </c>
      <c r="U221" s="3" t="s">
        <v>5907</v>
      </c>
      <c r="V221" s="3" t="s">
        <v>222</v>
      </c>
      <c r="W221" s="3" t="s">
        <v>60</v>
      </c>
      <c r="X221" s="3"/>
      <c r="Y221" s="3" t="str">
        <f>"02026000818202101"</f>
        <v>02026000818202101</v>
      </c>
      <c r="Z221" s="3" t="s">
        <v>79</v>
      </c>
      <c r="AA221" s="3" t="s">
        <v>5908</v>
      </c>
      <c r="AB221" s="3" t="str">
        <f>"21574088000125"</f>
        <v>21574088000125</v>
      </c>
      <c r="AC221" s="3"/>
      <c r="AD221" s="3"/>
      <c r="AE221" s="3"/>
      <c r="AF221" s="3">
        <v>-48.5305</v>
      </c>
      <c r="AG221" s="3">
        <v>-27.178667</v>
      </c>
      <c r="AH221" s="3" t="s">
        <v>5909</v>
      </c>
      <c r="AI221" s="3"/>
      <c r="AJ221" s="3" t="s">
        <v>226</v>
      </c>
      <c r="AK221" s="3"/>
      <c r="AL221" s="3" t="s">
        <v>128</v>
      </c>
      <c r="AM221" s="3" t="s">
        <v>65</v>
      </c>
      <c r="AN221" s="3" t="s">
        <v>5910</v>
      </c>
      <c r="AO221" s="4">
        <v>44278.0</v>
      </c>
      <c r="AP221" s="4">
        <v>44278.6019907407</v>
      </c>
      <c r="AQ221" s="3" t="s">
        <v>132</v>
      </c>
      <c r="AR221" s="3" t="s">
        <v>1046</v>
      </c>
      <c r="AS221" s="3" t="s">
        <v>5911</v>
      </c>
      <c r="AT221" s="4">
        <v>44281.0337152778</v>
      </c>
    </row>
    <row r="222" ht="15.75" customHeight="1">
      <c r="A222" s="3"/>
      <c r="B222" s="3" t="s">
        <v>46</v>
      </c>
      <c r="C222" s="3" t="s">
        <v>47</v>
      </c>
      <c r="D222" s="3"/>
      <c r="E222" s="3" t="s">
        <v>5912</v>
      </c>
      <c r="F222" s="3"/>
      <c r="G222" s="3" t="s">
        <v>49</v>
      </c>
      <c r="H222" s="3" t="s">
        <v>72</v>
      </c>
      <c r="I222" s="3">
        <v>220000.0</v>
      </c>
      <c r="J222" s="3"/>
      <c r="K222" s="3"/>
      <c r="L222" s="3"/>
      <c r="M222" s="3" t="s">
        <v>5913</v>
      </c>
      <c r="N222" s="3" t="s">
        <v>4886</v>
      </c>
      <c r="O222" s="3" t="s">
        <v>4887</v>
      </c>
      <c r="P222" s="4">
        <v>44273.5642476852</v>
      </c>
      <c r="Q222" s="3" t="s">
        <v>77</v>
      </c>
      <c r="R222" s="3"/>
      <c r="S222" s="3" t="s">
        <v>915</v>
      </c>
      <c r="T222" s="3">
        <v>1503606.0</v>
      </c>
      <c r="U222" s="3" t="s">
        <v>5489</v>
      </c>
      <c r="V222" s="3" t="s">
        <v>917</v>
      </c>
      <c r="W222" s="3" t="s">
        <v>100</v>
      </c>
      <c r="X222" s="3"/>
      <c r="Y222" s="3"/>
      <c r="Z222" s="3" t="s">
        <v>4891</v>
      </c>
      <c r="AA222" s="3" t="s">
        <v>5914</v>
      </c>
      <c r="AB222" s="3" t="str">
        <f>"***575261**"</f>
        <v>***575261**</v>
      </c>
      <c r="AC222" s="3"/>
      <c r="AD222" s="3" t="s">
        <v>81</v>
      </c>
      <c r="AE222" s="3"/>
      <c r="AF222" s="3">
        <v>-55.687778</v>
      </c>
      <c r="AG222" s="3">
        <v>-6.022778</v>
      </c>
      <c r="AH222" s="3" t="s">
        <v>5915</v>
      </c>
      <c r="AI222" s="3"/>
      <c r="AJ222" s="3" t="s">
        <v>120</v>
      </c>
      <c r="AK222" s="3"/>
      <c r="AL222" s="3"/>
      <c r="AM222" s="3" t="s">
        <v>65</v>
      </c>
      <c r="AN222" s="3" t="s">
        <v>5110</v>
      </c>
      <c r="AO222" s="3"/>
      <c r="AP222" s="4">
        <v>44275.403587963</v>
      </c>
      <c r="AQ222" s="3"/>
      <c r="AR222" s="3" t="s">
        <v>5916</v>
      </c>
      <c r="AS222" s="3" t="s">
        <v>5917</v>
      </c>
      <c r="AT222" s="4">
        <v>44281.0337152778</v>
      </c>
    </row>
    <row r="223" ht="15.75" customHeight="1">
      <c r="A223" s="3"/>
      <c r="B223" s="3" t="s">
        <v>46</v>
      </c>
      <c r="C223" s="3" t="s">
        <v>47</v>
      </c>
      <c r="D223" s="3"/>
      <c r="E223" s="3" t="s">
        <v>5918</v>
      </c>
      <c r="F223" s="3"/>
      <c r="G223" s="3" t="s">
        <v>49</v>
      </c>
      <c r="H223" s="3" t="s">
        <v>50</v>
      </c>
      <c r="I223" s="3">
        <v>1000.0</v>
      </c>
      <c r="J223" s="3"/>
      <c r="K223" s="3" t="s">
        <v>51</v>
      </c>
      <c r="L223" s="3"/>
      <c r="M223" s="3" t="s">
        <v>5919</v>
      </c>
      <c r="N223" s="3" t="s">
        <v>257</v>
      </c>
      <c r="O223" s="3" t="s">
        <v>258</v>
      </c>
      <c r="P223" s="4">
        <v>44273.5389930556</v>
      </c>
      <c r="Q223" s="3" t="s">
        <v>56</v>
      </c>
      <c r="R223" s="3"/>
      <c r="S223" s="3" t="s">
        <v>1468</v>
      </c>
      <c r="T223" s="3">
        <v>5007208.0</v>
      </c>
      <c r="U223" s="3" t="s">
        <v>5920</v>
      </c>
      <c r="V223" s="3" t="s">
        <v>1470</v>
      </c>
      <c r="W223" s="3" t="s">
        <v>172</v>
      </c>
      <c r="X223" s="3"/>
      <c r="Y223" s="3"/>
      <c r="Z223" s="3" t="s">
        <v>260</v>
      </c>
      <c r="AA223" s="3" t="s">
        <v>5921</v>
      </c>
      <c r="AB223" s="3" t="str">
        <f>"***801791**"</f>
        <v>***801791**</v>
      </c>
      <c r="AC223" s="3"/>
      <c r="AD223" s="3" t="s">
        <v>62</v>
      </c>
      <c r="AE223" s="3"/>
      <c r="AF223" s="3">
        <v>-57.660556</v>
      </c>
      <c r="AG223" s="3">
        <v>-18.999722</v>
      </c>
      <c r="AH223" s="3" t="s">
        <v>5922</v>
      </c>
      <c r="AI223" s="3"/>
      <c r="AJ223" s="3" t="s">
        <v>1473</v>
      </c>
      <c r="AK223" s="3"/>
      <c r="AL223" s="3"/>
      <c r="AM223" s="3" t="s">
        <v>65</v>
      </c>
      <c r="AN223" s="3"/>
      <c r="AO223" s="3"/>
      <c r="AP223" s="4">
        <v>44273.543912037</v>
      </c>
      <c r="AQ223" s="3"/>
      <c r="AR223" s="3" t="s">
        <v>298</v>
      </c>
      <c r="AS223" s="3"/>
      <c r="AT223" s="4">
        <v>44281.0337152778</v>
      </c>
    </row>
    <row r="224" ht="15.75" customHeight="1">
      <c r="A224" s="3"/>
      <c r="B224" s="3" t="s">
        <v>46</v>
      </c>
      <c r="C224" s="3" t="s">
        <v>47</v>
      </c>
      <c r="D224" s="3"/>
      <c r="E224" s="3" t="s">
        <v>5923</v>
      </c>
      <c r="F224" s="3"/>
      <c r="G224" s="3" t="s">
        <v>49</v>
      </c>
      <c r="H224" s="3" t="s">
        <v>50</v>
      </c>
      <c r="I224" s="3">
        <v>1000.0</v>
      </c>
      <c r="J224" s="3"/>
      <c r="K224" s="3" t="s">
        <v>51</v>
      </c>
      <c r="L224" s="3"/>
      <c r="M224" s="3" t="s">
        <v>5924</v>
      </c>
      <c r="N224" s="3" t="s">
        <v>257</v>
      </c>
      <c r="O224" s="3" t="s">
        <v>258</v>
      </c>
      <c r="P224" s="4">
        <v>44273.5186458333</v>
      </c>
      <c r="Q224" s="3" t="s">
        <v>56</v>
      </c>
      <c r="R224" s="3"/>
      <c r="S224" s="3" t="s">
        <v>1468</v>
      </c>
      <c r="T224" s="3">
        <v>5005400.0</v>
      </c>
      <c r="U224" s="3" t="s">
        <v>2436</v>
      </c>
      <c r="V224" s="3" t="s">
        <v>1470</v>
      </c>
      <c r="W224" s="3" t="s">
        <v>172</v>
      </c>
      <c r="X224" s="3"/>
      <c r="Y224" s="3"/>
      <c r="Z224" s="3" t="s">
        <v>260</v>
      </c>
      <c r="AA224" s="3" t="s">
        <v>5925</v>
      </c>
      <c r="AB224" s="3" t="str">
        <f>"***610001**"</f>
        <v>***610001**</v>
      </c>
      <c r="AC224" s="3"/>
      <c r="AD224" s="3" t="s">
        <v>62</v>
      </c>
      <c r="AE224" s="3"/>
      <c r="AF224" s="3">
        <v>-57.660556</v>
      </c>
      <c r="AG224" s="3">
        <v>-18.999722</v>
      </c>
      <c r="AH224" s="3" t="s">
        <v>5926</v>
      </c>
      <c r="AI224" s="3"/>
      <c r="AJ224" s="3" t="s">
        <v>1473</v>
      </c>
      <c r="AK224" s="3"/>
      <c r="AL224" s="3"/>
      <c r="AM224" s="3" t="s">
        <v>65</v>
      </c>
      <c r="AN224" s="3"/>
      <c r="AO224" s="3"/>
      <c r="AP224" s="4">
        <v>44273.523900463</v>
      </c>
      <c r="AQ224" s="3"/>
      <c r="AR224" s="3" t="s">
        <v>339</v>
      </c>
      <c r="AS224" s="3"/>
      <c r="AT224" s="4">
        <v>44281.0337152778</v>
      </c>
    </row>
    <row r="225" ht="15.75" customHeight="1">
      <c r="A225" s="3"/>
      <c r="B225" s="3" t="s">
        <v>46</v>
      </c>
      <c r="C225" s="3" t="s">
        <v>47</v>
      </c>
      <c r="D225" s="3"/>
      <c r="E225" s="3" t="s">
        <v>5927</v>
      </c>
      <c r="F225" s="3"/>
      <c r="G225" s="3" t="s">
        <v>49</v>
      </c>
      <c r="H225" s="3" t="s">
        <v>50</v>
      </c>
      <c r="I225" s="3">
        <v>1000.0</v>
      </c>
      <c r="J225" s="3"/>
      <c r="K225" s="3" t="s">
        <v>51</v>
      </c>
      <c r="L225" s="3"/>
      <c r="M225" s="3" t="s">
        <v>5928</v>
      </c>
      <c r="N225" s="3" t="s">
        <v>257</v>
      </c>
      <c r="O225" s="3" t="s">
        <v>258</v>
      </c>
      <c r="P225" s="4">
        <v>44273.5086805556</v>
      </c>
      <c r="Q225" s="3" t="s">
        <v>56</v>
      </c>
      <c r="R225" s="3"/>
      <c r="S225" s="3" t="s">
        <v>1468</v>
      </c>
      <c r="T225" s="3">
        <v>5007935.0</v>
      </c>
      <c r="U225" s="3" t="s">
        <v>5929</v>
      </c>
      <c r="V225" s="3" t="s">
        <v>1470</v>
      </c>
      <c r="W225" s="3" t="s">
        <v>172</v>
      </c>
      <c r="X225" s="3"/>
      <c r="Y225" s="3"/>
      <c r="Z225" s="3" t="s">
        <v>260</v>
      </c>
      <c r="AA225" s="3" t="s">
        <v>5930</v>
      </c>
      <c r="AB225" s="3" t="str">
        <f>"***219081**"</f>
        <v>***219081**</v>
      </c>
      <c r="AC225" s="3"/>
      <c r="AD225" s="3" t="s">
        <v>62</v>
      </c>
      <c r="AE225" s="3"/>
      <c r="AF225" s="3">
        <v>-57.660556</v>
      </c>
      <c r="AG225" s="3">
        <v>-18.999722</v>
      </c>
      <c r="AH225" s="3" t="s">
        <v>5931</v>
      </c>
      <c r="AI225" s="3"/>
      <c r="AJ225" s="3" t="s">
        <v>1473</v>
      </c>
      <c r="AK225" s="3"/>
      <c r="AL225" s="3"/>
      <c r="AM225" s="3" t="s">
        <v>65</v>
      </c>
      <c r="AN225" s="3"/>
      <c r="AO225" s="3"/>
      <c r="AP225" s="4">
        <v>44273.5146296296</v>
      </c>
      <c r="AQ225" s="3"/>
      <c r="AR225" s="3" t="s">
        <v>298</v>
      </c>
      <c r="AS225" s="3"/>
      <c r="AT225" s="4">
        <v>44281.0337152778</v>
      </c>
    </row>
    <row r="226" ht="15.75" customHeight="1">
      <c r="A226" s="3"/>
      <c r="B226" s="3" t="s">
        <v>46</v>
      </c>
      <c r="C226" s="3" t="s">
        <v>47</v>
      </c>
      <c r="D226" s="3"/>
      <c r="E226" s="3" t="s">
        <v>5932</v>
      </c>
      <c r="F226" s="3"/>
      <c r="G226" s="3" t="s">
        <v>49</v>
      </c>
      <c r="H226" s="3" t="s">
        <v>50</v>
      </c>
      <c r="I226" s="3">
        <v>1000.0</v>
      </c>
      <c r="J226" s="3"/>
      <c r="K226" s="3" t="s">
        <v>51</v>
      </c>
      <c r="L226" s="3"/>
      <c r="M226" s="3" t="s">
        <v>5933</v>
      </c>
      <c r="N226" s="3" t="s">
        <v>257</v>
      </c>
      <c r="O226" s="3" t="s">
        <v>258</v>
      </c>
      <c r="P226" s="4">
        <v>44273.4923148148</v>
      </c>
      <c r="Q226" s="3" t="s">
        <v>56</v>
      </c>
      <c r="R226" s="3"/>
      <c r="S226" s="3" t="s">
        <v>1468</v>
      </c>
      <c r="T226" s="3">
        <v>5005806.0</v>
      </c>
      <c r="U226" s="3" t="s">
        <v>5934</v>
      </c>
      <c r="V226" s="3" t="s">
        <v>1470</v>
      </c>
      <c r="W226" s="3" t="s">
        <v>172</v>
      </c>
      <c r="X226" s="3"/>
      <c r="Y226" s="3"/>
      <c r="Z226" s="3" t="s">
        <v>260</v>
      </c>
      <c r="AA226" s="3" t="s">
        <v>5935</v>
      </c>
      <c r="AB226" s="3" t="str">
        <f>"***678431**"</f>
        <v>***678431**</v>
      </c>
      <c r="AC226" s="3"/>
      <c r="AD226" s="3" t="s">
        <v>62</v>
      </c>
      <c r="AE226" s="3"/>
      <c r="AF226" s="3">
        <v>-57.660556</v>
      </c>
      <c r="AG226" s="3">
        <v>-18.999722</v>
      </c>
      <c r="AH226" s="3" t="s">
        <v>5936</v>
      </c>
      <c r="AI226" s="3"/>
      <c r="AJ226" s="3" t="s">
        <v>1473</v>
      </c>
      <c r="AK226" s="3"/>
      <c r="AL226" s="3"/>
      <c r="AM226" s="3" t="s">
        <v>65</v>
      </c>
      <c r="AN226" s="3"/>
      <c r="AO226" s="3"/>
      <c r="AP226" s="4">
        <v>44273.5032407407</v>
      </c>
      <c r="AQ226" s="3"/>
      <c r="AR226" s="3" t="s">
        <v>298</v>
      </c>
      <c r="AS226" s="3"/>
      <c r="AT226" s="4">
        <v>44281.0337152778</v>
      </c>
    </row>
    <row r="227" ht="15.75" customHeight="1">
      <c r="A227" s="3"/>
      <c r="B227" s="3" t="s">
        <v>46</v>
      </c>
      <c r="C227" s="3" t="s">
        <v>47</v>
      </c>
      <c r="D227" s="3"/>
      <c r="E227" s="3" t="s">
        <v>5937</v>
      </c>
      <c r="F227" s="3"/>
      <c r="G227" s="3" t="s">
        <v>49</v>
      </c>
      <c r="H227" s="3" t="s">
        <v>72</v>
      </c>
      <c r="I227" s="3">
        <v>3867.0</v>
      </c>
      <c r="J227" s="3"/>
      <c r="K227" s="3"/>
      <c r="L227" s="3"/>
      <c r="M227" s="3" t="s">
        <v>5938</v>
      </c>
      <c r="N227" s="3" t="s">
        <v>109</v>
      </c>
      <c r="O227" s="3" t="s">
        <v>110</v>
      </c>
      <c r="P227" s="4">
        <v>44273.4883796296</v>
      </c>
      <c r="Q227" s="3" t="s">
        <v>77</v>
      </c>
      <c r="R227" s="3"/>
      <c r="S227" s="3" t="s">
        <v>1349</v>
      </c>
      <c r="T227" s="3">
        <v>1508100.0</v>
      </c>
      <c r="U227" s="3" t="s">
        <v>5107</v>
      </c>
      <c r="V227" s="3" t="s">
        <v>917</v>
      </c>
      <c r="W227" s="3" t="s">
        <v>100</v>
      </c>
      <c r="X227" s="3"/>
      <c r="Y227" s="3"/>
      <c r="Z227" s="3" t="s">
        <v>112</v>
      </c>
      <c r="AA227" s="3" t="s">
        <v>5939</v>
      </c>
      <c r="AB227" s="3" t="str">
        <f>"07897372000101"</f>
        <v>07897372000101</v>
      </c>
      <c r="AC227" s="3"/>
      <c r="AD227" s="3" t="s">
        <v>62</v>
      </c>
      <c r="AE227" s="3"/>
      <c r="AF227" s="3">
        <v>-49.683333</v>
      </c>
      <c r="AG227" s="3">
        <v>-3.733889</v>
      </c>
      <c r="AH227" s="3" t="s">
        <v>5940</v>
      </c>
      <c r="AI227" s="3"/>
      <c r="AJ227" s="3" t="s">
        <v>120</v>
      </c>
      <c r="AK227" s="3"/>
      <c r="AL227" s="3"/>
      <c r="AM227" s="3" t="s">
        <v>65</v>
      </c>
      <c r="AN227" s="3" t="s">
        <v>5110</v>
      </c>
      <c r="AO227" s="3"/>
      <c r="AP227" s="4">
        <v>44273.501412037</v>
      </c>
      <c r="AQ227" s="3"/>
      <c r="AR227" s="3" t="s">
        <v>177</v>
      </c>
      <c r="AS227" s="3"/>
      <c r="AT227" s="4">
        <v>44281.0337152778</v>
      </c>
    </row>
    <row r="228" ht="15.75" customHeight="1">
      <c r="A228" s="3">
        <v>2044509.0</v>
      </c>
      <c r="B228" s="3" t="s">
        <v>116</v>
      </c>
      <c r="C228" s="3" t="s">
        <v>117</v>
      </c>
      <c r="D228" s="3" t="s">
        <v>46</v>
      </c>
      <c r="E228" s="3" t="s">
        <v>5941</v>
      </c>
      <c r="F228" s="3"/>
      <c r="G228" s="3" t="s">
        <v>119</v>
      </c>
      <c r="H228" s="3" t="s">
        <v>50</v>
      </c>
      <c r="I228" s="3">
        <v>1500.0</v>
      </c>
      <c r="J228" s="3"/>
      <c r="K228" s="3"/>
      <c r="L228" s="3" t="s">
        <v>64</v>
      </c>
      <c r="M228" s="3" t="s">
        <v>5942</v>
      </c>
      <c r="N228" s="3" t="s">
        <v>186</v>
      </c>
      <c r="O228" s="3" t="s">
        <v>95</v>
      </c>
      <c r="P228" s="4">
        <v>44273.4166666667</v>
      </c>
      <c r="Q228" s="3" t="s">
        <v>56</v>
      </c>
      <c r="R228" s="5">
        <v>44273.0</v>
      </c>
      <c r="S228" s="3" t="s">
        <v>57</v>
      </c>
      <c r="T228" s="3">
        <v>3205309.0</v>
      </c>
      <c r="U228" s="3" t="s">
        <v>2037</v>
      </c>
      <c r="V228" s="3" t="s">
        <v>59</v>
      </c>
      <c r="W228" s="3" t="s">
        <v>60</v>
      </c>
      <c r="X228" s="3"/>
      <c r="Y228" s="3" t="str">
        <f>"02009000498202199"</f>
        <v>02009000498202199</v>
      </c>
      <c r="Z228" s="3" t="s">
        <v>101</v>
      </c>
      <c r="AA228" s="3" t="s">
        <v>5943</v>
      </c>
      <c r="AB228" s="3" t="str">
        <f>"30845128000117"</f>
        <v>30845128000117</v>
      </c>
      <c r="AC228" s="3"/>
      <c r="AD228" s="3"/>
      <c r="AE228" s="3"/>
      <c r="AF228" s="3">
        <v>-40.305</v>
      </c>
      <c r="AG228" s="3">
        <v>-20.316389</v>
      </c>
      <c r="AH228" s="3" t="s">
        <v>5944</v>
      </c>
      <c r="AI228" s="3"/>
      <c r="AJ228" s="3" t="s">
        <v>64</v>
      </c>
      <c r="AK228" s="3"/>
      <c r="AL228" s="3" t="s">
        <v>128</v>
      </c>
      <c r="AM228" s="3" t="s">
        <v>65</v>
      </c>
      <c r="AN228" s="3" t="s">
        <v>83</v>
      </c>
      <c r="AO228" s="4">
        <v>44273.0</v>
      </c>
      <c r="AP228" s="4">
        <v>44273.531087963</v>
      </c>
      <c r="AQ228" s="3" t="s">
        <v>132</v>
      </c>
      <c r="AR228" s="3" t="s">
        <v>247</v>
      </c>
      <c r="AS228" s="3"/>
      <c r="AT228" s="4">
        <v>44281.0337152778</v>
      </c>
    </row>
    <row r="229" ht="15.75" customHeight="1">
      <c r="A229" s="3">
        <v>2044598.0</v>
      </c>
      <c r="B229" s="3" t="s">
        <v>116</v>
      </c>
      <c r="C229" s="3" t="s">
        <v>117</v>
      </c>
      <c r="D229" s="3" t="s">
        <v>46</v>
      </c>
      <c r="E229" s="3" t="s">
        <v>5945</v>
      </c>
      <c r="F229" s="3"/>
      <c r="G229" s="3" t="s">
        <v>119</v>
      </c>
      <c r="H229" s="3" t="s">
        <v>72</v>
      </c>
      <c r="I229" s="3">
        <v>7056000.0</v>
      </c>
      <c r="J229" s="3"/>
      <c r="K229" s="3"/>
      <c r="L229" s="3" t="s">
        <v>1473</v>
      </c>
      <c r="M229" s="3" t="s">
        <v>5946</v>
      </c>
      <c r="N229" s="3" t="s">
        <v>257</v>
      </c>
      <c r="O229" s="3" t="s">
        <v>258</v>
      </c>
      <c r="P229" s="4">
        <v>44273.4166666667</v>
      </c>
      <c r="Q229" s="3" t="s">
        <v>77</v>
      </c>
      <c r="R229" s="5">
        <v>44273.0</v>
      </c>
      <c r="S229" s="3" t="s">
        <v>220</v>
      </c>
      <c r="T229" s="3">
        <v>5003306.0</v>
      </c>
      <c r="U229" s="3" t="s">
        <v>5947</v>
      </c>
      <c r="V229" s="3" t="s">
        <v>1470</v>
      </c>
      <c r="W229" s="3" t="s">
        <v>172</v>
      </c>
      <c r="X229" s="3"/>
      <c r="Y229" s="3" t="str">
        <f>"02014000339202115"</f>
        <v>02014000339202115</v>
      </c>
      <c r="Z229" s="3" t="s">
        <v>260</v>
      </c>
      <c r="AA229" s="3" t="s">
        <v>5948</v>
      </c>
      <c r="AB229" s="3" t="str">
        <f>"***415701**"</f>
        <v>***415701**</v>
      </c>
      <c r="AC229" s="3"/>
      <c r="AD229" s="3"/>
      <c r="AE229" s="3"/>
      <c r="AF229" s="3">
        <v>-54.715833</v>
      </c>
      <c r="AG229" s="3">
        <v>-18.468333</v>
      </c>
      <c r="AH229" s="3" t="s">
        <v>5949</v>
      </c>
      <c r="AI229" s="3"/>
      <c r="AJ229" s="3" t="s">
        <v>1473</v>
      </c>
      <c r="AK229" s="3"/>
      <c r="AL229" s="3" t="s">
        <v>128</v>
      </c>
      <c r="AM229" s="3" t="s">
        <v>65</v>
      </c>
      <c r="AN229" s="3"/>
      <c r="AO229" s="4">
        <v>44278.0</v>
      </c>
      <c r="AP229" s="4">
        <v>44278.5570601852</v>
      </c>
      <c r="AQ229" s="3" t="s">
        <v>132</v>
      </c>
      <c r="AR229" s="3" t="s">
        <v>4042</v>
      </c>
      <c r="AS229" s="3" t="s">
        <v>5950</v>
      </c>
      <c r="AT229" s="4">
        <v>44281.0337152778</v>
      </c>
    </row>
    <row r="230" ht="15.75" customHeight="1">
      <c r="A230" s="3">
        <v>2044686.0</v>
      </c>
      <c r="B230" s="3" t="s">
        <v>116</v>
      </c>
      <c r="C230" s="3" t="s">
        <v>117</v>
      </c>
      <c r="D230" s="3" t="s">
        <v>46</v>
      </c>
      <c r="E230" s="3" t="s">
        <v>5951</v>
      </c>
      <c r="F230" s="3"/>
      <c r="G230" s="3" t="s">
        <v>119</v>
      </c>
      <c r="H230" s="3" t="s">
        <v>50</v>
      </c>
      <c r="I230" s="3">
        <v>170000.0</v>
      </c>
      <c r="J230" s="3"/>
      <c r="K230" s="3"/>
      <c r="L230" s="3" t="s">
        <v>120</v>
      </c>
      <c r="M230" s="3" t="s">
        <v>5952</v>
      </c>
      <c r="N230" s="3" t="s">
        <v>109</v>
      </c>
      <c r="O230" s="3" t="s">
        <v>110</v>
      </c>
      <c r="P230" s="4">
        <v>44273.375</v>
      </c>
      <c r="Q230" s="3" t="s">
        <v>137</v>
      </c>
      <c r="R230" s="3"/>
      <c r="S230" s="3" t="s">
        <v>1349</v>
      </c>
      <c r="T230" s="3">
        <v>1508100.0</v>
      </c>
      <c r="U230" s="3" t="s">
        <v>5107</v>
      </c>
      <c r="V230" s="3" t="s">
        <v>917</v>
      </c>
      <c r="W230" s="3" t="s">
        <v>100</v>
      </c>
      <c r="X230" s="3"/>
      <c r="Y230" s="3" t="str">
        <f>"02001006098202167"</f>
        <v>02001006098202167</v>
      </c>
      <c r="Z230" s="3" t="s">
        <v>112</v>
      </c>
      <c r="AA230" s="3" t="s">
        <v>5953</v>
      </c>
      <c r="AB230" s="3" t="str">
        <f t="shared" ref="AB230:AB231" si="20">"22169745000111"</f>
        <v>22169745000111</v>
      </c>
      <c r="AC230" s="3"/>
      <c r="AD230" s="3"/>
      <c r="AE230" s="3"/>
      <c r="AF230" s="3">
        <v>-49.686667</v>
      </c>
      <c r="AG230" s="3">
        <v>-3.728889</v>
      </c>
      <c r="AH230" s="3" t="s">
        <v>5954</v>
      </c>
      <c r="AI230" s="3"/>
      <c r="AJ230" s="3" t="s">
        <v>120</v>
      </c>
      <c r="AK230" s="3"/>
      <c r="AL230" s="3" t="s">
        <v>128</v>
      </c>
      <c r="AM230" s="3" t="s">
        <v>65</v>
      </c>
      <c r="AN230" s="3" t="s">
        <v>5110</v>
      </c>
      <c r="AO230" s="4">
        <v>44280.0</v>
      </c>
      <c r="AP230" s="4">
        <v>44280.3660300926</v>
      </c>
      <c r="AQ230" s="3" t="s">
        <v>132</v>
      </c>
      <c r="AR230" s="3" t="s">
        <v>494</v>
      </c>
      <c r="AS230" s="3"/>
      <c r="AT230" s="4">
        <v>44281.0337152778</v>
      </c>
    </row>
    <row r="231" ht="15.75" customHeight="1">
      <c r="A231" s="3">
        <v>2044687.0</v>
      </c>
      <c r="B231" s="3" t="s">
        <v>116</v>
      </c>
      <c r="C231" s="3" t="s">
        <v>117</v>
      </c>
      <c r="D231" s="3" t="s">
        <v>46</v>
      </c>
      <c r="E231" s="3" t="s">
        <v>5955</v>
      </c>
      <c r="F231" s="3"/>
      <c r="G231" s="3" t="s">
        <v>119</v>
      </c>
      <c r="H231" s="3" t="s">
        <v>72</v>
      </c>
      <c r="I231" s="3">
        <v>28200.0</v>
      </c>
      <c r="J231" s="3"/>
      <c r="K231" s="3"/>
      <c r="L231" s="3" t="s">
        <v>120</v>
      </c>
      <c r="M231" s="3" t="s">
        <v>5956</v>
      </c>
      <c r="N231" s="3" t="s">
        <v>109</v>
      </c>
      <c r="O231" s="3" t="s">
        <v>110</v>
      </c>
      <c r="P231" s="4">
        <v>44273.375</v>
      </c>
      <c r="Q231" s="3" t="s">
        <v>137</v>
      </c>
      <c r="R231" s="3"/>
      <c r="S231" s="3" t="s">
        <v>1349</v>
      </c>
      <c r="T231" s="3">
        <v>1508100.0</v>
      </c>
      <c r="U231" s="3" t="s">
        <v>5107</v>
      </c>
      <c r="V231" s="3" t="s">
        <v>917</v>
      </c>
      <c r="W231" s="3" t="s">
        <v>100</v>
      </c>
      <c r="X231" s="3"/>
      <c r="Y231" s="3" t="str">
        <f>"02001006099202110"</f>
        <v>02001006099202110</v>
      </c>
      <c r="Z231" s="3" t="s">
        <v>112</v>
      </c>
      <c r="AA231" s="3" t="s">
        <v>5953</v>
      </c>
      <c r="AB231" s="3" t="str">
        <f t="shared" si="20"/>
        <v>22169745000111</v>
      </c>
      <c r="AC231" s="3"/>
      <c r="AD231" s="3"/>
      <c r="AE231" s="3"/>
      <c r="AF231" s="3">
        <v>-49.686667</v>
      </c>
      <c r="AG231" s="3">
        <v>-3.728889</v>
      </c>
      <c r="AH231" s="3" t="s">
        <v>5954</v>
      </c>
      <c r="AI231" s="3"/>
      <c r="AJ231" s="3" t="s">
        <v>120</v>
      </c>
      <c r="AK231" s="3"/>
      <c r="AL231" s="3" t="s">
        <v>128</v>
      </c>
      <c r="AM231" s="3" t="s">
        <v>65</v>
      </c>
      <c r="AN231" s="3" t="s">
        <v>5110</v>
      </c>
      <c r="AO231" s="4">
        <v>44280.0</v>
      </c>
      <c r="AP231" s="4">
        <v>44280.3679976852</v>
      </c>
      <c r="AQ231" s="3" t="s">
        <v>132</v>
      </c>
      <c r="AR231" s="3" t="s">
        <v>133</v>
      </c>
      <c r="AS231" s="3"/>
      <c r="AT231" s="4">
        <v>44281.0337152778</v>
      </c>
    </row>
    <row r="232" ht="15.75" customHeight="1">
      <c r="A232" s="3"/>
      <c r="B232" s="3" t="s">
        <v>46</v>
      </c>
      <c r="C232" s="3" t="s">
        <v>47</v>
      </c>
      <c r="D232" s="3"/>
      <c r="E232" s="3" t="s">
        <v>5957</v>
      </c>
      <c r="F232" s="3"/>
      <c r="G232" s="3" t="s">
        <v>49</v>
      </c>
      <c r="H232" s="3" t="s">
        <v>50</v>
      </c>
      <c r="I232" s="3">
        <v>1500.0</v>
      </c>
      <c r="J232" s="3"/>
      <c r="K232" s="3" t="s">
        <v>51</v>
      </c>
      <c r="L232" s="3"/>
      <c r="M232" s="3" t="s">
        <v>5958</v>
      </c>
      <c r="N232" s="3" t="s">
        <v>109</v>
      </c>
      <c r="O232" s="3" t="s">
        <v>110</v>
      </c>
      <c r="P232" s="4">
        <v>44272.8694212963</v>
      </c>
      <c r="Q232" s="3" t="s">
        <v>56</v>
      </c>
      <c r="R232" s="3"/>
      <c r="S232" s="3" t="s">
        <v>1468</v>
      </c>
      <c r="T232" s="3">
        <v>5003702.0</v>
      </c>
      <c r="U232" s="3" t="s">
        <v>4318</v>
      </c>
      <c r="V232" s="3" t="s">
        <v>1470</v>
      </c>
      <c r="W232" s="3" t="s">
        <v>78</v>
      </c>
      <c r="X232" s="3"/>
      <c r="Y232" s="3"/>
      <c r="Z232" s="3" t="s">
        <v>112</v>
      </c>
      <c r="AA232" s="3" t="s">
        <v>5959</v>
      </c>
      <c r="AB232" s="3" t="str">
        <f>"24523022000102"</f>
        <v>24523022000102</v>
      </c>
      <c r="AC232" s="3"/>
      <c r="AD232" s="3" t="s">
        <v>81</v>
      </c>
      <c r="AE232" s="3"/>
      <c r="AF232" s="3">
        <v>-54.821944</v>
      </c>
      <c r="AG232" s="3">
        <v>-22.225556</v>
      </c>
      <c r="AH232" s="3" t="s">
        <v>5960</v>
      </c>
      <c r="AI232" s="3"/>
      <c r="AJ232" s="3" t="s">
        <v>1473</v>
      </c>
      <c r="AK232" s="3"/>
      <c r="AL232" s="3"/>
      <c r="AM232" s="3" t="s">
        <v>65</v>
      </c>
      <c r="AN232" s="3"/>
      <c r="AO232" s="3"/>
      <c r="AP232" s="4">
        <v>44272.8780902778</v>
      </c>
      <c r="AQ232" s="3"/>
      <c r="AR232" s="3" t="s">
        <v>106</v>
      </c>
      <c r="AS232" s="3"/>
      <c r="AT232" s="4">
        <v>44281.0337152778</v>
      </c>
    </row>
    <row r="233" ht="15.75" customHeight="1">
      <c r="A233" s="3"/>
      <c r="B233" s="3" t="s">
        <v>46</v>
      </c>
      <c r="C233" s="3" t="s">
        <v>47</v>
      </c>
      <c r="D233" s="3"/>
      <c r="E233" s="3" t="s">
        <v>5961</v>
      </c>
      <c r="F233" s="3"/>
      <c r="G233" s="3" t="s">
        <v>49</v>
      </c>
      <c r="H233" s="3" t="s">
        <v>50</v>
      </c>
      <c r="I233" s="3">
        <v>10000.0</v>
      </c>
      <c r="J233" s="3"/>
      <c r="K233" s="3" t="s">
        <v>92</v>
      </c>
      <c r="L233" s="3"/>
      <c r="M233" s="3" t="s">
        <v>5962</v>
      </c>
      <c r="N233" s="3" t="s">
        <v>74</v>
      </c>
      <c r="O233" s="3" t="s">
        <v>75</v>
      </c>
      <c r="P233" s="4">
        <v>44272.8466666667</v>
      </c>
      <c r="Q233" s="3" t="s">
        <v>77</v>
      </c>
      <c r="R233" s="3"/>
      <c r="S233" s="3" t="s">
        <v>400</v>
      </c>
      <c r="T233" s="3">
        <v>4315602.0</v>
      </c>
      <c r="U233" s="3" t="s">
        <v>1042</v>
      </c>
      <c r="V233" s="3" t="s">
        <v>402</v>
      </c>
      <c r="W233" s="3" t="s">
        <v>60</v>
      </c>
      <c r="X233" s="3"/>
      <c r="Y233" s="3"/>
      <c r="Z233" s="3" t="s">
        <v>79</v>
      </c>
      <c r="AA233" s="3" t="s">
        <v>5963</v>
      </c>
      <c r="AB233" s="3" t="str">
        <f>"***742209**"</f>
        <v>***742209**</v>
      </c>
      <c r="AC233" s="3"/>
      <c r="AD233" s="3" t="s">
        <v>62</v>
      </c>
      <c r="AE233" s="3"/>
      <c r="AF233" s="3">
        <v>-52.103611</v>
      </c>
      <c r="AG233" s="3">
        <v>-32.027222</v>
      </c>
      <c r="AH233" s="3" t="s">
        <v>5964</v>
      </c>
      <c r="AI233" s="3"/>
      <c r="AJ233" s="3" t="s">
        <v>405</v>
      </c>
      <c r="AK233" s="3"/>
      <c r="AL233" s="3"/>
      <c r="AM233" s="3" t="s">
        <v>65</v>
      </c>
      <c r="AN233" s="3" t="s">
        <v>1044</v>
      </c>
      <c r="AO233" s="3"/>
      <c r="AP233" s="4">
        <v>44272.8539814815</v>
      </c>
      <c r="AQ233" s="3"/>
      <c r="AR233" s="3" t="s">
        <v>3441</v>
      </c>
      <c r="AS233" s="3"/>
      <c r="AT233" s="4">
        <v>44281.0337152778</v>
      </c>
    </row>
    <row r="234" ht="15.75" customHeight="1">
      <c r="A234" s="3">
        <v>2044619.0</v>
      </c>
      <c r="B234" s="3" t="s">
        <v>116</v>
      </c>
      <c r="C234" s="3" t="s">
        <v>117</v>
      </c>
      <c r="D234" s="3" t="s">
        <v>46</v>
      </c>
      <c r="E234" s="3" t="s">
        <v>5965</v>
      </c>
      <c r="F234" s="3"/>
      <c r="G234" s="3" t="s">
        <v>119</v>
      </c>
      <c r="H234" s="3" t="s">
        <v>50</v>
      </c>
      <c r="I234" s="3">
        <v>3000.0</v>
      </c>
      <c r="J234" s="3"/>
      <c r="K234" s="3"/>
      <c r="L234" s="3" t="s">
        <v>120</v>
      </c>
      <c r="M234" s="3" t="s">
        <v>5966</v>
      </c>
      <c r="N234" s="3" t="s">
        <v>53</v>
      </c>
      <c r="O234" s="3" t="s">
        <v>382</v>
      </c>
      <c r="P234" s="4">
        <v>44272.8333333333</v>
      </c>
      <c r="Q234" s="3" t="s">
        <v>56</v>
      </c>
      <c r="R234" s="3"/>
      <c r="S234" s="3" t="s">
        <v>148</v>
      </c>
      <c r="T234" s="3">
        <v>1100205.0</v>
      </c>
      <c r="U234" s="3" t="s">
        <v>242</v>
      </c>
      <c r="V234" s="3" t="s">
        <v>125</v>
      </c>
      <c r="W234" s="3" t="s">
        <v>100</v>
      </c>
      <c r="X234" s="3"/>
      <c r="Y234" s="3"/>
      <c r="Z234" s="3" t="s">
        <v>384</v>
      </c>
      <c r="AA234" s="3" t="s">
        <v>5967</v>
      </c>
      <c r="AB234" s="3" t="str">
        <f>"02118203000102"</f>
        <v>02118203000102</v>
      </c>
      <c r="AC234" s="3"/>
      <c r="AD234" s="3"/>
      <c r="AE234" s="3"/>
      <c r="AF234" s="3">
        <v>-63.872778</v>
      </c>
      <c r="AG234" s="3">
        <v>-8.776111</v>
      </c>
      <c r="AH234" s="3" t="s">
        <v>242</v>
      </c>
      <c r="AI234" s="3"/>
      <c r="AJ234" s="3" t="s">
        <v>120</v>
      </c>
      <c r="AK234" s="3"/>
      <c r="AL234" s="3" t="s">
        <v>128</v>
      </c>
      <c r="AM234" s="3" t="s">
        <v>65</v>
      </c>
      <c r="AN234" s="3" t="s">
        <v>5317</v>
      </c>
      <c r="AO234" s="4">
        <v>44278.0</v>
      </c>
      <c r="AP234" s="4">
        <v>44278.6947106482</v>
      </c>
      <c r="AQ234" s="3" t="s">
        <v>132</v>
      </c>
      <c r="AR234" s="3" t="s">
        <v>693</v>
      </c>
      <c r="AS234" s="3" t="s">
        <v>5420</v>
      </c>
      <c r="AT234" s="4">
        <v>44281.0337152778</v>
      </c>
    </row>
    <row r="235" ht="15.75" customHeight="1">
      <c r="A235" s="3">
        <v>2044624.0</v>
      </c>
      <c r="B235" s="3" t="s">
        <v>116</v>
      </c>
      <c r="C235" s="3" t="s">
        <v>117</v>
      </c>
      <c r="D235" s="3" t="s">
        <v>46</v>
      </c>
      <c r="E235" s="3" t="s">
        <v>5968</v>
      </c>
      <c r="F235" s="3"/>
      <c r="G235" s="3" t="s">
        <v>119</v>
      </c>
      <c r="H235" s="3" t="s">
        <v>50</v>
      </c>
      <c r="I235" s="3">
        <v>3000.0</v>
      </c>
      <c r="J235" s="3"/>
      <c r="K235" s="3"/>
      <c r="L235" s="3" t="s">
        <v>120</v>
      </c>
      <c r="M235" s="3" t="s">
        <v>5969</v>
      </c>
      <c r="N235" s="3" t="s">
        <v>53</v>
      </c>
      <c r="O235" s="3" t="s">
        <v>382</v>
      </c>
      <c r="P235" s="4">
        <v>44272.8333333333</v>
      </c>
      <c r="Q235" s="3" t="s">
        <v>56</v>
      </c>
      <c r="R235" s="3"/>
      <c r="S235" s="3" t="s">
        <v>5970</v>
      </c>
      <c r="T235" s="3">
        <v>1200401.0</v>
      </c>
      <c r="U235" s="3" t="s">
        <v>5971</v>
      </c>
      <c r="V235" s="3" t="s">
        <v>5972</v>
      </c>
      <c r="W235" s="3" t="s">
        <v>100</v>
      </c>
      <c r="X235" s="3"/>
      <c r="Y235" s="3"/>
      <c r="Z235" s="3" t="s">
        <v>384</v>
      </c>
      <c r="AA235" s="3" t="s">
        <v>5973</v>
      </c>
      <c r="AB235" s="3" t="str">
        <f>"02118203000706"</f>
        <v>02118203000706</v>
      </c>
      <c r="AC235" s="3"/>
      <c r="AD235" s="3"/>
      <c r="AE235" s="3"/>
      <c r="AF235" s="3">
        <v>-67.766944</v>
      </c>
      <c r="AG235" s="3">
        <v>-10.011667</v>
      </c>
      <c r="AH235" s="3" t="s">
        <v>5971</v>
      </c>
      <c r="AI235" s="3"/>
      <c r="AJ235" s="3" t="s">
        <v>120</v>
      </c>
      <c r="AK235" s="3"/>
      <c r="AL235" s="3" t="s">
        <v>128</v>
      </c>
      <c r="AM235" s="3" t="s">
        <v>65</v>
      </c>
      <c r="AN235" s="3" t="s">
        <v>5317</v>
      </c>
      <c r="AO235" s="4">
        <v>44278.0</v>
      </c>
      <c r="AP235" s="4">
        <v>44278.7004513889</v>
      </c>
      <c r="AQ235" s="3" t="s">
        <v>132</v>
      </c>
      <c r="AR235" s="3" t="s">
        <v>693</v>
      </c>
      <c r="AS235" s="3" t="s">
        <v>5420</v>
      </c>
      <c r="AT235" s="4">
        <v>44281.0337152778</v>
      </c>
    </row>
    <row r="236" ht="15.75" customHeight="1">
      <c r="A236" s="3">
        <v>2044626.0</v>
      </c>
      <c r="B236" s="3" t="s">
        <v>116</v>
      </c>
      <c r="C236" s="3" t="s">
        <v>117</v>
      </c>
      <c r="D236" s="3" t="s">
        <v>46</v>
      </c>
      <c r="E236" s="3" t="s">
        <v>5974</v>
      </c>
      <c r="F236" s="3"/>
      <c r="G236" s="3" t="s">
        <v>119</v>
      </c>
      <c r="H236" s="3" t="s">
        <v>50</v>
      </c>
      <c r="I236" s="3">
        <v>13000.0</v>
      </c>
      <c r="J236" s="3"/>
      <c r="K236" s="3"/>
      <c r="L236" s="3" t="s">
        <v>120</v>
      </c>
      <c r="M236" s="3" t="s">
        <v>5975</v>
      </c>
      <c r="N236" s="3" t="s">
        <v>53</v>
      </c>
      <c r="O236" s="3" t="s">
        <v>382</v>
      </c>
      <c r="P236" s="4">
        <v>44272.8333333333</v>
      </c>
      <c r="Q236" s="3" t="s">
        <v>56</v>
      </c>
      <c r="R236" s="3"/>
      <c r="S236" s="3" t="s">
        <v>148</v>
      </c>
      <c r="T236" s="3">
        <v>1100205.0</v>
      </c>
      <c r="U236" s="3" t="s">
        <v>242</v>
      </c>
      <c r="V236" s="3" t="s">
        <v>125</v>
      </c>
      <c r="W236" s="3" t="s">
        <v>100</v>
      </c>
      <c r="X236" s="3"/>
      <c r="Y236" s="3" t="str">
        <f>"02001005948202118"</f>
        <v>02001005948202118</v>
      </c>
      <c r="Z236" s="3" t="s">
        <v>384</v>
      </c>
      <c r="AA236" s="3" t="s">
        <v>5967</v>
      </c>
      <c r="AB236" s="3" t="str">
        <f t="shared" ref="AB236:AB237" si="21">"02118203000102"</f>
        <v>02118203000102</v>
      </c>
      <c r="AC236" s="3"/>
      <c r="AD236" s="3"/>
      <c r="AE236" s="3"/>
      <c r="AF236" s="3">
        <v>-63.872778</v>
      </c>
      <c r="AG236" s="3">
        <v>-8.776111</v>
      </c>
      <c r="AH236" s="3" t="s">
        <v>242</v>
      </c>
      <c r="AI236" s="3"/>
      <c r="AJ236" s="3" t="s">
        <v>120</v>
      </c>
      <c r="AK236" s="3"/>
      <c r="AL236" s="3" t="s">
        <v>128</v>
      </c>
      <c r="AM236" s="3" t="s">
        <v>65</v>
      </c>
      <c r="AN236" s="3" t="s">
        <v>5317</v>
      </c>
      <c r="AO236" s="4">
        <v>44278.0</v>
      </c>
      <c r="AP236" s="4">
        <v>44278.7040625</v>
      </c>
      <c r="AQ236" s="3" t="s">
        <v>132</v>
      </c>
      <c r="AR236" s="3" t="s">
        <v>531</v>
      </c>
      <c r="AS236" s="3" t="s">
        <v>5420</v>
      </c>
      <c r="AT236" s="4">
        <v>44281.0337152778</v>
      </c>
    </row>
    <row r="237" ht="15.75" customHeight="1">
      <c r="A237" s="3">
        <v>2044627.0</v>
      </c>
      <c r="B237" s="3" t="s">
        <v>116</v>
      </c>
      <c r="C237" s="3" t="s">
        <v>117</v>
      </c>
      <c r="D237" s="3" t="s">
        <v>46</v>
      </c>
      <c r="E237" s="3" t="s">
        <v>5976</v>
      </c>
      <c r="F237" s="3"/>
      <c r="G237" s="3" t="s">
        <v>119</v>
      </c>
      <c r="H237" s="3" t="s">
        <v>72</v>
      </c>
      <c r="I237" s="3">
        <v>1800.0</v>
      </c>
      <c r="J237" s="3"/>
      <c r="K237" s="3"/>
      <c r="L237" s="3" t="s">
        <v>120</v>
      </c>
      <c r="M237" s="3" t="s">
        <v>5977</v>
      </c>
      <c r="N237" s="3" t="s">
        <v>53</v>
      </c>
      <c r="O237" s="3" t="s">
        <v>382</v>
      </c>
      <c r="P237" s="4">
        <v>44272.8333333333</v>
      </c>
      <c r="Q237" s="3" t="s">
        <v>56</v>
      </c>
      <c r="R237" s="3"/>
      <c r="S237" s="3" t="s">
        <v>148</v>
      </c>
      <c r="T237" s="3">
        <v>1100205.0</v>
      </c>
      <c r="U237" s="3" t="s">
        <v>242</v>
      </c>
      <c r="V237" s="3" t="s">
        <v>125</v>
      </c>
      <c r="W237" s="3" t="s">
        <v>100</v>
      </c>
      <c r="X237" s="3"/>
      <c r="Y237" s="3" t="str">
        <f>"02001005949202154"</f>
        <v>02001005949202154</v>
      </c>
      <c r="Z237" s="3" t="s">
        <v>384</v>
      </c>
      <c r="AA237" s="3" t="s">
        <v>5967</v>
      </c>
      <c r="AB237" s="3" t="str">
        <f t="shared" si="21"/>
        <v>02118203000102</v>
      </c>
      <c r="AC237" s="3"/>
      <c r="AD237" s="3"/>
      <c r="AE237" s="3"/>
      <c r="AF237" s="3">
        <v>-63.872778</v>
      </c>
      <c r="AG237" s="3">
        <v>-8.776111</v>
      </c>
      <c r="AH237" s="3" t="s">
        <v>242</v>
      </c>
      <c r="AI237" s="3"/>
      <c r="AJ237" s="3" t="s">
        <v>120</v>
      </c>
      <c r="AK237" s="3"/>
      <c r="AL237" s="3" t="s">
        <v>128</v>
      </c>
      <c r="AM237" s="3" t="s">
        <v>65</v>
      </c>
      <c r="AN237" s="3" t="s">
        <v>5317</v>
      </c>
      <c r="AO237" s="4">
        <v>44278.0</v>
      </c>
      <c r="AP237" s="4">
        <v>44278.7056944445</v>
      </c>
      <c r="AQ237" s="3" t="s">
        <v>132</v>
      </c>
      <c r="AR237" s="3" t="s">
        <v>952</v>
      </c>
      <c r="AS237" s="3" t="s">
        <v>5420</v>
      </c>
      <c r="AT237" s="4">
        <v>44281.0337152778</v>
      </c>
    </row>
    <row r="238" ht="15.75" customHeight="1">
      <c r="A238" s="3"/>
      <c r="B238" s="3" t="s">
        <v>46</v>
      </c>
      <c r="C238" s="3" t="s">
        <v>47</v>
      </c>
      <c r="D238" s="3"/>
      <c r="E238" s="3" t="s">
        <v>5978</v>
      </c>
      <c r="F238" s="3"/>
      <c r="G238" s="3" t="s">
        <v>49</v>
      </c>
      <c r="H238" s="3" t="s">
        <v>72</v>
      </c>
      <c r="I238" s="3">
        <v>130000.0</v>
      </c>
      <c r="J238" s="3"/>
      <c r="K238" s="3"/>
      <c r="L238" s="3"/>
      <c r="M238" s="3" t="s">
        <v>5979</v>
      </c>
      <c r="N238" s="3" t="s">
        <v>74</v>
      </c>
      <c r="O238" s="3" t="s">
        <v>75</v>
      </c>
      <c r="P238" s="4">
        <v>44272.8172916667</v>
      </c>
      <c r="Q238" s="3" t="s">
        <v>77</v>
      </c>
      <c r="R238" s="3"/>
      <c r="S238" s="3" t="s">
        <v>400</v>
      </c>
      <c r="T238" s="3">
        <v>4315602.0</v>
      </c>
      <c r="U238" s="3" t="s">
        <v>1042</v>
      </c>
      <c r="V238" s="3" t="s">
        <v>402</v>
      </c>
      <c r="W238" s="3" t="s">
        <v>60</v>
      </c>
      <c r="X238" s="3"/>
      <c r="Y238" s="3"/>
      <c r="Z238" s="3" t="s">
        <v>79</v>
      </c>
      <c r="AA238" s="3" t="s">
        <v>5963</v>
      </c>
      <c r="AB238" s="3" t="str">
        <f>"***742209**"</f>
        <v>***742209**</v>
      </c>
      <c r="AC238" s="3"/>
      <c r="AD238" s="3" t="s">
        <v>62</v>
      </c>
      <c r="AE238" s="3"/>
      <c r="AF238" s="3">
        <v>-52.103611</v>
      </c>
      <c r="AG238" s="3">
        <v>-32.027222</v>
      </c>
      <c r="AH238" s="3" t="s">
        <v>5964</v>
      </c>
      <c r="AI238" s="3"/>
      <c r="AJ238" s="3" t="s">
        <v>405</v>
      </c>
      <c r="AK238" s="3"/>
      <c r="AL238" s="3"/>
      <c r="AM238" s="3" t="s">
        <v>65</v>
      </c>
      <c r="AN238" s="3" t="s">
        <v>1044</v>
      </c>
      <c r="AO238" s="3"/>
      <c r="AP238" s="4">
        <v>44272.8304398148</v>
      </c>
      <c r="AQ238" s="3"/>
      <c r="AR238" s="3" t="s">
        <v>5980</v>
      </c>
      <c r="AS238" s="3"/>
      <c r="AT238" s="4">
        <v>44281.0337152778</v>
      </c>
    </row>
    <row r="239" ht="15.75" customHeight="1">
      <c r="A239" s="3">
        <v>2044622.0</v>
      </c>
      <c r="B239" s="3" t="s">
        <v>116</v>
      </c>
      <c r="C239" s="3" t="s">
        <v>117</v>
      </c>
      <c r="D239" s="3" t="s">
        <v>46</v>
      </c>
      <c r="E239" s="3" t="s">
        <v>5981</v>
      </c>
      <c r="F239" s="3"/>
      <c r="G239" s="3" t="s">
        <v>119</v>
      </c>
      <c r="H239" s="3" t="s">
        <v>50</v>
      </c>
      <c r="I239" s="3">
        <v>13000.0</v>
      </c>
      <c r="J239" s="3"/>
      <c r="K239" s="3"/>
      <c r="L239" s="3" t="s">
        <v>120</v>
      </c>
      <c r="M239" s="3" t="s">
        <v>5442</v>
      </c>
      <c r="N239" s="3" t="s">
        <v>53</v>
      </c>
      <c r="O239" s="3" t="s">
        <v>382</v>
      </c>
      <c r="P239" s="4">
        <v>44272.7916666667</v>
      </c>
      <c r="Q239" s="3" t="s">
        <v>56</v>
      </c>
      <c r="R239" s="3"/>
      <c r="S239" s="3" t="s">
        <v>5970</v>
      </c>
      <c r="T239" s="3">
        <v>1200401.0</v>
      </c>
      <c r="U239" s="3" t="s">
        <v>5971</v>
      </c>
      <c r="V239" s="3" t="s">
        <v>5972</v>
      </c>
      <c r="W239" s="3" t="s">
        <v>100</v>
      </c>
      <c r="X239" s="3"/>
      <c r="Y239" s="3" t="str">
        <f>"02001005945202176"</f>
        <v>02001005945202176</v>
      </c>
      <c r="Z239" s="3" t="s">
        <v>384</v>
      </c>
      <c r="AA239" s="3" t="s">
        <v>5973</v>
      </c>
      <c r="AB239" s="3" t="str">
        <f t="shared" ref="AB239:AB240" si="22">"02118203000706"</f>
        <v>02118203000706</v>
      </c>
      <c r="AC239" s="3"/>
      <c r="AD239" s="3"/>
      <c r="AE239" s="3"/>
      <c r="AF239" s="3">
        <v>-67.766944</v>
      </c>
      <c r="AG239" s="3">
        <v>-10.011667</v>
      </c>
      <c r="AH239" s="3" t="s">
        <v>5971</v>
      </c>
      <c r="AI239" s="3"/>
      <c r="AJ239" s="3" t="s">
        <v>120</v>
      </c>
      <c r="AK239" s="3"/>
      <c r="AL239" s="3" t="s">
        <v>128</v>
      </c>
      <c r="AM239" s="3" t="s">
        <v>65</v>
      </c>
      <c r="AN239" s="3" t="s">
        <v>5317</v>
      </c>
      <c r="AO239" s="4">
        <v>44278.0</v>
      </c>
      <c r="AP239" s="4">
        <v>44278.6967592593</v>
      </c>
      <c r="AQ239" s="3" t="s">
        <v>132</v>
      </c>
      <c r="AR239" s="3" t="s">
        <v>531</v>
      </c>
      <c r="AS239" s="3" t="s">
        <v>5420</v>
      </c>
      <c r="AT239" s="4">
        <v>44281.0337152778</v>
      </c>
    </row>
    <row r="240" ht="15.75" customHeight="1">
      <c r="A240" s="3">
        <v>2044623.0</v>
      </c>
      <c r="B240" s="3" t="s">
        <v>116</v>
      </c>
      <c r="C240" s="3" t="s">
        <v>117</v>
      </c>
      <c r="D240" s="3" t="s">
        <v>46</v>
      </c>
      <c r="E240" s="3" t="s">
        <v>5982</v>
      </c>
      <c r="F240" s="3"/>
      <c r="G240" s="3" t="s">
        <v>119</v>
      </c>
      <c r="H240" s="3" t="s">
        <v>72</v>
      </c>
      <c r="I240" s="3">
        <v>1800.0</v>
      </c>
      <c r="J240" s="3"/>
      <c r="K240" s="3"/>
      <c r="L240" s="3" t="s">
        <v>120</v>
      </c>
      <c r="M240" s="3" t="s">
        <v>5977</v>
      </c>
      <c r="N240" s="3" t="s">
        <v>53</v>
      </c>
      <c r="O240" s="3" t="s">
        <v>382</v>
      </c>
      <c r="P240" s="4">
        <v>44272.7916666667</v>
      </c>
      <c r="Q240" s="3" t="s">
        <v>56</v>
      </c>
      <c r="R240" s="3"/>
      <c r="S240" s="3" t="s">
        <v>5970</v>
      </c>
      <c r="T240" s="3">
        <v>1200401.0</v>
      </c>
      <c r="U240" s="3" t="s">
        <v>5971</v>
      </c>
      <c r="V240" s="3" t="s">
        <v>5972</v>
      </c>
      <c r="W240" s="3" t="s">
        <v>100</v>
      </c>
      <c r="X240" s="3"/>
      <c r="Y240" s="3" t="str">
        <f>"02001005946202111"</f>
        <v>02001005946202111</v>
      </c>
      <c r="Z240" s="3" t="s">
        <v>384</v>
      </c>
      <c r="AA240" s="3" t="s">
        <v>5973</v>
      </c>
      <c r="AB240" s="3" t="str">
        <f t="shared" si="22"/>
        <v>02118203000706</v>
      </c>
      <c r="AC240" s="3"/>
      <c r="AD240" s="3"/>
      <c r="AE240" s="3"/>
      <c r="AF240" s="3">
        <v>-67.766944</v>
      </c>
      <c r="AG240" s="3">
        <v>-10.011667</v>
      </c>
      <c r="AH240" s="3" t="s">
        <v>5971</v>
      </c>
      <c r="AI240" s="3"/>
      <c r="AJ240" s="3" t="s">
        <v>120</v>
      </c>
      <c r="AK240" s="3"/>
      <c r="AL240" s="3" t="s">
        <v>128</v>
      </c>
      <c r="AM240" s="3" t="s">
        <v>65</v>
      </c>
      <c r="AN240" s="3" t="s">
        <v>5317</v>
      </c>
      <c r="AO240" s="4">
        <v>44278.0</v>
      </c>
      <c r="AP240" s="4">
        <v>44278.6971527778</v>
      </c>
      <c r="AQ240" s="3" t="s">
        <v>132</v>
      </c>
      <c r="AR240" s="3" t="s">
        <v>952</v>
      </c>
      <c r="AS240" s="3" t="s">
        <v>5420</v>
      </c>
      <c r="AT240" s="4">
        <v>44281.0337152778</v>
      </c>
    </row>
    <row r="241" ht="15.75" customHeight="1">
      <c r="A241" s="3"/>
      <c r="B241" s="3" t="s">
        <v>46</v>
      </c>
      <c r="C241" s="3" t="s">
        <v>47</v>
      </c>
      <c r="D241" s="3"/>
      <c r="E241" s="3" t="s">
        <v>5983</v>
      </c>
      <c r="F241" s="3"/>
      <c r="G241" s="3" t="s">
        <v>49</v>
      </c>
      <c r="H241" s="3" t="s">
        <v>50</v>
      </c>
      <c r="I241" s="3">
        <v>13000.0</v>
      </c>
      <c r="J241" s="3"/>
      <c r="K241" s="3" t="s">
        <v>51</v>
      </c>
      <c r="L241" s="3"/>
      <c r="M241" s="3" t="s">
        <v>5984</v>
      </c>
      <c r="N241" s="3" t="s">
        <v>109</v>
      </c>
      <c r="O241" s="3" t="s">
        <v>110</v>
      </c>
      <c r="P241" s="4">
        <v>44272.702650463</v>
      </c>
      <c r="Q241" s="3" t="s">
        <v>56</v>
      </c>
      <c r="R241" s="3"/>
      <c r="S241" s="3" t="s">
        <v>288</v>
      </c>
      <c r="T241" s="3">
        <v>2210003.0</v>
      </c>
      <c r="U241" s="3" t="s">
        <v>4628</v>
      </c>
      <c r="V241" s="3" t="s">
        <v>290</v>
      </c>
      <c r="W241" s="3" t="s">
        <v>291</v>
      </c>
      <c r="X241" s="3"/>
      <c r="Y241" s="3"/>
      <c r="Z241" s="3" t="s">
        <v>112</v>
      </c>
      <c r="AA241" s="3" t="s">
        <v>5985</v>
      </c>
      <c r="AB241" s="3" t="str">
        <f>"05028941000157"</f>
        <v>05028941000157</v>
      </c>
      <c r="AC241" s="3"/>
      <c r="AD241" s="3" t="s">
        <v>62</v>
      </c>
      <c r="AE241" s="3"/>
      <c r="AF241" s="3">
        <v>-42.758333</v>
      </c>
      <c r="AG241" s="3">
        <v>-5.062778</v>
      </c>
      <c r="AH241" s="3" t="s">
        <v>5986</v>
      </c>
      <c r="AI241" s="3"/>
      <c r="AJ241" s="3" t="s">
        <v>295</v>
      </c>
      <c r="AK241" s="3"/>
      <c r="AL241" s="3"/>
      <c r="AM241" s="3" t="s">
        <v>65</v>
      </c>
      <c r="AN241" s="3" t="s">
        <v>296</v>
      </c>
      <c r="AO241" s="3"/>
      <c r="AP241" s="4">
        <v>44274.6603703704</v>
      </c>
      <c r="AQ241" s="3"/>
      <c r="AR241" s="3" t="s">
        <v>3029</v>
      </c>
      <c r="AS241" s="3"/>
      <c r="AT241" s="4">
        <v>44281.0337152778</v>
      </c>
    </row>
    <row r="242" ht="15.75" customHeight="1">
      <c r="A242" s="3"/>
      <c r="B242" s="3" t="s">
        <v>46</v>
      </c>
      <c r="C242" s="3" t="s">
        <v>47</v>
      </c>
      <c r="D242" s="3"/>
      <c r="E242" s="3" t="s">
        <v>5987</v>
      </c>
      <c r="F242" s="3"/>
      <c r="G242" s="3" t="s">
        <v>49</v>
      </c>
      <c r="H242" s="3" t="s">
        <v>72</v>
      </c>
      <c r="I242" s="3">
        <v>8600.0</v>
      </c>
      <c r="J242" s="3"/>
      <c r="K242" s="3"/>
      <c r="L242" s="3"/>
      <c r="M242" s="3" t="s">
        <v>5988</v>
      </c>
      <c r="N242" s="3" t="s">
        <v>109</v>
      </c>
      <c r="O242" s="3" t="s">
        <v>110</v>
      </c>
      <c r="P242" s="4">
        <v>44272.7018634259</v>
      </c>
      <c r="Q242" s="3" t="s">
        <v>56</v>
      </c>
      <c r="R242" s="5">
        <v>44279.0</v>
      </c>
      <c r="S242" s="3" t="s">
        <v>1468</v>
      </c>
      <c r="T242" s="3">
        <v>5003207.0</v>
      </c>
      <c r="U242" s="3" t="s">
        <v>2929</v>
      </c>
      <c r="V242" s="3" t="s">
        <v>1470</v>
      </c>
      <c r="W242" s="3" t="s">
        <v>1658</v>
      </c>
      <c r="X242" s="3"/>
      <c r="Y242" s="3"/>
      <c r="Z242" s="3" t="s">
        <v>112</v>
      </c>
      <c r="AA242" s="3" t="s">
        <v>5989</v>
      </c>
      <c r="AB242" s="3" t="str">
        <f>"***701071**"</f>
        <v>***701071**</v>
      </c>
      <c r="AC242" s="3"/>
      <c r="AD242" s="3" t="s">
        <v>325</v>
      </c>
      <c r="AE242" s="3"/>
      <c r="AF242" s="3">
        <v>-57.117222</v>
      </c>
      <c r="AG242" s="3">
        <v>-19.101389</v>
      </c>
      <c r="AH242" s="3" t="s">
        <v>5990</v>
      </c>
      <c r="AI242" s="3"/>
      <c r="AJ242" s="3" t="s">
        <v>1473</v>
      </c>
      <c r="AK242" s="3"/>
      <c r="AL242" s="3"/>
      <c r="AM242" s="3" t="s">
        <v>65</v>
      </c>
      <c r="AN242" s="3"/>
      <c r="AO242" s="3"/>
      <c r="AP242" s="4">
        <v>44278.7413888889</v>
      </c>
      <c r="AQ242" s="3"/>
      <c r="AR242" s="3" t="s">
        <v>991</v>
      </c>
      <c r="AS242" s="3"/>
      <c r="AT242" s="4">
        <v>44281.0337152778</v>
      </c>
    </row>
    <row r="243" ht="15.75" customHeight="1">
      <c r="A243" s="3"/>
      <c r="B243" s="3" t="s">
        <v>46</v>
      </c>
      <c r="C243" s="3" t="s">
        <v>47</v>
      </c>
      <c r="D243" s="3"/>
      <c r="E243" s="3" t="s">
        <v>5991</v>
      </c>
      <c r="F243" s="3"/>
      <c r="G243" s="3" t="s">
        <v>49</v>
      </c>
      <c r="H243" s="3" t="s">
        <v>72</v>
      </c>
      <c r="I243" s="3">
        <v>37050.0</v>
      </c>
      <c r="J243" s="3"/>
      <c r="K243" s="3"/>
      <c r="L243" s="3"/>
      <c r="M243" s="3" t="s">
        <v>5992</v>
      </c>
      <c r="N243" s="3" t="s">
        <v>109</v>
      </c>
      <c r="O243" s="3" t="s">
        <v>110</v>
      </c>
      <c r="P243" s="4">
        <v>44272.6721990741</v>
      </c>
      <c r="Q243" s="3" t="s">
        <v>56</v>
      </c>
      <c r="R243" s="5">
        <v>44273.0</v>
      </c>
      <c r="S243" s="3" t="s">
        <v>1468</v>
      </c>
      <c r="T243" s="3">
        <v>5003207.0</v>
      </c>
      <c r="U243" s="3" t="s">
        <v>2929</v>
      </c>
      <c r="V243" s="3" t="s">
        <v>1470</v>
      </c>
      <c r="W243" s="3" t="s">
        <v>1658</v>
      </c>
      <c r="X243" s="3"/>
      <c r="Y243" s="3"/>
      <c r="Z243" s="3" t="s">
        <v>112</v>
      </c>
      <c r="AA243" s="3" t="s">
        <v>5993</v>
      </c>
      <c r="AB243" s="3" t="str">
        <f>"***907575**"</f>
        <v>***907575**</v>
      </c>
      <c r="AC243" s="3"/>
      <c r="AD243" s="3" t="s">
        <v>325</v>
      </c>
      <c r="AE243" s="3"/>
      <c r="AF243" s="3">
        <v>-57.1175</v>
      </c>
      <c r="AG243" s="3">
        <v>-19.117222</v>
      </c>
      <c r="AH243" s="3" t="s">
        <v>5994</v>
      </c>
      <c r="AI243" s="3"/>
      <c r="AJ243" s="3" t="s">
        <v>1473</v>
      </c>
      <c r="AK243" s="3"/>
      <c r="AL243" s="3"/>
      <c r="AM243" s="3" t="s">
        <v>65</v>
      </c>
      <c r="AN243" s="3"/>
      <c r="AO243" s="3"/>
      <c r="AP243" s="4">
        <v>44278.7419212963</v>
      </c>
      <c r="AQ243" s="3"/>
      <c r="AR243" s="3" t="s">
        <v>991</v>
      </c>
      <c r="AS243" s="3"/>
      <c r="AT243" s="4">
        <v>44281.0337152778</v>
      </c>
    </row>
    <row r="244" ht="15.75" customHeight="1">
      <c r="A244" s="3"/>
      <c r="B244" s="3" t="s">
        <v>46</v>
      </c>
      <c r="C244" s="3" t="s">
        <v>47</v>
      </c>
      <c r="D244" s="3"/>
      <c r="E244" s="3" t="s">
        <v>5995</v>
      </c>
      <c r="F244" s="3"/>
      <c r="G244" s="3" t="s">
        <v>49</v>
      </c>
      <c r="H244" s="3" t="s">
        <v>50</v>
      </c>
      <c r="I244" s="3">
        <v>500.0</v>
      </c>
      <c r="J244" s="3"/>
      <c r="K244" s="3" t="s">
        <v>51</v>
      </c>
      <c r="L244" s="3"/>
      <c r="M244" s="3" t="s">
        <v>5996</v>
      </c>
      <c r="N244" s="3" t="s">
        <v>301</v>
      </c>
      <c r="O244" s="3" t="s">
        <v>302</v>
      </c>
      <c r="P244" s="4">
        <v>44272.6716550926</v>
      </c>
      <c r="Q244" s="3" t="s">
        <v>56</v>
      </c>
      <c r="R244" s="5">
        <v>44272.0</v>
      </c>
      <c r="S244" s="3" t="s">
        <v>1173</v>
      </c>
      <c r="T244" s="3">
        <v>2507507.0</v>
      </c>
      <c r="U244" s="3" t="s">
        <v>1189</v>
      </c>
      <c r="V244" s="3" t="s">
        <v>1175</v>
      </c>
      <c r="W244" s="3" t="s">
        <v>78</v>
      </c>
      <c r="X244" s="3"/>
      <c r="Y244" s="3"/>
      <c r="Z244" s="3" t="s">
        <v>306</v>
      </c>
      <c r="AA244" s="3" t="s">
        <v>5997</v>
      </c>
      <c r="AB244" s="3" t="str">
        <f>"***217804**"</f>
        <v>***217804**</v>
      </c>
      <c r="AC244" s="3"/>
      <c r="AD244" s="3" t="s">
        <v>81</v>
      </c>
      <c r="AE244" s="3"/>
      <c r="AF244" s="3">
        <v>-34.875833</v>
      </c>
      <c r="AG244" s="3">
        <v>-7.131667</v>
      </c>
      <c r="AH244" s="3" t="s">
        <v>5998</v>
      </c>
      <c r="AI244" s="3"/>
      <c r="AJ244" s="3" t="s">
        <v>1178</v>
      </c>
      <c r="AK244" s="3"/>
      <c r="AL244" s="3"/>
      <c r="AM244" s="3" t="s">
        <v>65</v>
      </c>
      <c r="AN244" s="3" t="s">
        <v>296</v>
      </c>
      <c r="AO244" s="3"/>
      <c r="AP244" s="4">
        <v>44272.6770138889</v>
      </c>
      <c r="AQ244" s="3"/>
      <c r="AR244" s="3" t="s">
        <v>387</v>
      </c>
      <c r="AS244" s="3"/>
      <c r="AT244" s="4">
        <v>44281.0337152778</v>
      </c>
    </row>
    <row r="245" ht="15.75" customHeight="1">
      <c r="A245" s="3"/>
      <c r="B245" s="3" t="s">
        <v>46</v>
      </c>
      <c r="C245" s="3" t="s">
        <v>47</v>
      </c>
      <c r="D245" s="3"/>
      <c r="E245" s="3" t="s">
        <v>5999</v>
      </c>
      <c r="F245" s="3"/>
      <c r="G245" s="3" t="s">
        <v>49</v>
      </c>
      <c r="H245" s="3" t="s">
        <v>50</v>
      </c>
      <c r="I245" s="3">
        <v>500.0</v>
      </c>
      <c r="J245" s="3"/>
      <c r="K245" s="3" t="s">
        <v>51</v>
      </c>
      <c r="L245" s="3"/>
      <c r="M245" s="3" t="s">
        <v>6000</v>
      </c>
      <c r="N245" s="3" t="s">
        <v>301</v>
      </c>
      <c r="O245" s="3" t="s">
        <v>302</v>
      </c>
      <c r="P245" s="4">
        <v>44272.6482175926</v>
      </c>
      <c r="Q245" s="3" t="s">
        <v>56</v>
      </c>
      <c r="R245" s="5">
        <v>44272.0</v>
      </c>
      <c r="S245" s="3" t="s">
        <v>1173</v>
      </c>
      <c r="T245" s="3">
        <v>2515005.0</v>
      </c>
      <c r="U245" s="3" t="s">
        <v>6001</v>
      </c>
      <c r="V245" s="3" t="s">
        <v>1175</v>
      </c>
      <c r="W245" s="3" t="s">
        <v>78</v>
      </c>
      <c r="X245" s="3"/>
      <c r="Y245" s="3"/>
      <c r="Z245" s="3" t="s">
        <v>306</v>
      </c>
      <c r="AA245" s="3" t="s">
        <v>6002</v>
      </c>
      <c r="AB245" s="3" t="str">
        <f>"***157694**"</f>
        <v>***157694**</v>
      </c>
      <c r="AC245" s="3"/>
      <c r="AD245" s="3" t="s">
        <v>81</v>
      </c>
      <c r="AE245" s="3"/>
      <c r="AF245" s="3">
        <v>-34.936944</v>
      </c>
      <c r="AG245" s="3">
        <v>-7.189167</v>
      </c>
      <c r="AH245" s="3" t="s">
        <v>6003</v>
      </c>
      <c r="AI245" s="3"/>
      <c r="AJ245" s="3" t="s">
        <v>1178</v>
      </c>
      <c r="AK245" s="3"/>
      <c r="AL245" s="3"/>
      <c r="AM245" s="3" t="s">
        <v>65</v>
      </c>
      <c r="AN245" s="3" t="s">
        <v>296</v>
      </c>
      <c r="AO245" s="3"/>
      <c r="AP245" s="4">
        <v>44272.6563078704</v>
      </c>
      <c r="AQ245" s="3"/>
      <c r="AR245" s="3" t="s">
        <v>387</v>
      </c>
      <c r="AS245" s="3"/>
      <c r="AT245" s="4">
        <v>44281.0337152778</v>
      </c>
    </row>
    <row r="246" ht="15.75" customHeight="1">
      <c r="A246" s="3"/>
      <c r="B246" s="3" t="s">
        <v>46</v>
      </c>
      <c r="C246" s="3" t="s">
        <v>47</v>
      </c>
      <c r="D246" s="3"/>
      <c r="E246" s="3" t="s">
        <v>6004</v>
      </c>
      <c r="F246" s="3"/>
      <c r="G246" s="3" t="s">
        <v>49</v>
      </c>
      <c r="H246" s="3" t="s">
        <v>50</v>
      </c>
      <c r="I246" s="3">
        <v>1100.0</v>
      </c>
      <c r="J246" s="3"/>
      <c r="K246" s="3" t="s">
        <v>51</v>
      </c>
      <c r="L246" s="3"/>
      <c r="M246" s="3" t="s">
        <v>6005</v>
      </c>
      <c r="N246" s="3" t="s">
        <v>381</v>
      </c>
      <c r="O246" s="3" t="s">
        <v>382</v>
      </c>
      <c r="P246" s="4">
        <v>44272.6445717593</v>
      </c>
      <c r="Q246" s="3" t="s">
        <v>56</v>
      </c>
      <c r="R246" s="3"/>
      <c r="S246" s="3" t="s">
        <v>288</v>
      </c>
      <c r="T246" s="3">
        <v>2201929.0</v>
      </c>
      <c r="U246" s="3" t="s">
        <v>6006</v>
      </c>
      <c r="V246" s="3" t="s">
        <v>290</v>
      </c>
      <c r="W246" s="3" t="s">
        <v>291</v>
      </c>
      <c r="X246" s="3"/>
      <c r="Y246" s="3"/>
      <c r="Z246" s="3" t="s">
        <v>384</v>
      </c>
      <c r="AA246" s="3" t="s">
        <v>6007</v>
      </c>
      <c r="AB246" s="3" t="str">
        <f>"24435188000169"</f>
        <v>24435188000169</v>
      </c>
      <c r="AC246" s="3"/>
      <c r="AD246" s="3" t="s">
        <v>62</v>
      </c>
      <c r="AE246" s="3"/>
      <c r="AF246" s="3">
        <v>-42.758333</v>
      </c>
      <c r="AG246" s="3">
        <v>-5.062778</v>
      </c>
      <c r="AH246" s="3" t="s">
        <v>6008</v>
      </c>
      <c r="AI246" s="3"/>
      <c r="AJ246" s="3" t="s">
        <v>295</v>
      </c>
      <c r="AK246" s="3"/>
      <c r="AL246" s="3"/>
      <c r="AM246" s="3" t="s">
        <v>65</v>
      </c>
      <c r="AN246" s="3" t="s">
        <v>296</v>
      </c>
      <c r="AO246" s="3"/>
      <c r="AP246" s="4">
        <v>44272.6534259259</v>
      </c>
      <c r="AQ246" s="3"/>
      <c r="AR246" s="3" t="s">
        <v>298</v>
      </c>
      <c r="AS246" s="3"/>
      <c r="AT246" s="4">
        <v>44281.0337152778</v>
      </c>
    </row>
    <row r="247" ht="15.75" customHeight="1">
      <c r="A247" s="3"/>
      <c r="B247" s="3" t="s">
        <v>46</v>
      </c>
      <c r="C247" s="3" t="s">
        <v>47</v>
      </c>
      <c r="D247" s="3"/>
      <c r="E247" s="3" t="s">
        <v>6009</v>
      </c>
      <c r="F247" s="3"/>
      <c r="G247" s="3" t="s">
        <v>49</v>
      </c>
      <c r="H247" s="3" t="s">
        <v>72</v>
      </c>
      <c r="I247" s="3">
        <v>117726.0</v>
      </c>
      <c r="J247" s="3"/>
      <c r="K247" s="3"/>
      <c r="L247" s="3"/>
      <c r="M247" s="3" t="s">
        <v>6010</v>
      </c>
      <c r="N247" s="3" t="s">
        <v>109</v>
      </c>
      <c r="O247" s="3" t="s">
        <v>110</v>
      </c>
      <c r="P247" s="4">
        <v>44272.6253819444</v>
      </c>
      <c r="Q247" s="3" t="s">
        <v>77</v>
      </c>
      <c r="R247" s="3"/>
      <c r="S247" s="3" t="s">
        <v>1349</v>
      </c>
      <c r="T247" s="3">
        <v>1508100.0</v>
      </c>
      <c r="U247" s="3" t="s">
        <v>5107</v>
      </c>
      <c r="V247" s="3" t="s">
        <v>917</v>
      </c>
      <c r="W247" s="3" t="s">
        <v>100</v>
      </c>
      <c r="X247" s="3"/>
      <c r="Y247" s="3"/>
      <c r="Z247" s="3" t="s">
        <v>112</v>
      </c>
      <c r="AA247" s="3" t="s">
        <v>6011</v>
      </c>
      <c r="AB247" s="3" t="str">
        <f>"40080800000184"</f>
        <v>40080800000184</v>
      </c>
      <c r="AC247" s="3"/>
      <c r="AD247" s="3" t="s">
        <v>81</v>
      </c>
      <c r="AE247" s="3"/>
      <c r="AF247" s="3">
        <v>-49.685808</v>
      </c>
      <c r="AG247" s="3">
        <v>-3.733836</v>
      </c>
      <c r="AH247" s="3" t="s">
        <v>6012</v>
      </c>
      <c r="AI247" s="3"/>
      <c r="AJ247" s="3" t="s">
        <v>120</v>
      </c>
      <c r="AK247" s="3"/>
      <c r="AL247" s="3"/>
      <c r="AM247" s="3" t="s">
        <v>65</v>
      </c>
      <c r="AN247" s="3" t="s">
        <v>5110</v>
      </c>
      <c r="AO247" s="3"/>
      <c r="AP247" s="4">
        <v>44272.6913310185</v>
      </c>
      <c r="AQ247" s="3"/>
      <c r="AR247" s="3" t="s">
        <v>177</v>
      </c>
      <c r="AS247" s="3"/>
      <c r="AT247" s="4">
        <v>44281.0337152778</v>
      </c>
    </row>
    <row r="248" ht="15.75" customHeight="1">
      <c r="A248" s="3">
        <v>2044489.0</v>
      </c>
      <c r="B248" s="3" t="s">
        <v>116</v>
      </c>
      <c r="C248" s="3" t="s">
        <v>117</v>
      </c>
      <c r="D248" s="3" t="s">
        <v>46</v>
      </c>
      <c r="E248" s="3" t="s">
        <v>6013</v>
      </c>
      <c r="F248" s="3"/>
      <c r="G248" s="3" t="s">
        <v>119</v>
      </c>
      <c r="H248" s="3" t="s">
        <v>50</v>
      </c>
      <c r="I248" s="3">
        <v>6100.0</v>
      </c>
      <c r="J248" s="3"/>
      <c r="K248" s="3"/>
      <c r="L248" s="3" t="s">
        <v>175</v>
      </c>
      <c r="M248" s="3" t="s">
        <v>6014</v>
      </c>
      <c r="N248" s="3" t="s">
        <v>186</v>
      </c>
      <c r="O248" s="3" t="s">
        <v>95</v>
      </c>
      <c r="P248" s="4">
        <v>44272.625</v>
      </c>
      <c r="Q248" s="3" t="s">
        <v>56</v>
      </c>
      <c r="R248" s="5">
        <v>44282.0</v>
      </c>
      <c r="S248" s="3" t="s">
        <v>169</v>
      </c>
      <c r="T248" s="3">
        <v>5201108.0</v>
      </c>
      <c r="U248" s="3" t="s">
        <v>2007</v>
      </c>
      <c r="V248" s="3" t="s">
        <v>171</v>
      </c>
      <c r="W248" s="3" t="s">
        <v>172</v>
      </c>
      <c r="X248" s="3"/>
      <c r="Y248" s="3" t="str">
        <f>"02010000463202111"</f>
        <v>02010000463202111</v>
      </c>
      <c r="Z248" s="3" t="s">
        <v>101</v>
      </c>
      <c r="AA248" s="3" t="s">
        <v>6015</v>
      </c>
      <c r="AB248" s="3" t="str">
        <f>"***025881**"</f>
        <v>***025881**</v>
      </c>
      <c r="AC248" s="3"/>
      <c r="AD248" s="3"/>
      <c r="AE248" s="3"/>
      <c r="AF248" s="3">
        <v>-49.245278</v>
      </c>
      <c r="AG248" s="3">
        <v>-16.674167</v>
      </c>
      <c r="AH248" s="3" t="s">
        <v>6016</v>
      </c>
      <c r="AI248" s="3"/>
      <c r="AJ248" s="3" t="s">
        <v>175</v>
      </c>
      <c r="AK248" s="3"/>
      <c r="AL248" s="3" t="s">
        <v>128</v>
      </c>
      <c r="AM248" s="3" t="s">
        <v>65</v>
      </c>
      <c r="AN248" s="3" t="s">
        <v>66</v>
      </c>
      <c r="AO248" s="4">
        <v>44272.0</v>
      </c>
      <c r="AP248" s="4">
        <v>44272.7074074074</v>
      </c>
      <c r="AQ248" s="3" t="s">
        <v>132</v>
      </c>
      <c r="AR248" s="3" t="s">
        <v>531</v>
      </c>
      <c r="AS248" s="3"/>
      <c r="AT248" s="4">
        <v>44281.0337152778</v>
      </c>
    </row>
    <row r="249" ht="15.75" customHeight="1">
      <c r="A249" s="3"/>
      <c r="B249" s="3" t="s">
        <v>46</v>
      </c>
      <c r="C249" s="3" t="s">
        <v>47</v>
      </c>
      <c r="D249" s="3"/>
      <c r="E249" s="3" t="s">
        <v>6017</v>
      </c>
      <c r="F249" s="3"/>
      <c r="G249" s="3" t="s">
        <v>49</v>
      </c>
      <c r="H249" s="3" t="s">
        <v>72</v>
      </c>
      <c r="I249" s="3">
        <v>6000.0</v>
      </c>
      <c r="J249" s="3"/>
      <c r="K249" s="3"/>
      <c r="L249" s="3"/>
      <c r="M249" s="3" t="s">
        <v>6018</v>
      </c>
      <c r="N249" s="3" t="s">
        <v>109</v>
      </c>
      <c r="O249" s="3" t="s">
        <v>110</v>
      </c>
      <c r="P249" s="4">
        <v>44272.6190625</v>
      </c>
      <c r="Q249" s="3" t="s">
        <v>56</v>
      </c>
      <c r="R249" s="3"/>
      <c r="S249" s="3" t="s">
        <v>1468</v>
      </c>
      <c r="T249" s="3">
        <v>5003207.0</v>
      </c>
      <c r="U249" s="3" t="s">
        <v>2929</v>
      </c>
      <c r="V249" s="3" t="s">
        <v>1470</v>
      </c>
      <c r="W249" s="3" t="s">
        <v>1658</v>
      </c>
      <c r="X249" s="3"/>
      <c r="Y249" s="3"/>
      <c r="Z249" s="3" t="s">
        <v>112</v>
      </c>
      <c r="AA249" s="3" t="s">
        <v>6019</v>
      </c>
      <c r="AB249" s="3" t="str">
        <f>"***163701**"</f>
        <v>***163701**</v>
      </c>
      <c r="AC249" s="3"/>
      <c r="AD249" s="3" t="s">
        <v>325</v>
      </c>
      <c r="AE249" s="3"/>
      <c r="AF249" s="3">
        <v>-57.779722</v>
      </c>
      <c r="AG249" s="3">
        <v>-19.043056</v>
      </c>
      <c r="AH249" s="3" t="s">
        <v>6020</v>
      </c>
      <c r="AI249" s="3"/>
      <c r="AJ249" s="3" t="s">
        <v>1473</v>
      </c>
      <c r="AK249" s="3"/>
      <c r="AL249" s="3"/>
      <c r="AM249" s="3" t="s">
        <v>65</v>
      </c>
      <c r="AN249" s="3"/>
      <c r="AO249" s="3"/>
      <c r="AP249" s="4">
        <v>44278.7429513889</v>
      </c>
      <c r="AQ249" s="3"/>
      <c r="AR249" s="3" t="s">
        <v>991</v>
      </c>
      <c r="AS249" s="3"/>
      <c r="AT249" s="4">
        <v>44281.0337152778</v>
      </c>
    </row>
    <row r="250" ht="15.75" customHeight="1">
      <c r="A250" s="3"/>
      <c r="B250" s="3" t="s">
        <v>46</v>
      </c>
      <c r="C250" s="3" t="s">
        <v>47</v>
      </c>
      <c r="D250" s="3"/>
      <c r="E250" s="3" t="s">
        <v>6021</v>
      </c>
      <c r="F250" s="3"/>
      <c r="G250" s="3" t="s">
        <v>49</v>
      </c>
      <c r="H250" s="3" t="s">
        <v>72</v>
      </c>
      <c r="I250" s="3">
        <v>131125.75</v>
      </c>
      <c r="J250" s="3"/>
      <c r="K250" s="3"/>
      <c r="L250" s="3"/>
      <c r="M250" s="3" t="s">
        <v>6022</v>
      </c>
      <c r="N250" s="3" t="s">
        <v>109</v>
      </c>
      <c r="O250" s="3" t="s">
        <v>110</v>
      </c>
      <c r="P250" s="4">
        <v>44272.5986111111</v>
      </c>
      <c r="Q250" s="3" t="s">
        <v>137</v>
      </c>
      <c r="R250" s="3"/>
      <c r="S250" s="3" t="s">
        <v>220</v>
      </c>
      <c r="T250" s="3">
        <v>1504703.0</v>
      </c>
      <c r="U250" s="3" t="s">
        <v>1350</v>
      </c>
      <c r="V250" s="3" t="s">
        <v>917</v>
      </c>
      <c r="W250" s="3" t="s">
        <v>100</v>
      </c>
      <c r="X250" s="3"/>
      <c r="Y250" s="3"/>
      <c r="Z250" s="3" t="s">
        <v>112</v>
      </c>
      <c r="AA250" s="3" t="s">
        <v>6023</v>
      </c>
      <c r="AB250" s="3" t="str">
        <f>"08328063000183"</f>
        <v>08328063000183</v>
      </c>
      <c r="AC250" s="3"/>
      <c r="AD250" s="3" t="s">
        <v>81</v>
      </c>
      <c r="AE250" s="3"/>
      <c r="AF250" s="3">
        <v>-48.794167</v>
      </c>
      <c r="AG250" s="3">
        <v>-1.902778</v>
      </c>
      <c r="AH250" s="3" t="s">
        <v>6024</v>
      </c>
      <c r="AI250" s="3"/>
      <c r="AJ250" s="3" t="s">
        <v>1346</v>
      </c>
      <c r="AK250" s="3"/>
      <c r="AL250" s="3"/>
      <c r="AM250" s="3" t="s">
        <v>65</v>
      </c>
      <c r="AN250" s="3" t="s">
        <v>274</v>
      </c>
      <c r="AO250" s="3"/>
      <c r="AP250" s="4">
        <v>44274.68375</v>
      </c>
      <c r="AQ250" s="3"/>
      <c r="AR250" s="3" t="s">
        <v>177</v>
      </c>
      <c r="AS250" s="3"/>
      <c r="AT250" s="4">
        <v>44281.0337152778</v>
      </c>
    </row>
    <row r="251" ht="15.75" customHeight="1">
      <c r="A251" s="3">
        <v>2044602.0</v>
      </c>
      <c r="B251" s="3" t="s">
        <v>116</v>
      </c>
      <c r="C251" s="3" t="s">
        <v>117</v>
      </c>
      <c r="D251" s="3" t="s">
        <v>46</v>
      </c>
      <c r="E251" s="3" t="s">
        <v>6025</v>
      </c>
      <c r="F251" s="3"/>
      <c r="G251" s="3" t="s">
        <v>119</v>
      </c>
      <c r="H251" s="3" t="s">
        <v>72</v>
      </c>
      <c r="I251" s="3">
        <v>1500.0</v>
      </c>
      <c r="J251" s="3"/>
      <c r="K251" s="3"/>
      <c r="L251" s="3" t="s">
        <v>64</v>
      </c>
      <c r="M251" s="3" t="s">
        <v>6026</v>
      </c>
      <c r="N251" s="3" t="s">
        <v>257</v>
      </c>
      <c r="O251" s="3" t="s">
        <v>258</v>
      </c>
      <c r="P251" s="4">
        <v>44272.5833333333</v>
      </c>
      <c r="Q251" s="3" t="s">
        <v>77</v>
      </c>
      <c r="R251" s="5">
        <v>44272.0</v>
      </c>
      <c r="S251" s="3" t="s">
        <v>57</v>
      </c>
      <c r="T251" s="3">
        <v>3204302.0</v>
      </c>
      <c r="U251" s="3" t="s">
        <v>6027</v>
      </c>
      <c r="V251" s="3" t="s">
        <v>59</v>
      </c>
      <c r="W251" s="3" t="s">
        <v>78</v>
      </c>
      <c r="X251" s="3"/>
      <c r="Y251" s="3" t="str">
        <f>"02009000524202189"</f>
        <v>02009000524202189</v>
      </c>
      <c r="Z251" s="3" t="s">
        <v>260</v>
      </c>
      <c r="AA251" s="3" t="s">
        <v>6028</v>
      </c>
      <c r="AB251" s="3" t="str">
        <f>"***886577**"</f>
        <v>***886577**</v>
      </c>
      <c r="AC251" s="3"/>
      <c r="AD251" s="3"/>
      <c r="AE251" s="3"/>
      <c r="AF251" s="3">
        <v>-41.113889</v>
      </c>
      <c r="AG251" s="3">
        <v>-20.850278</v>
      </c>
      <c r="AH251" s="3" t="s">
        <v>6029</v>
      </c>
      <c r="AI251" s="3"/>
      <c r="AJ251" s="3" t="s">
        <v>64</v>
      </c>
      <c r="AK251" s="3"/>
      <c r="AL251" s="3" t="s">
        <v>128</v>
      </c>
      <c r="AM251" s="3" t="s">
        <v>65</v>
      </c>
      <c r="AN251" s="3" t="s">
        <v>83</v>
      </c>
      <c r="AO251" s="4">
        <v>44278.0</v>
      </c>
      <c r="AP251" s="4">
        <v>44278.612662037</v>
      </c>
      <c r="AQ251" s="3" t="s">
        <v>132</v>
      </c>
      <c r="AR251" s="3" t="s">
        <v>1558</v>
      </c>
      <c r="AS251" s="3"/>
      <c r="AT251" s="4">
        <v>44281.0337152778</v>
      </c>
    </row>
    <row r="252" ht="15.75" customHeight="1">
      <c r="A252" s="3"/>
      <c r="B252" s="3" t="s">
        <v>46</v>
      </c>
      <c r="C252" s="3" t="s">
        <v>47</v>
      </c>
      <c r="D252" s="3"/>
      <c r="E252" s="3" t="s">
        <v>6030</v>
      </c>
      <c r="F252" s="3"/>
      <c r="G252" s="3" t="s">
        <v>49</v>
      </c>
      <c r="H252" s="3" t="s">
        <v>72</v>
      </c>
      <c r="I252" s="3">
        <v>1000.0</v>
      </c>
      <c r="J252" s="3"/>
      <c r="K252" s="3"/>
      <c r="L252" s="3"/>
      <c r="M252" s="3" t="s">
        <v>6031</v>
      </c>
      <c r="N252" s="3" t="s">
        <v>301</v>
      </c>
      <c r="O252" s="3" t="s">
        <v>302</v>
      </c>
      <c r="P252" s="4">
        <v>44272.5539236111</v>
      </c>
      <c r="Q252" s="3" t="s">
        <v>77</v>
      </c>
      <c r="R252" s="3"/>
      <c r="S252" s="3" t="s">
        <v>1349</v>
      </c>
      <c r="T252" s="3">
        <v>1508100.0</v>
      </c>
      <c r="U252" s="3" t="s">
        <v>5107</v>
      </c>
      <c r="V252" s="3" t="s">
        <v>917</v>
      </c>
      <c r="W252" s="3" t="s">
        <v>100</v>
      </c>
      <c r="X252" s="3"/>
      <c r="Y252" s="3"/>
      <c r="Z252" s="3" t="s">
        <v>306</v>
      </c>
      <c r="AA252" s="3" t="s">
        <v>6011</v>
      </c>
      <c r="AB252" s="3" t="str">
        <f>"40080800000184"</f>
        <v>40080800000184</v>
      </c>
      <c r="AC252" s="3"/>
      <c r="AD252" s="3" t="s">
        <v>62</v>
      </c>
      <c r="AE252" s="3"/>
      <c r="AF252" s="3">
        <v>-49.685808</v>
      </c>
      <c r="AG252" s="3">
        <v>-3.733836</v>
      </c>
      <c r="AH252" s="3" t="s">
        <v>6032</v>
      </c>
      <c r="AI252" s="3"/>
      <c r="AJ252" s="3" t="s">
        <v>120</v>
      </c>
      <c r="AK252" s="3"/>
      <c r="AL252" s="3"/>
      <c r="AM252" s="3" t="s">
        <v>65</v>
      </c>
      <c r="AN252" s="3" t="s">
        <v>5110</v>
      </c>
      <c r="AO252" s="3"/>
      <c r="AP252" s="4">
        <v>44272.5702777778</v>
      </c>
      <c r="AQ252" s="3"/>
      <c r="AR252" s="3" t="s">
        <v>1663</v>
      </c>
      <c r="AS252" s="3"/>
      <c r="AT252" s="4">
        <v>44281.0337152778</v>
      </c>
    </row>
    <row r="253" ht="15.75" customHeight="1">
      <c r="A253" s="3"/>
      <c r="B253" s="3" t="s">
        <v>46</v>
      </c>
      <c r="C253" s="3" t="s">
        <v>47</v>
      </c>
      <c r="D253" s="3"/>
      <c r="E253" s="3" t="s">
        <v>6033</v>
      </c>
      <c r="F253" s="3"/>
      <c r="G253" s="3" t="s">
        <v>49</v>
      </c>
      <c r="H253" s="3" t="s">
        <v>50</v>
      </c>
      <c r="I253" s="3">
        <v>26000.0</v>
      </c>
      <c r="J253" s="3"/>
      <c r="K253" s="3" t="s">
        <v>51</v>
      </c>
      <c r="L253" s="3"/>
      <c r="M253" s="3" t="s">
        <v>6034</v>
      </c>
      <c r="N253" s="3" t="s">
        <v>109</v>
      </c>
      <c r="O253" s="3" t="s">
        <v>110</v>
      </c>
      <c r="P253" s="4">
        <v>44272.4984143519</v>
      </c>
      <c r="Q253" s="3" t="s">
        <v>56</v>
      </c>
      <c r="R253" s="5">
        <v>44272.0</v>
      </c>
      <c r="S253" s="3" t="s">
        <v>288</v>
      </c>
      <c r="T253" s="3">
        <v>2201739.0</v>
      </c>
      <c r="U253" s="3" t="s">
        <v>6035</v>
      </c>
      <c r="V253" s="3" t="s">
        <v>290</v>
      </c>
      <c r="W253" s="3" t="s">
        <v>291</v>
      </c>
      <c r="X253" s="3"/>
      <c r="Y253" s="3"/>
      <c r="Z253" s="3" t="s">
        <v>112</v>
      </c>
      <c r="AA253" s="3" t="s">
        <v>6036</v>
      </c>
      <c r="AB253" s="3" t="str">
        <f>"03734306000321"</f>
        <v>03734306000321</v>
      </c>
      <c r="AC253" s="3"/>
      <c r="AD253" s="3" t="s">
        <v>62</v>
      </c>
      <c r="AE253" s="3"/>
      <c r="AF253" s="3">
        <v>-42.824528</v>
      </c>
      <c r="AG253" s="3">
        <v>5.069917</v>
      </c>
      <c r="AH253" s="3" t="s">
        <v>6037</v>
      </c>
      <c r="AI253" s="3"/>
      <c r="AJ253" s="3" t="s">
        <v>295</v>
      </c>
      <c r="AK253" s="3"/>
      <c r="AL253" s="3"/>
      <c r="AM253" s="3" t="s">
        <v>65</v>
      </c>
      <c r="AN253" s="3" t="s">
        <v>296</v>
      </c>
      <c r="AO253" s="3"/>
      <c r="AP253" s="4">
        <v>44272.5132986111</v>
      </c>
      <c r="AQ253" s="3"/>
      <c r="AR253" s="3" t="s">
        <v>3029</v>
      </c>
      <c r="AS253" s="3"/>
      <c r="AT253" s="4">
        <v>44281.0337152778</v>
      </c>
    </row>
    <row r="254" ht="15.75" customHeight="1">
      <c r="A254" s="3"/>
      <c r="B254" s="3" t="s">
        <v>46</v>
      </c>
      <c r="C254" s="3" t="s">
        <v>47</v>
      </c>
      <c r="D254" s="3"/>
      <c r="E254" s="3" t="s">
        <v>6038</v>
      </c>
      <c r="F254" s="3"/>
      <c r="G254" s="3" t="s">
        <v>49</v>
      </c>
      <c r="H254" s="3" t="s">
        <v>72</v>
      </c>
      <c r="I254" s="3">
        <v>27900.0</v>
      </c>
      <c r="J254" s="3"/>
      <c r="K254" s="3"/>
      <c r="L254" s="3"/>
      <c r="M254" s="3" t="s">
        <v>6039</v>
      </c>
      <c r="N254" s="3" t="s">
        <v>109</v>
      </c>
      <c r="O254" s="3" t="s">
        <v>110</v>
      </c>
      <c r="P254" s="4">
        <v>44272.472650463</v>
      </c>
      <c r="Q254" s="3" t="s">
        <v>77</v>
      </c>
      <c r="R254" s="3"/>
      <c r="S254" s="3" t="s">
        <v>915</v>
      </c>
      <c r="T254" s="3">
        <v>1508100.0</v>
      </c>
      <c r="U254" s="3" t="s">
        <v>5107</v>
      </c>
      <c r="V254" s="3" t="s">
        <v>917</v>
      </c>
      <c r="W254" s="3" t="s">
        <v>100</v>
      </c>
      <c r="X254" s="3"/>
      <c r="Y254" s="3"/>
      <c r="Z254" s="3" t="s">
        <v>112</v>
      </c>
      <c r="AA254" s="3" t="s">
        <v>5333</v>
      </c>
      <c r="AB254" s="3" t="str">
        <f>"26527586000130"</f>
        <v>26527586000130</v>
      </c>
      <c r="AC254" s="3"/>
      <c r="AD254" s="3" t="s">
        <v>62</v>
      </c>
      <c r="AE254" s="3"/>
      <c r="AF254" s="3">
        <v>-49.683056</v>
      </c>
      <c r="AG254" s="3">
        <v>-3.736944</v>
      </c>
      <c r="AH254" s="3" t="s">
        <v>6040</v>
      </c>
      <c r="AI254" s="3"/>
      <c r="AJ254" s="3" t="s">
        <v>120</v>
      </c>
      <c r="AK254" s="3"/>
      <c r="AL254" s="3"/>
      <c r="AM254" s="3" t="s">
        <v>65</v>
      </c>
      <c r="AN254" s="3" t="s">
        <v>6041</v>
      </c>
      <c r="AO254" s="3"/>
      <c r="AP254" s="4">
        <v>44275.3888310185</v>
      </c>
      <c r="AQ254" s="3"/>
      <c r="AR254" s="3" t="s">
        <v>177</v>
      </c>
      <c r="AS254" s="3"/>
      <c r="AT254" s="4">
        <v>44281.0337152778</v>
      </c>
    </row>
    <row r="255" ht="15.75" customHeight="1">
      <c r="A255" s="3"/>
      <c r="B255" s="3" t="s">
        <v>46</v>
      </c>
      <c r="C255" s="3" t="s">
        <v>47</v>
      </c>
      <c r="D255" s="3"/>
      <c r="E255" s="3" t="s">
        <v>6042</v>
      </c>
      <c r="F255" s="3"/>
      <c r="G255" s="3" t="s">
        <v>49</v>
      </c>
      <c r="H255" s="3" t="s">
        <v>50</v>
      </c>
      <c r="I255" s="3">
        <v>4000.0</v>
      </c>
      <c r="J255" s="3"/>
      <c r="K255" s="3" t="s">
        <v>51</v>
      </c>
      <c r="L255" s="3"/>
      <c r="M255" s="3" t="s">
        <v>350</v>
      </c>
      <c r="N255" s="3" t="s">
        <v>94</v>
      </c>
      <c r="O255" s="3" t="s">
        <v>95</v>
      </c>
      <c r="P255" s="4">
        <v>44272.4668981482</v>
      </c>
      <c r="Q255" s="3" t="s">
        <v>56</v>
      </c>
      <c r="R255" s="5">
        <v>44272.0</v>
      </c>
      <c r="S255" s="3" t="s">
        <v>288</v>
      </c>
      <c r="T255" s="3">
        <v>2211001.0</v>
      </c>
      <c r="U255" s="3" t="s">
        <v>527</v>
      </c>
      <c r="V255" s="3" t="s">
        <v>290</v>
      </c>
      <c r="W255" s="3" t="s">
        <v>172</v>
      </c>
      <c r="X255" s="3"/>
      <c r="Y255" s="3"/>
      <c r="Z255" s="3" t="s">
        <v>101</v>
      </c>
      <c r="AA255" s="3" t="s">
        <v>6043</v>
      </c>
      <c r="AB255" s="3" t="str">
        <f>"10434715000106"</f>
        <v>10434715000106</v>
      </c>
      <c r="AC255" s="3"/>
      <c r="AD255" s="3" t="s">
        <v>62</v>
      </c>
      <c r="AE255" s="3"/>
      <c r="AF255" s="3">
        <v>-42.783889</v>
      </c>
      <c r="AG255" s="3">
        <v>-5.064722</v>
      </c>
      <c r="AH255" s="3" t="s">
        <v>1162</v>
      </c>
      <c r="AI255" s="3"/>
      <c r="AJ255" s="3" t="s">
        <v>295</v>
      </c>
      <c r="AK255" s="3"/>
      <c r="AL255" s="3"/>
      <c r="AM255" s="3" t="s">
        <v>65</v>
      </c>
      <c r="AN255" s="3" t="s">
        <v>296</v>
      </c>
      <c r="AO255" s="3"/>
      <c r="AP255" s="4">
        <v>44272.4744907407</v>
      </c>
      <c r="AQ255" s="3"/>
      <c r="AR255" s="3" t="s">
        <v>298</v>
      </c>
      <c r="AS255" s="3"/>
      <c r="AT255" s="4">
        <v>44281.0337152778</v>
      </c>
    </row>
    <row r="256" ht="15.75" customHeight="1">
      <c r="A256" s="3"/>
      <c r="B256" s="3" t="s">
        <v>46</v>
      </c>
      <c r="C256" s="3" t="s">
        <v>47</v>
      </c>
      <c r="D256" s="3"/>
      <c r="E256" s="3" t="s">
        <v>6044</v>
      </c>
      <c r="F256" s="3"/>
      <c r="G256" s="3" t="s">
        <v>49</v>
      </c>
      <c r="H256" s="3" t="s">
        <v>50</v>
      </c>
      <c r="I256" s="3">
        <v>1000.0</v>
      </c>
      <c r="J256" s="3"/>
      <c r="K256" s="3" t="s">
        <v>92</v>
      </c>
      <c r="L256" s="3"/>
      <c r="M256" s="3" t="s">
        <v>6045</v>
      </c>
      <c r="N256" s="3" t="s">
        <v>301</v>
      </c>
      <c r="O256" s="3" t="s">
        <v>302</v>
      </c>
      <c r="P256" s="4">
        <v>44272.4591666667</v>
      </c>
      <c r="Q256" s="3" t="s">
        <v>56</v>
      </c>
      <c r="R256" s="3"/>
      <c r="S256" s="3" t="s">
        <v>1513</v>
      </c>
      <c r="T256" s="3">
        <v>2800704.0</v>
      </c>
      <c r="U256" s="3" t="s">
        <v>5888</v>
      </c>
      <c r="V256" s="3" t="s">
        <v>1515</v>
      </c>
      <c r="W256" s="3" t="s">
        <v>60</v>
      </c>
      <c r="X256" s="3"/>
      <c r="Y256" s="3"/>
      <c r="Z256" s="3" t="s">
        <v>306</v>
      </c>
      <c r="AA256" s="3" t="s">
        <v>5903</v>
      </c>
      <c r="AB256" s="3" t="str">
        <f>"***505245**"</f>
        <v>***505245**</v>
      </c>
      <c r="AC256" s="3"/>
      <c r="AD256" s="3" t="s">
        <v>62</v>
      </c>
      <c r="AE256" s="3"/>
      <c r="AF256" s="3">
        <v>-36.421667</v>
      </c>
      <c r="AG256" s="3">
        <v>-10.481111</v>
      </c>
      <c r="AH256" s="3" t="s">
        <v>6046</v>
      </c>
      <c r="AI256" s="3"/>
      <c r="AJ256" s="3" t="s">
        <v>1518</v>
      </c>
      <c r="AK256" s="3"/>
      <c r="AL256" s="3"/>
      <c r="AM256" s="3" t="s">
        <v>65</v>
      </c>
      <c r="AN256" s="3"/>
      <c r="AO256" s="3"/>
      <c r="AP256" s="4">
        <v>44273.5677199074</v>
      </c>
      <c r="AQ256" s="3"/>
      <c r="AR256" s="3" t="s">
        <v>463</v>
      </c>
      <c r="AS256" s="3"/>
      <c r="AT256" s="4">
        <v>44281.0337152778</v>
      </c>
    </row>
    <row r="257" ht="15.75" customHeight="1">
      <c r="A257" s="3">
        <v>2044491.0</v>
      </c>
      <c r="B257" s="3" t="s">
        <v>116</v>
      </c>
      <c r="C257" s="3" t="s">
        <v>117</v>
      </c>
      <c r="D257" s="3" t="s">
        <v>46</v>
      </c>
      <c r="E257" s="3" t="s">
        <v>6047</v>
      </c>
      <c r="F257" s="3"/>
      <c r="G257" s="3" t="s">
        <v>119</v>
      </c>
      <c r="H257" s="3" t="s">
        <v>72</v>
      </c>
      <c r="I257" s="3">
        <v>544300.0</v>
      </c>
      <c r="J257" s="3"/>
      <c r="K257" s="3"/>
      <c r="L257" s="3" t="s">
        <v>327</v>
      </c>
      <c r="M257" s="3" t="s">
        <v>6048</v>
      </c>
      <c r="N257" s="3" t="s">
        <v>109</v>
      </c>
      <c r="O257" s="3" t="s">
        <v>110</v>
      </c>
      <c r="P257" s="4">
        <v>44272.4583333333</v>
      </c>
      <c r="Q257" s="3" t="s">
        <v>56</v>
      </c>
      <c r="R257" s="3"/>
      <c r="S257" s="3" t="s">
        <v>220</v>
      </c>
      <c r="T257" s="3">
        <v>5103254.0</v>
      </c>
      <c r="U257" s="3" t="s">
        <v>322</v>
      </c>
      <c r="V257" s="3" t="s">
        <v>323</v>
      </c>
      <c r="W257" s="3" t="s">
        <v>100</v>
      </c>
      <c r="X257" s="3"/>
      <c r="Y257" s="3" t="str">
        <f>"02013000592202189"</f>
        <v>02013000592202189</v>
      </c>
      <c r="Z257" s="3" t="s">
        <v>112</v>
      </c>
      <c r="AA257" s="3" t="s">
        <v>6049</v>
      </c>
      <c r="AB257" s="3" t="str">
        <f>"***436282**"</f>
        <v>***436282**</v>
      </c>
      <c r="AC257" s="3"/>
      <c r="AD257" s="3"/>
      <c r="AE257" s="3"/>
      <c r="AF257" s="3">
        <v>-60.536944</v>
      </c>
      <c r="AG257" s="3">
        <v>9.088333</v>
      </c>
      <c r="AH257" s="3" t="s">
        <v>6050</v>
      </c>
      <c r="AI257" s="3"/>
      <c r="AJ257" s="3" t="s">
        <v>327</v>
      </c>
      <c r="AK257" s="3"/>
      <c r="AL257" s="3" t="s">
        <v>128</v>
      </c>
      <c r="AM257" s="3" t="s">
        <v>65</v>
      </c>
      <c r="AN257" s="3"/>
      <c r="AO257" s="4">
        <v>44272.0</v>
      </c>
      <c r="AP257" s="4">
        <v>44272.780787037</v>
      </c>
      <c r="AQ257" s="3" t="s">
        <v>132</v>
      </c>
      <c r="AR257" s="3" t="s">
        <v>2082</v>
      </c>
      <c r="AS257" s="3"/>
      <c r="AT257" s="4">
        <v>44281.0337152778</v>
      </c>
    </row>
    <row r="258" ht="15.75" customHeight="1">
      <c r="A258" s="3"/>
      <c r="B258" s="3" t="s">
        <v>46</v>
      </c>
      <c r="C258" s="3" t="s">
        <v>47</v>
      </c>
      <c r="D258" s="3"/>
      <c r="E258" s="3" t="s">
        <v>6051</v>
      </c>
      <c r="F258" s="3"/>
      <c r="G258" s="3" t="s">
        <v>49</v>
      </c>
      <c r="H258" s="3" t="s">
        <v>72</v>
      </c>
      <c r="I258" s="3">
        <v>1224400.0</v>
      </c>
      <c r="J258" s="3"/>
      <c r="K258" s="3"/>
      <c r="L258" s="3"/>
      <c r="M258" s="3" t="s">
        <v>6052</v>
      </c>
      <c r="N258" s="3" t="s">
        <v>109</v>
      </c>
      <c r="O258" s="3" t="s">
        <v>110</v>
      </c>
      <c r="P258" s="4">
        <v>44272.4567939815</v>
      </c>
      <c r="Q258" s="3" t="s">
        <v>56</v>
      </c>
      <c r="R258" s="3"/>
      <c r="S258" s="3" t="s">
        <v>608</v>
      </c>
      <c r="T258" s="3">
        <v>1507953.0</v>
      </c>
      <c r="U258" s="3" t="s">
        <v>6053</v>
      </c>
      <c r="V258" s="3" t="s">
        <v>917</v>
      </c>
      <c r="W258" s="3" t="s">
        <v>100</v>
      </c>
      <c r="X258" s="3"/>
      <c r="Y258" s="3"/>
      <c r="Z258" s="3" t="s">
        <v>112</v>
      </c>
      <c r="AA258" s="3" t="s">
        <v>6054</v>
      </c>
      <c r="AB258" s="3" t="str">
        <f>"***665422**"</f>
        <v>***665422**</v>
      </c>
      <c r="AC258" s="3"/>
      <c r="AD258" s="3" t="s">
        <v>325</v>
      </c>
      <c r="AE258" s="3"/>
      <c r="AF258" s="3">
        <v>-48.864722</v>
      </c>
      <c r="AG258" s="3">
        <v>3.07</v>
      </c>
      <c r="AH258" s="3" t="s">
        <v>6055</v>
      </c>
      <c r="AI258" s="3"/>
      <c r="AJ258" s="3" t="s">
        <v>1346</v>
      </c>
      <c r="AK258" s="3"/>
      <c r="AL258" s="3"/>
      <c r="AM258" s="3" t="s">
        <v>65</v>
      </c>
      <c r="AN258" s="3"/>
      <c r="AO258" s="3"/>
      <c r="AP258" s="4">
        <v>44273.4707986111</v>
      </c>
      <c r="AQ258" s="3"/>
      <c r="AR258" s="3" t="s">
        <v>991</v>
      </c>
      <c r="AS258" s="3" t="s">
        <v>6056</v>
      </c>
      <c r="AT258" s="4">
        <v>44281.0337152778</v>
      </c>
    </row>
    <row r="259" ht="15.75" customHeight="1">
      <c r="A259" s="3"/>
      <c r="B259" s="3" t="s">
        <v>46</v>
      </c>
      <c r="C259" s="3" t="s">
        <v>47</v>
      </c>
      <c r="D259" s="3"/>
      <c r="E259" s="3" t="s">
        <v>6057</v>
      </c>
      <c r="F259" s="3"/>
      <c r="G259" s="3" t="s">
        <v>49</v>
      </c>
      <c r="H259" s="3" t="s">
        <v>72</v>
      </c>
      <c r="I259" s="3">
        <v>2200.0</v>
      </c>
      <c r="J259" s="3"/>
      <c r="K259" s="3"/>
      <c r="L259" s="3"/>
      <c r="M259" s="3" t="s">
        <v>6058</v>
      </c>
      <c r="N259" s="3" t="s">
        <v>257</v>
      </c>
      <c r="O259" s="3" t="s">
        <v>258</v>
      </c>
      <c r="P259" s="4">
        <v>44272.4528819444</v>
      </c>
      <c r="Q259" s="3" t="s">
        <v>56</v>
      </c>
      <c r="R259" s="3"/>
      <c r="S259" s="3" t="s">
        <v>169</v>
      </c>
      <c r="T259" s="3">
        <v>5300108.0</v>
      </c>
      <c r="U259" s="3" t="s">
        <v>304</v>
      </c>
      <c r="V259" s="3" t="s">
        <v>305</v>
      </c>
      <c r="W259" s="3" t="s">
        <v>172</v>
      </c>
      <c r="X259" s="3"/>
      <c r="Y259" s="3"/>
      <c r="Z259" s="3" t="s">
        <v>260</v>
      </c>
      <c r="AA259" s="3" t="s">
        <v>6059</v>
      </c>
      <c r="AB259" s="3" t="str">
        <f>"***581661**"</f>
        <v>***581661**</v>
      </c>
      <c r="AC259" s="3"/>
      <c r="AD259" s="3" t="s">
        <v>81</v>
      </c>
      <c r="AE259" s="3"/>
      <c r="AF259" s="3">
        <v>-47.993333</v>
      </c>
      <c r="AG259" s="3">
        <v>-15.780278</v>
      </c>
      <c r="AH259" s="3" t="s">
        <v>6060</v>
      </c>
      <c r="AI259" s="3"/>
      <c r="AJ259" s="3" t="s">
        <v>120</v>
      </c>
      <c r="AK259" s="3"/>
      <c r="AL259" s="3"/>
      <c r="AM259" s="3" t="s">
        <v>65</v>
      </c>
      <c r="AN259" s="3" t="s">
        <v>66</v>
      </c>
      <c r="AO259" s="3"/>
      <c r="AP259" s="4">
        <v>44273.5874189815</v>
      </c>
      <c r="AQ259" s="3"/>
      <c r="AR259" s="3" t="s">
        <v>6061</v>
      </c>
      <c r="AS259" s="3"/>
      <c r="AT259" s="4">
        <v>44281.0337152778</v>
      </c>
    </row>
    <row r="260" ht="15.75" customHeight="1">
      <c r="A260" s="3">
        <v>2044486.0</v>
      </c>
      <c r="B260" s="3" t="s">
        <v>116</v>
      </c>
      <c r="C260" s="3" t="s">
        <v>117</v>
      </c>
      <c r="D260" s="3" t="s">
        <v>46</v>
      </c>
      <c r="E260" s="3" t="s">
        <v>6062</v>
      </c>
      <c r="F260" s="3"/>
      <c r="G260" s="3" t="s">
        <v>119</v>
      </c>
      <c r="H260" s="3" t="s">
        <v>50</v>
      </c>
      <c r="I260" s="3">
        <v>1510.0</v>
      </c>
      <c r="J260" s="3"/>
      <c r="K260" s="3"/>
      <c r="L260" s="3" t="s">
        <v>142</v>
      </c>
      <c r="M260" s="3" t="s">
        <v>6063</v>
      </c>
      <c r="N260" s="3" t="s">
        <v>53</v>
      </c>
      <c r="O260" s="3" t="s">
        <v>382</v>
      </c>
      <c r="P260" s="4">
        <v>44272.3333333333</v>
      </c>
      <c r="Q260" s="3" t="s">
        <v>56</v>
      </c>
      <c r="R260" s="3"/>
      <c r="S260" s="3" t="s">
        <v>359</v>
      </c>
      <c r="T260" s="3">
        <v>3549805.0</v>
      </c>
      <c r="U260" s="3" t="s">
        <v>368</v>
      </c>
      <c r="V260" s="3" t="s">
        <v>139</v>
      </c>
      <c r="W260" s="3" t="s">
        <v>78</v>
      </c>
      <c r="X260" s="3"/>
      <c r="Y260" s="3" t="str">
        <f>"02027002784202171"</f>
        <v>02027002784202171</v>
      </c>
      <c r="Z260" s="3" t="s">
        <v>384</v>
      </c>
      <c r="AA260" s="3" t="s">
        <v>6064</v>
      </c>
      <c r="AB260" s="3" t="str">
        <f>"27571995000105"</f>
        <v>27571995000105</v>
      </c>
      <c r="AC260" s="3"/>
      <c r="AD260" s="3"/>
      <c r="AE260" s="3"/>
      <c r="AF260" s="3">
        <v>-49.355556</v>
      </c>
      <c r="AG260" s="3">
        <v>-20.791944</v>
      </c>
      <c r="AH260" s="3" t="s">
        <v>5486</v>
      </c>
      <c r="AI260" s="3"/>
      <c r="AJ260" s="3" t="s">
        <v>142</v>
      </c>
      <c r="AK260" s="3"/>
      <c r="AL260" s="3" t="s">
        <v>128</v>
      </c>
      <c r="AM260" s="3" t="s">
        <v>65</v>
      </c>
      <c r="AN260" s="3" t="s">
        <v>83</v>
      </c>
      <c r="AO260" s="4">
        <v>44272.0</v>
      </c>
      <c r="AP260" s="4">
        <v>44272.6296759259</v>
      </c>
      <c r="AQ260" s="3" t="s">
        <v>132</v>
      </c>
      <c r="AR260" s="3" t="s">
        <v>3975</v>
      </c>
      <c r="AS260" s="3"/>
      <c r="AT260" s="4">
        <v>44281.0337152778</v>
      </c>
    </row>
    <row r="261" ht="15.75" customHeight="1">
      <c r="A261" s="3">
        <v>2044487.0</v>
      </c>
      <c r="B261" s="3" t="s">
        <v>116</v>
      </c>
      <c r="C261" s="3" t="s">
        <v>117</v>
      </c>
      <c r="D261" s="3" t="s">
        <v>46</v>
      </c>
      <c r="E261" s="3" t="s">
        <v>6065</v>
      </c>
      <c r="F261" s="3"/>
      <c r="G261" s="3" t="s">
        <v>119</v>
      </c>
      <c r="H261" s="3" t="s">
        <v>50</v>
      </c>
      <c r="I261" s="3">
        <v>3100.0</v>
      </c>
      <c r="J261" s="3"/>
      <c r="K261" s="3"/>
      <c r="L261" s="3" t="s">
        <v>142</v>
      </c>
      <c r="M261" s="3" t="s">
        <v>6066</v>
      </c>
      <c r="N261" s="3" t="s">
        <v>53</v>
      </c>
      <c r="O261" s="3" t="s">
        <v>382</v>
      </c>
      <c r="P261" s="4">
        <v>44272.3333333333</v>
      </c>
      <c r="Q261" s="3" t="s">
        <v>56</v>
      </c>
      <c r="R261" s="3"/>
      <c r="S261" s="3" t="s">
        <v>280</v>
      </c>
      <c r="T261" s="3">
        <v>3549805.0</v>
      </c>
      <c r="U261" s="3" t="s">
        <v>368</v>
      </c>
      <c r="V261" s="3" t="s">
        <v>139</v>
      </c>
      <c r="W261" s="3" t="s">
        <v>78</v>
      </c>
      <c r="X261" s="3"/>
      <c r="Y261" s="3" t="str">
        <f>"02027002788202159"</f>
        <v>02027002788202159</v>
      </c>
      <c r="Z261" s="3" t="s">
        <v>384</v>
      </c>
      <c r="AA261" s="3" t="s">
        <v>6067</v>
      </c>
      <c r="AB261" s="3" t="str">
        <f>"12500952000234"</f>
        <v>12500952000234</v>
      </c>
      <c r="AC261" s="3"/>
      <c r="AD261" s="3"/>
      <c r="AE261" s="3"/>
      <c r="AF261" s="3">
        <v>-49.355556</v>
      </c>
      <c r="AG261" s="3">
        <v>-20.791944</v>
      </c>
      <c r="AH261" s="3" t="s">
        <v>5486</v>
      </c>
      <c r="AI261" s="3"/>
      <c r="AJ261" s="3" t="s">
        <v>142</v>
      </c>
      <c r="AK261" s="3"/>
      <c r="AL261" s="3" t="s">
        <v>128</v>
      </c>
      <c r="AM261" s="3" t="s">
        <v>65</v>
      </c>
      <c r="AN261" s="3" t="s">
        <v>83</v>
      </c>
      <c r="AO261" s="4">
        <v>44272.0</v>
      </c>
      <c r="AP261" s="4">
        <v>44272.6383680556</v>
      </c>
      <c r="AQ261" s="3" t="s">
        <v>132</v>
      </c>
      <c r="AR261" s="3" t="s">
        <v>3975</v>
      </c>
      <c r="AS261" s="3"/>
      <c r="AT261" s="4">
        <v>44281.0337152778</v>
      </c>
    </row>
    <row r="262" ht="15.75" customHeight="1">
      <c r="A262" s="3"/>
      <c r="B262" s="3" t="s">
        <v>46</v>
      </c>
      <c r="C262" s="3" t="s">
        <v>47</v>
      </c>
      <c r="D262" s="3"/>
      <c r="E262" s="3" t="s">
        <v>6068</v>
      </c>
      <c r="F262" s="3"/>
      <c r="G262" s="3" t="s">
        <v>49</v>
      </c>
      <c r="H262" s="3" t="s">
        <v>50</v>
      </c>
      <c r="I262" s="3">
        <v>52500.0</v>
      </c>
      <c r="J262" s="3"/>
      <c r="K262" s="3" t="s">
        <v>92</v>
      </c>
      <c r="L262" s="3"/>
      <c r="M262" s="3" t="s">
        <v>6069</v>
      </c>
      <c r="N262" s="3" t="s">
        <v>186</v>
      </c>
      <c r="O262" s="3" t="s">
        <v>187</v>
      </c>
      <c r="P262" s="4">
        <v>44272.2502893519</v>
      </c>
      <c r="Q262" s="3" t="s">
        <v>56</v>
      </c>
      <c r="R262" s="3"/>
      <c r="S262" s="3" t="s">
        <v>169</v>
      </c>
      <c r="T262" s="3">
        <v>5300108.0</v>
      </c>
      <c r="U262" s="3" t="s">
        <v>304</v>
      </c>
      <c r="V262" s="3" t="s">
        <v>305</v>
      </c>
      <c r="W262" s="3" t="s">
        <v>172</v>
      </c>
      <c r="X262" s="3"/>
      <c r="Y262" s="3"/>
      <c r="Z262" s="3"/>
      <c r="AA262" s="3" t="s">
        <v>6070</v>
      </c>
      <c r="AB262" s="3" t="str">
        <f>"10339176000126"</f>
        <v>10339176000126</v>
      </c>
      <c r="AC262" s="3"/>
      <c r="AD262" s="3" t="s">
        <v>81</v>
      </c>
      <c r="AE262" s="3"/>
      <c r="AF262" s="3">
        <v>-48.016944</v>
      </c>
      <c r="AG262" s="3">
        <v>-15.840278</v>
      </c>
      <c r="AH262" s="3" t="s">
        <v>6071</v>
      </c>
      <c r="AI262" s="3"/>
      <c r="AJ262" s="3" t="s">
        <v>120</v>
      </c>
      <c r="AK262" s="3"/>
      <c r="AL262" s="3"/>
      <c r="AM262" s="3" t="s">
        <v>65</v>
      </c>
      <c r="AN262" s="3" t="s">
        <v>66</v>
      </c>
      <c r="AO262" s="3"/>
      <c r="AP262" s="4">
        <v>44272.3685185185</v>
      </c>
      <c r="AQ262" s="3"/>
      <c r="AR262" s="3" t="s">
        <v>106</v>
      </c>
      <c r="AS262" s="3"/>
      <c r="AT262" s="4">
        <v>44281.0337152778</v>
      </c>
    </row>
    <row r="263" ht="15.75" customHeight="1">
      <c r="A263" s="3"/>
      <c r="B263" s="3" t="s">
        <v>46</v>
      </c>
      <c r="C263" s="3" t="s">
        <v>47</v>
      </c>
      <c r="D263" s="3"/>
      <c r="E263" s="3" t="s">
        <v>6072</v>
      </c>
      <c r="F263" s="3"/>
      <c r="G263" s="3" t="s">
        <v>49</v>
      </c>
      <c r="H263" s="3" t="s">
        <v>50</v>
      </c>
      <c r="I263" s="3">
        <v>101700.0</v>
      </c>
      <c r="J263" s="3"/>
      <c r="K263" s="3" t="s">
        <v>92</v>
      </c>
      <c r="L263" s="3"/>
      <c r="M263" s="3" t="s">
        <v>6073</v>
      </c>
      <c r="N263" s="3" t="s">
        <v>74</v>
      </c>
      <c r="O263" s="3" t="s">
        <v>75</v>
      </c>
      <c r="P263" s="4">
        <v>44272.1086458333</v>
      </c>
      <c r="Q263" s="3" t="s">
        <v>77</v>
      </c>
      <c r="R263" s="3"/>
      <c r="S263" s="3" t="s">
        <v>400</v>
      </c>
      <c r="T263" s="3">
        <v>4303509.0</v>
      </c>
      <c r="U263" s="3" t="s">
        <v>2354</v>
      </c>
      <c r="V263" s="3" t="s">
        <v>402</v>
      </c>
      <c r="W263" s="3" t="s">
        <v>78</v>
      </c>
      <c r="X263" s="3"/>
      <c r="Y263" s="3"/>
      <c r="Z263" s="3" t="s">
        <v>79</v>
      </c>
      <c r="AA263" s="3" t="s">
        <v>6074</v>
      </c>
      <c r="AB263" s="3" t="str">
        <f>"***742209**"</f>
        <v>***742209**</v>
      </c>
      <c r="AC263" s="3"/>
      <c r="AD263" s="3" t="s">
        <v>81</v>
      </c>
      <c r="AE263" s="3"/>
      <c r="AF263" s="3">
        <v>-51.798611</v>
      </c>
      <c r="AG263" s="3">
        <v>-30.861944</v>
      </c>
      <c r="AH263" s="3" t="s">
        <v>6075</v>
      </c>
      <c r="AI263" s="3"/>
      <c r="AJ263" s="3" t="s">
        <v>405</v>
      </c>
      <c r="AK263" s="3"/>
      <c r="AL263" s="3"/>
      <c r="AM263" s="3" t="s">
        <v>65</v>
      </c>
      <c r="AN263" s="3" t="s">
        <v>1044</v>
      </c>
      <c r="AO263" s="3"/>
      <c r="AP263" s="4">
        <v>44272.1288078704</v>
      </c>
      <c r="AQ263" s="3"/>
      <c r="AR263" s="3" t="s">
        <v>502</v>
      </c>
      <c r="AS263" s="3" t="s">
        <v>6076</v>
      </c>
      <c r="AT263" s="4">
        <v>44281.0337152778</v>
      </c>
    </row>
    <row r="264" ht="15.75" customHeight="1">
      <c r="A264" s="3"/>
      <c r="B264" s="3" t="s">
        <v>46</v>
      </c>
      <c r="C264" s="3" t="s">
        <v>47</v>
      </c>
      <c r="D264" s="3"/>
      <c r="E264" s="3" t="s">
        <v>6077</v>
      </c>
      <c r="F264" s="3"/>
      <c r="G264" s="3" t="s">
        <v>49</v>
      </c>
      <c r="H264" s="3" t="s">
        <v>50</v>
      </c>
      <c r="I264" s="3">
        <v>31700.0</v>
      </c>
      <c r="J264" s="3"/>
      <c r="K264" s="3" t="s">
        <v>92</v>
      </c>
      <c r="L264" s="3"/>
      <c r="M264" s="3" t="s">
        <v>6078</v>
      </c>
      <c r="N264" s="3" t="s">
        <v>74</v>
      </c>
      <c r="O264" s="3" t="s">
        <v>75</v>
      </c>
      <c r="P264" s="4">
        <v>44272.0111921296</v>
      </c>
      <c r="Q264" s="3" t="s">
        <v>77</v>
      </c>
      <c r="R264" s="3"/>
      <c r="S264" s="3" t="s">
        <v>400</v>
      </c>
      <c r="T264" s="3">
        <v>4303509.0</v>
      </c>
      <c r="U264" s="3" t="s">
        <v>2354</v>
      </c>
      <c r="V264" s="3" t="s">
        <v>402</v>
      </c>
      <c r="W264" s="3" t="s">
        <v>78</v>
      </c>
      <c r="X264" s="3"/>
      <c r="Y264" s="3"/>
      <c r="Z264" s="3" t="s">
        <v>79</v>
      </c>
      <c r="AA264" s="3" t="s">
        <v>6079</v>
      </c>
      <c r="AB264" s="3" t="str">
        <f>"***833960**"</f>
        <v>***833960**</v>
      </c>
      <c r="AC264" s="3"/>
      <c r="AD264" s="3" t="s">
        <v>81</v>
      </c>
      <c r="AE264" s="3"/>
      <c r="AF264" s="3">
        <v>-51.792778</v>
      </c>
      <c r="AG264" s="3">
        <v>-30.857222</v>
      </c>
      <c r="AH264" s="3" t="s">
        <v>6080</v>
      </c>
      <c r="AI264" s="3"/>
      <c r="AJ264" s="3" t="s">
        <v>405</v>
      </c>
      <c r="AK264" s="3"/>
      <c r="AL264" s="3"/>
      <c r="AM264" s="3" t="s">
        <v>65</v>
      </c>
      <c r="AN264" s="3" t="s">
        <v>1044</v>
      </c>
      <c r="AO264" s="3"/>
      <c r="AP264" s="4">
        <v>44272.0315046296</v>
      </c>
      <c r="AQ264" s="3"/>
      <c r="AR264" s="3" t="s">
        <v>502</v>
      </c>
      <c r="AS264" s="3" t="s">
        <v>2777</v>
      </c>
      <c r="AT264" s="4">
        <v>44281.0337152778</v>
      </c>
    </row>
    <row r="265" ht="15.75" customHeight="1">
      <c r="A265" s="3"/>
      <c r="B265" s="3" t="s">
        <v>46</v>
      </c>
      <c r="C265" s="3" t="s">
        <v>47</v>
      </c>
      <c r="D265" s="3"/>
      <c r="E265" s="3" t="s">
        <v>6081</v>
      </c>
      <c r="F265" s="3"/>
      <c r="G265" s="3" t="s">
        <v>49</v>
      </c>
      <c r="H265" s="3" t="s">
        <v>50</v>
      </c>
      <c r="I265" s="3">
        <v>1000.0</v>
      </c>
      <c r="J265" s="3"/>
      <c r="K265" s="3" t="s">
        <v>51</v>
      </c>
      <c r="L265" s="3"/>
      <c r="M265" s="3" t="s">
        <v>6082</v>
      </c>
      <c r="N265" s="3" t="s">
        <v>285</v>
      </c>
      <c r="O265" s="3" t="s">
        <v>286</v>
      </c>
      <c r="P265" s="4">
        <v>44271.9630555556</v>
      </c>
      <c r="Q265" s="3" t="s">
        <v>56</v>
      </c>
      <c r="R265" s="3"/>
      <c r="S265" s="3" t="s">
        <v>1468</v>
      </c>
      <c r="T265" s="3">
        <v>5003702.0</v>
      </c>
      <c r="U265" s="3" t="s">
        <v>4318</v>
      </c>
      <c r="V265" s="3" t="s">
        <v>1470</v>
      </c>
      <c r="W265" s="3" t="s">
        <v>78</v>
      </c>
      <c r="X265" s="3"/>
      <c r="Y265" s="3"/>
      <c r="Z265" s="3" t="s">
        <v>292</v>
      </c>
      <c r="AA265" s="3" t="s">
        <v>6083</v>
      </c>
      <c r="AB265" s="3" t="str">
        <f>"***237468**"</f>
        <v>***237468**</v>
      </c>
      <c r="AC265" s="3"/>
      <c r="AD265" s="3" t="s">
        <v>81</v>
      </c>
      <c r="AE265" s="3"/>
      <c r="AF265" s="3">
        <v>-54.821944</v>
      </c>
      <c r="AG265" s="3">
        <v>-22.225556</v>
      </c>
      <c r="AH265" s="3" t="s">
        <v>6084</v>
      </c>
      <c r="AI265" s="3"/>
      <c r="AJ265" s="3" t="s">
        <v>1473</v>
      </c>
      <c r="AK265" s="3"/>
      <c r="AL265" s="3"/>
      <c r="AM265" s="3" t="s">
        <v>65</v>
      </c>
      <c r="AN265" s="3"/>
      <c r="AO265" s="3"/>
      <c r="AP265" s="4">
        <v>44271.9689699074</v>
      </c>
      <c r="AQ265" s="3"/>
      <c r="AR265" s="3" t="s">
        <v>298</v>
      </c>
      <c r="AS265" s="3"/>
      <c r="AT265" s="4">
        <v>44281.0337152778</v>
      </c>
    </row>
    <row r="266" ht="15.75" customHeight="1">
      <c r="A266" s="3"/>
      <c r="B266" s="3" t="s">
        <v>46</v>
      </c>
      <c r="C266" s="3" t="s">
        <v>47</v>
      </c>
      <c r="D266" s="3"/>
      <c r="E266" s="3" t="s">
        <v>6085</v>
      </c>
      <c r="F266" s="3"/>
      <c r="G266" s="3" t="s">
        <v>49</v>
      </c>
      <c r="H266" s="3" t="s">
        <v>50</v>
      </c>
      <c r="I266" s="3">
        <v>1000.0</v>
      </c>
      <c r="J266" s="3"/>
      <c r="K266" s="3" t="s">
        <v>51</v>
      </c>
      <c r="L266" s="3"/>
      <c r="M266" s="3" t="s">
        <v>6086</v>
      </c>
      <c r="N266" s="3" t="s">
        <v>285</v>
      </c>
      <c r="O266" s="3" t="s">
        <v>286</v>
      </c>
      <c r="P266" s="4">
        <v>44271.9504050926</v>
      </c>
      <c r="Q266" s="3" t="s">
        <v>56</v>
      </c>
      <c r="R266" s="3"/>
      <c r="S266" s="3" t="s">
        <v>1468</v>
      </c>
      <c r="T266" s="3">
        <v>5003702.0</v>
      </c>
      <c r="U266" s="3" t="s">
        <v>4318</v>
      </c>
      <c r="V266" s="3" t="s">
        <v>1470</v>
      </c>
      <c r="W266" s="3" t="s">
        <v>78</v>
      </c>
      <c r="X266" s="3"/>
      <c r="Y266" s="3"/>
      <c r="Z266" s="3" t="s">
        <v>292</v>
      </c>
      <c r="AA266" s="3" t="s">
        <v>6087</v>
      </c>
      <c r="AB266" s="3" t="str">
        <f>"***034699**"</f>
        <v>***034699**</v>
      </c>
      <c r="AC266" s="3"/>
      <c r="AD266" s="3" t="s">
        <v>81</v>
      </c>
      <c r="AE266" s="3"/>
      <c r="AF266" s="3">
        <v>-54.821944</v>
      </c>
      <c r="AG266" s="3">
        <v>-22.225556</v>
      </c>
      <c r="AH266" s="3" t="s">
        <v>6088</v>
      </c>
      <c r="AI266" s="3"/>
      <c r="AJ266" s="3" t="s">
        <v>1473</v>
      </c>
      <c r="AK266" s="3"/>
      <c r="AL266" s="3"/>
      <c r="AM266" s="3" t="s">
        <v>65</v>
      </c>
      <c r="AN266" s="3"/>
      <c r="AO266" s="3"/>
      <c r="AP266" s="4">
        <v>44271.9565162037</v>
      </c>
      <c r="AQ266" s="3"/>
      <c r="AR266" s="3" t="s">
        <v>298</v>
      </c>
      <c r="AS266" s="3"/>
      <c r="AT266" s="4">
        <v>44281.0337152778</v>
      </c>
    </row>
    <row r="267" ht="15.75" customHeight="1">
      <c r="A267" s="3">
        <v>2044474.0</v>
      </c>
      <c r="B267" s="3" t="s">
        <v>116</v>
      </c>
      <c r="C267" s="3" t="s">
        <v>117</v>
      </c>
      <c r="D267" s="3" t="s">
        <v>46</v>
      </c>
      <c r="E267" s="3" t="s">
        <v>6089</v>
      </c>
      <c r="F267" s="3"/>
      <c r="G267" s="3" t="s">
        <v>119</v>
      </c>
      <c r="H267" s="3" t="s">
        <v>50</v>
      </c>
      <c r="I267" s="3">
        <v>9000.0</v>
      </c>
      <c r="J267" s="3"/>
      <c r="K267" s="3"/>
      <c r="L267" s="3" t="s">
        <v>485</v>
      </c>
      <c r="M267" s="3" t="s">
        <v>6090</v>
      </c>
      <c r="N267" s="3" t="s">
        <v>285</v>
      </c>
      <c r="O267" s="3" t="s">
        <v>286</v>
      </c>
      <c r="P267" s="4">
        <v>44271.9166666667</v>
      </c>
      <c r="Q267" s="3" t="s">
        <v>56</v>
      </c>
      <c r="R267" s="3"/>
      <c r="S267" s="3" t="s">
        <v>488</v>
      </c>
      <c r="T267" s="3">
        <v>1700400.0</v>
      </c>
      <c r="U267" s="3" t="s">
        <v>6091</v>
      </c>
      <c r="V267" s="3" t="s">
        <v>490</v>
      </c>
      <c r="W267" s="3" t="s">
        <v>172</v>
      </c>
      <c r="X267" s="3"/>
      <c r="Y267" s="3" t="str">
        <f>"02029000302202128"</f>
        <v>02029000302202128</v>
      </c>
      <c r="Z267" s="3" t="s">
        <v>292</v>
      </c>
      <c r="AA267" s="3" t="s">
        <v>6092</v>
      </c>
      <c r="AB267" s="3" t="str">
        <f>"33307505000152"</f>
        <v>33307505000152</v>
      </c>
      <c r="AC267" s="3"/>
      <c r="AD267" s="3"/>
      <c r="AE267" s="3"/>
      <c r="AF267" s="3">
        <v>-47.165833</v>
      </c>
      <c r="AG267" s="3">
        <v>-11.563333</v>
      </c>
      <c r="AH267" s="3" t="s">
        <v>6093</v>
      </c>
      <c r="AI267" s="3"/>
      <c r="AJ267" s="3" t="s">
        <v>485</v>
      </c>
      <c r="AK267" s="3"/>
      <c r="AL267" s="3" t="s">
        <v>128</v>
      </c>
      <c r="AM267" s="3" t="s">
        <v>65</v>
      </c>
      <c r="AN267" s="3" t="s">
        <v>296</v>
      </c>
      <c r="AO267" s="4">
        <v>44272.0</v>
      </c>
      <c r="AP267" s="4">
        <v>44272.3874884259</v>
      </c>
      <c r="AQ267" s="3" t="s">
        <v>132</v>
      </c>
      <c r="AR267" s="3" t="s">
        <v>531</v>
      </c>
      <c r="AS267" s="3"/>
      <c r="AT267" s="4">
        <v>44281.0337152778</v>
      </c>
    </row>
    <row r="268" ht="15.75" customHeight="1">
      <c r="A268" s="3"/>
      <c r="B268" s="3" t="s">
        <v>46</v>
      </c>
      <c r="C268" s="3" t="s">
        <v>47</v>
      </c>
      <c r="D268" s="3"/>
      <c r="E268" s="3" t="s">
        <v>6094</v>
      </c>
      <c r="F268" s="3"/>
      <c r="G268" s="3" t="s">
        <v>49</v>
      </c>
      <c r="H268" s="3" t="s">
        <v>50</v>
      </c>
      <c r="I268" s="3">
        <v>61700.0</v>
      </c>
      <c r="J268" s="3"/>
      <c r="K268" s="3" t="s">
        <v>92</v>
      </c>
      <c r="L268" s="3"/>
      <c r="M268" s="3" t="s">
        <v>6095</v>
      </c>
      <c r="N268" s="3" t="s">
        <v>74</v>
      </c>
      <c r="O268" s="3" t="s">
        <v>75</v>
      </c>
      <c r="P268" s="4">
        <v>44271.9118981482</v>
      </c>
      <c r="Q268" s="3" t="s">
        <v>77</v>
      </c>
      <c r="R268" s="3"/>
      <c r="S268" s="3" t="s">
        <v>400</v>
      </c>
      <c r="T268" s="3">
        <v>4303509.0</v>
      </c>
      <c r="U268" s="3" t="s">
        <v>2354</v>
      </c>
      <c r="V268" s="3" t="s">
        <v>402</v>
      </c>
      <c r="W268" s="3" t="s">
        <v>78</v>
      </c>
      <c r="X268" s="3"/>
      <c r="Y268" s="3"/>
      <c r="Z268" s="3" t="s">
        <v>79</v>
      </c>
      <c r="AA268" s="3" t="s">
        <v>6096</v>
      </c>
      <c r="AB268" s="3" t="str">
        <f>"***405240**"</f>
        <v>***405240**</v>
      </c>
      <c r="AC268" s="3"/>
      <c r="AD268" s="3" t="s">
        <v>81</v>
      </c>
      <c r="AE268" s="3"/>
      <c r="AF268" s="3">
        <v>-51.790556</v>
      </c>
      <c r="AG268" s="3">
        <v>-30.858056</v>
      </c>
      <c r="AH268" s="3" t="s">
        <v>6097</v>
      </c>
      <c r="AI268" s="3"/>
      <c r="AJ268" s="3" t="s">
        <v>405</v>
      </c>
      <c r="AK268" s="3"/>
      <c r="AL268" s="3"/>
      <c r="AM268" s="3" t="s">
        <v>65</v>
      </c>
      <c r="AN268" s="3" t="s">
        <v>1044</v>
      </c>
      <c r="AO268" s="3"/>
      <c r="AP268" s="4">
        <v>44271.9288194444</v>
      </c>
      <c r="AQ268" s="3"/>
      <c r="AR268" s="3" t="s">
        <v>502</v>
      </c>
      <c r="AS268" s="3" t="s">
        <v>5767</v>
      </c>
      <c r="AT268" s="4">
        <v>44281.0337152778</v>
      </c>
    </row>
    <row r="269" ht="15.75" customHeight="1">
      <c r="A269" s="3"/>
      <c r="B269" s="3" t="s">
        <v>46</v>
      </c>
      <c r="C269" s="3" t="s">
        <v>47</v>
      </c>
      <c r="D269" s="3"/>
      <c r="E269" s="3" t="s">
        <v>6098</v>
      </c>
      <c r="F269" s="3"/>
      <c r="G269" s="3" t="s">
        <v>49</v>
      </c>
      <c r="H269" s="3" t="s">
        <v>72</v>
      </c>
      <c r="I269" s="3">
        <v>4200.0</v>
      </c>
      <c r="J269" s="3"/>
      <c r="K269" s="3"/>
      <c r="L269" s="3"/>
      <c r="M269" s="3" t="s">
        <v>6099</v>
      </c>
      <c r="N269" s="3" t="s">
        <v>109</v>
      </c>
      <c r="O269" s="3" t="s">
        <v>110</v>
      </c>
      <c r="P269" s="4">
        <v>44271.8240972222</v>
      </c>
      <c r="Q269" s="3" t="s">
        <v>77</v>
      </c>
      <c r="R269" s="3"/>
      <c r="S269" s="3" t="s">
        <v>1639</v>
      </c>
      <c r="T269" s="3">
        <v>5106190.0</v>
      </c>
      <c r="U269" s="3" t="s">
        <v>6100</v>
      </c>
      <c r="V269" s="3" t="s">
        <v>323</v>
      </c>
      <c r="W269" s="3" t="s">
        <v>100</v>
      </c>
      <c r="X269" s="3"/>
      <c r="Y269" s="3"/>
      <c r="Z269" s="3" t="s">
        <v>112</v>
      </c>
      <c r="AA269" s="3" t="s">
        <v>6101</v>
      </c>
      <c r="AB269" s="3" t="str">
        <f>"***607701**"</f>
        <v>***607701**</v>
      </c>
      <c r="AC269" s="3"/>
      <c r="AD269" s="3" t="s">
        <v>81</v>
      </c>
      <c r="AE269" s="3"/>
      <c r="AF269" s="3">
        <v>-54.8875</v>
      </c>
      <c r="AG269" s="3">
        <v>-11.218611</v>
      </c>
      <c r="AH269" s="3" t="s">
        <v>6102</v>
      </c>
      <c r="AI269" s="3"/>
      <c r="AJ269" s="3" t="s">
        <v>327</v>
      </c>
      <c r="AK269" s="3"/>
      <c r="AL269" s="3"/>
      <c r="AM269" s="3" t="s">
        <v>65</v>
      </c>
      <c r="AN269" s="3" t="s">
        <v>328</v>
      </c>
      <c r="AO269" s="3"/>
      <c r="AP269" s="4">
        <v>44271.8385763889</v>
      </c>
      <c r="AQ269" s="3"/>
      <c r="AR269" s="3" t="s">
        <v>177</v>
      </c>
      <c r="AS269" s="3"/>
      <c r="AT269" s="4">
        <v>44281.0337152778</v>
      </c>
    </row>
    <row r="270" ht="15.75" customHeight="1">
      <c r="A270" s="3"/>
      <c r="B270" s="3" t="s">
        <v>46</v>
      </c>
      <c r="C270" s="3" t="s">
        <v>47</v>
      </c>
      <c r="D270" s="3"/>
      <c r="E270" s="3" t="s">
        <v>6103</v>
      </c>
      <c r="F270" s="3"/>
      <c r="G270" s="3" t="s">
        <v>49</v>
      </c>
      <c r="H270" s="3" t="s">
        <v>72</v>
      </c>
      <c r="I270" s="3">
        <v>46750.0</v>
      </c>
      <c r="J270" s="3"/>
      <c r="K270" s="3"/>
      <c r="L270" s="3"/>
      <c r="M270" s="3" t="s">
        <v>6104</v>
      </c>
      <c r="N270" s="3" t="s">
        <v>109</v>
      </c>
      <c r="O270" s="3" t="s">
        <v>110</v>
      </c>
      <c r="P270" s="4">
        <v>44271.8016203704</v>
      </c>
      <c r="Q270" s="3" t="s">
        <v>56</v>
      </c>
      <c r="R270" s="3"/>
      <c r="S270" s="3" t="s">
        <v>1468</v>
      </c>
      <c r="T270" s="3">
        <v>5003207.0</v>
      </c>
      <c r="U270" s="3" t="s">
        <v>2929</v>
      </c>
      <c r="V270" s="3" t="s">
        <v>1470</v>
      </c>
      <c r="W270" s="3" t="s">
        <v>1658</v>
      </c>
      <c r="X270" s="3"/>
      <c r="Y270" s="3"/>
      <c r="Z270" s="3" t="s">
        <v>112</v>
      </c>
      <c r="AA270" s="3" t="s">
        <v>6105</v>
      </c>
      <c r="AB270" s="3" t="str">
        <f>"***819698**"</f>
        <v>***819698**</v>
      </c>
      <c r="AC270" s="3"/>
      <c r="AD270" s="3" t="s">
        <v>325</v>
      </c>
      <c r="AE270" s="3"/>
      <c r="AF270" s="3">
        <v>-57.793333</v>
      </c>
      <c r="AG270" s="3">
        <v>-19.128333</v>
      </c>
      <c r="AH270" s="3" t="s">
        <v>6106</v>
      </c>
      <c r="AI270" s="3"/>
      <c r="AJ270" s="3" t="s">
        <v>1473</v>
      </c>
      <c r="AK270" s="3"/>
      <c r="AL270" s="3"/>
      <c r="AM270" s="3" t="s">
        <v>65</v>
      </c>
      <c r="AN270" s="3"/>
      <c r="AO270" s="3"/>
      <c r="AP270" s="4">
        <v>44278.743900463</v>
      </c>
      <c r="AQ270" s="3"/>
      <c r="AR270" s="3" t="s">
        <v>991</v>
      </c>
      <c r="AS270" s="3"/>
      <c r="AT270" s="4">
        <v>44281.0337152778</v>
      </c>
    </row>
    <row r="271" ht="15.75" customHeight="1">
      <c r="A271" s="3">
        <v>2044492.0</v>
      </c>
      <c r="B271" s="3" t="s">
        <v>116</v>
      </c>
      <c r="C271" s="3" t="s">
        <v>117</v>
      </c>
      <c r="D271" s="3" t="s">
        <v>46</v>
      </c>
      <c r="E271" s="3" t="s">
        <v>6107</v>
      </c>
      <c r="F271" s="3"/>
      <c r="G271" s="3" t="s">
        <v>119</v>
      </c>
      <c r="H271" s="3" t="s">
        <v>50</v>
      </c>
      <c r="I271" s="3">
        <v>1300.0</v>
      </c>
      <c r="J271" s="3"/>
      <c r="K271" s="3"/>
      <c r="L271" s="3" t="s">
        <v>405</v>
      </c>
      <c r="M271" s="3" t="s">
        <v>6108</v>
      </c>
      <c r="N271" s="3" t="s">
        <v>74</v>
      </c>
      <c r="O271" s="3" t="s">
        <v>75</v>
      </c>
      <c r="P271" s="4">
        <v>44271.75</v>
      </c>
      <c r="Q271" s="3" t="s">
        <v>56</v>
      </c>
      <c r="R271" s="3"/>
      <c r="S271" s="3" t="s">
        <v>220</v>
      </c>
      <c r="T271" s="3">
        <v>4310330.0</v>
      </c>
      <c r="U271" s="3" t="s">
        <v>6109</v>
      </c>
      <c r="V271" s="3" t="s">
        <v>402</v>
      </c>
      <c r="W271" s="3" t="s">
        <v>60</v>
      </c>
      <c r="X271" s="3"/>
      <c r="Y271" s="3" t="str">
        <f>"02023000598202137"</f>
        <v>02023000598202137</v>
      </c>
      <c r="Z271" s="3" t="s">
        <v>79</v>
      </c>
      <c r="AA271" s="3" t="s">
        <v>6110</v>
      </c>
      <c r="AB271" s="3" t="str">
        <f>"***075200**"</f>
        <v>***075200**</v>
      </c>
      <c r="AC271" s="3"/>
      <c r="AD271" s="3"/>
      <c r="AE271" s="3"/>
      <c r="AF271" s="3">
        <v>-50.058333</v>
      </c>
      <c r="AG271" s="3">
        <v>-29.918056</v>
      </c>
      <c r="AH271" s="3" t="s">
        <v>6111</v>
      </c>
      <c r="AI271" s="3"/>
      <c r="AJ271" s="3" t="s">
        <v>405</v>
      </c>
      <c r="AK271" s="3"/>
      <c r="AL271" s="3" t="s">
        <v>128</v>
      </c>
      <c r="AM271" s="3" t="s">
        <v>65</v>
      </c>
      <c r="AN271" s="3" t="s">
        <v>159</v>
      </c>
      <c r="AO271" s="4">
        <v>44272.0</v>
      </c>
      <c r="AP271" s="4">
        <v>44272.8250462963</v>
      </c>
      <c r="AQ271" s="3" t="s">
        <v>132</v>
      </c>
      <c r="AR271" s="3" t="s">
        <v>6112</v>
      </c>
      <c r="AS271" s="3"/>
      <c r="AT271" s="4">
        <v>44281.0337152778</v>
      </c>
    </row>
    <row r="272" ht="15.75" customHeight="1">
      <c r="A272" s="3"/>
      <c r="B272" s="3" t="s">
        <v>46</v>
      </c>
      <c r="C272" s="3" t="s">
        <v>47</v>
      </c>
      <c r="D272" s="3"/>
      <c r="E272" s="3" t="s">
        <v>6113</v>
      </c>
      <c r="F272" s="3"/>
      <c r="G272" s="3" t="s">
        <v>49</v>
      </c>
      <c r="H272" s="3" t="s">
        <v>50</v>
      </c>
      <c r="I272" s="3">
        <v>1000.0</v>
      </c>
      <c r="J272" s="3"/>
      <c r="K272" s="3" t="s">
        <v>51</v>
      </c>
      <c r="L272" s="3"/>
      <c r="M272" s="3" t="s">
        <v>525</v>
      </c>
      <c r="N272" s="3" t="s">
        <v>94</v>
      </c>
      <c r="O272" s="3" t="s">
        <v>95</v>
      </c>
      <c r="P272" s="4">
        <v>44271.7371759259</v>
      </c>
      <c r="Q272" s="3" t="s">
        <v>56</v>
      </c>
      <c r="R272" s="5">
        <v>44271.0</v>
      </c>
      <c r="S272" s="3" t="s">
        <v>288</v>
      </c>
      <c r="T272" s="3">
        <v>2204600.0</v>
      </c>
      <c r="U272" s="3" t="s">
        <v>6114</v>
      </c>
      <c r="V272" s="3" t="s">
        <v>290</v>
      </c>
      <c r="W272" s="3" t="s">
        <v>172</v>
      </c>
      <c r="X272" s="3"/>
      <c r="Y272" s="3"/>
      <c r="Z272" s="3" t="s">
        <v>101</v>
      </c>
      <c r="AA272" s="3" t="s">
        <v>6115</v>
      </c>
      <c r="AB272" s="3" t="str">
        <f>"12212943000167"</f>
        <v>12212943000167</v>
      </c>
      <c r="AC272" s="3"/>
      <c r="AD272" s="3" t="s">
        <v>62</v>
      </c>
      <c r="AE272" s="3"/>
      <c r="AF272" s="3">
        <v>-42.783889</v>
      </c>
      <c r="AG272" s="3">
        <v>-5.064722</v>
      </c>
      <c r="AH272" s="3" t="s">
        <v>6116</v>
      </c>
      <c r="AI272" s="3"/>
      <c r="AJ272" s="3" t="s">
        <v>295</v>
      </c>
      <c r="AK272" s="3"/>
      <c r="AL272" s="3"/>
      <c r="AM272" s="3" t="s">
        <v>65</v>
      </c>
      <c r="AN272" s="3" t="s">
        <v>296</v>
      </c>
      <c r="AO272" s="3"/>
      <c r="AP272" s="4">
        <v>44271.7397800926</v>
      </c>
      <c r="AQ272" s="3"/>
      <c r="AR272" s="3" t="s">
        <v>298</v>
      </c>
      <c r="AS272" s="3"/>
      <c r="AT272" s="4">
        <v>44281.0337152778</v>
      </c>
    </row>
    <row r="273" ht="15.75" customHeight="1">
      <c r="A273" s="3">
        <v>2044519.0</v>
      </c>
      <c r="B273" s="3" t="s">
        <v>116</v>
      </c>
      <c r="C273" s="3" t="s">
        <v>117</v>
      </c>
      <c r="D273" s="3" t="s">
        <v>46</v>
      </c>
      <c r="E273" s="3" t="s">
        <v>6117</v>
      </c>
      <c r="F273" s="3"/>
      <c r="G273" s="3" t="s">
        <v>119</v>
      </c>
      <c r="H273" s="3" t="s">
        <v>72</v>
      </c>
      <c r="I273" s="3">
        <v>325200.0</v>
      </c>
      <c r="J273" s="3"/>
      <c r="K273" s="3"/>
      <c r="L273" s="3" t="s">
        <v>327</v>
      </c>
      <c r="M273" s="3" t="s">
        <v>6118</v>
      </c>
      <c r="N273" s="3" t="s">
        <v>109</v>
      </c>
      <c r="O273" s="3" t="s">
        <v>110</v>
      </c>
      <c r="P273" s="4">
        <v>44271.6666666667</v>
      </c>
      <c r="Q273" s="3" t="s">
        <v>56</v>
      </c>
      <c r="R273" s="3"/>
      <c r="S273" s="3" t="s">
        <v>1613</v>
      </c>
      <c r="T273" s="3">
        <v>5103254.0</v>
      </c>
      <c r="U273" s="3" t="s">
        <v>322</v>
      </c>
      <c r="V273" s="3" t="s">
        <v>323</v>
      </c>
      <c r="W273" s="3" t="s">
        <v>100</v>
      </c>
      <c r="X273" s="3"/>
      <c r="Y273" s="3" t="str">
        <f>"02013000597202110"</f>
        <v>02013000597202110</v>
      </c>
      <c r="Z273" s="3" t="s">
        <v>112</v>
      </c>
      <c r="AA273" s="3" t="s">
        <v>6119</v>
      </c>
      <c r="AB273" s="3" t="str">
        <f>"***125331**"</f>
        <v>***125331**</v>
      </c>
      <c r="AC273" s="3"/>
      <c r="AD273" s="3"/>
      <c r="AE273" s="3"/>
      <c r="AF273" s="3">
        <v>-60.408722</v>
      </c>
      <c r="AG273" s="3">
        <v>-9.186806</v>
      </c>
      <c r="AH273" s="3" t="s">
        <v>6120</v>
      </c>
      <c r="AI273" s="3"/>
      <c r="AJ273" s="3" t="s">
        <v>327</v>
      </c>
      <c r="AK273" s="3"/>
      <c r="AL273" s="3" t="s">
        <v>128</v>
      </c>
      <c r="AM273" s="3" t="s">
        <v>65</v>
      </c>
      <c r="AN273" s="3"/>
      <c r="AO273" s="4">
        <v>44273.0</v>
      </c>
      <c r="AP273" s="4">
        <v>44273.6752199074</v>
      </c>
      <c r="AQ273" s="3" t="s">
        <v>132</v>
      </c>
      <c r="AR273" s="3" t="s">
        <v>2082</v>
      </c>
      <c r="AS273" s="3"/>
      <c r="AT273" s="4">
        <v>44281.0337152778</v>
      </c>
    </row>
    <row r="274" ht="15.75" customHeight="1">
      <c r="A274" s="3">
        <v>2044473.0</v>
      </c>
      <c r="B274" s="3" t="s">
        <v>116</v>
      </c>
      <c r="C274" s="3" t="s">
        <v>117</v>
      </c>
      <c r="D274" s="3" t="s">
        <v>46</v>
      </c>
      <c r="E274" s="3" t="s">
        <v>6121</v>
      </c>
      <c r="F274" s="3"/>
      <c r="G274" s="3" t="s">
        <v>119</v>
      </c>
      <c r="H274" s="3" t="s">
        <v>50</v>
      </c>
      <c r="I274" s="3">
        <v>3000.0</v>
      </c>
      <c r="J274" s="3"/>
      <c r="K274" s="3"/>
      <c r="L274" s="3" t="s">
        <v>485</v>
      </c>
      <c r="M274" s="3" t="s">
        <v>6122</v>
      </c>
      <c r="N274" s="3" t="s">
        <v>285</v>
      </c>
      <c r="O274" s="3" t="s">
        <v>286</v>
      </c>
      <c r="P274" s="4">
        <v>44271.625</v>
      </c>
      <c r="Q274" s="3" t="s">
        <v>56</v>
      </c>
      <c r="R274" s="3"/>
      <c r="S274" s="3" t="s">
        <v>488</v>
      </c>
      <c r="T274" s="3">
        <v>1700400.0</v>
      </c>
      <c r="U274" s="3" t="s">
        <v>6091</v>
      </c>
      <c r="V274" s="3" t="s">
        <v>490</v>
      </c>
      <c r="W274" s="3" t="s">
        <v>172</v>
      </c>
      <c r="X274" s="3"/>
      <c r="Y274" s="3" t="str">
        <f>"02029000301202183"</f>
        <v>02029000301202183</v>
      </c>
      <c r="Z274" s="3" t="s">
        <v>292</v>
      </c>
      <c r="AA274" s="3" t="s">
        <v>6092</v>
      </c>
      <c r="AB274" s="3" t="str">
        <f>"33307505000152"</f>
        <v>33307505000152</v>
      </c>
      <c r="AC274" s="3"/>
      <c r="AD274" s="3"/>
      <c r="AE274" s="3"/>
      <c r="AF274" s="3">
        <v>-47.165833</v>
      </c>
      <c r="AG274" s="3">
        <v>-11.563333</v>
      </c>
      <c r="AH274" s="3" t="s">
        <v>6123</v>
      </c>
      <c r="AI274" s="3"/>
      <c r="AJ274" s="3" t="s">
        <v>485</v>
      </c>
      <c r="AK274" s="3"/>
      <c r="AL274" s="3" t="s">
        <v>128</v>
      </c>
      <c r="AM274" s="3" t="s">
        <v>65</v>
      </c>
      <c r="AN274" s="3" t="s">
        <v>296</v>
      </c>
      <c r="AO274" s="4">
        <v>44272.0</v>
      </c>
      <c r="AP274" s="4">
        <v>44272.3871759259</v>
      </c>
      <c r="AQ274" s="3" t="s">
        <v>132</v>
      </c>
      <c r="AR274" s="3" t="s">
        <v>693</v>
      </c>
      <c r="AS274" s="3"/>
      <c r="AT274" s="4">
        <v>44281.0337152778</v>
      </c>
    </row>
    <row r="275" ht="15.75" customHeight="1">
      <c r="A275" s="3"/>
      <c r="B275" s="3" t="s">
        <v>46</v>
      </c>
      <c r="C275" s="3" t="s">
        <v>47</v>
      </c>
      <c r="D275" s="3"/>
      <c r="E275" s="3" t="s">
        <v>6124</v>
      </c>
      <c r="F275" s="3"/>
      <c r="G275" s="3" t="s">
        <v>49</v>
      </c>
      <c r="H275" s="3" t="s">
        <v>72</v>
      </c>
      <c r="I275" s="3">
        <v>375000.0</v>
      </c>
      <c r="J275" s="3"/>
      <c r="K275" s="3"/>
      <c r="L275" s="3"/>
      <c r="M275" s="3" t="s">
        <v>6125</v>
      </c>
      <c r="N275" s="3" t="s">
        <v>257</v>
      </c>
      <c r="O275" s="3" t="s">
        <v>258</v>
      </c>
      <c r="P275" s="4">
        <v>44271.6147685185</v>
      </c>
      <c r="Q275" s="3" t="s">
        <v>56</v>
      </c>
      <c r="R275" s="3"/>
      <c r="S275" s="3" t="s">
        <v>400</v>
      </c>
      <c r="T275" s="3">
        <v>4315602.0</v>
      </c>
      <c r="U275" s="3" t="s">
        <v>1042</v>
      </c>
      <c r="V275" s="3" t="s">
        <v>402</v>
      </c>
      <c r="W275" s="3" t="s">
        <v>60</v>
      </c>
      <c r="X275" s="3"/>
      <c r="Y275" s="3"/>
      <c r="Z275" s="3" t="s">
        <v>260</v>
      </c>
      <c r="AA275" s="3" t="s">
        <v>6126</v>
      </c>
      <c r="AB275" s="3" t="str">
        <f>"***280110**"</f>
        <v>***280110**</v>
      </c>
      <c r="AC275" s="3"/>
      <c r="AD275" s="3" t="s">
        <v>62</v>
      </c>
      <c r="AE275" s="3"/>
      <c r="AF275" s="3">
        <v>-52.108056</v>
      </c>
      <c r="AG275" s="3">
        <v>-32.145833</v>
      </c>
      <c r="AH275" s="3" t="s">
        <v>6127</v>
      </c>
      <c r="AI275" s="3"/>
      <c r="AJ275" s="3" t="s">
        <v>405</v>
      </c>
      <c r="AK275" s="3"/>
      <c r="AL275" s="3"/>
      <c r="AM275" s="3" t="s">
        <v>65</v>
      </c>
      <c r="AN275" s="3" t="s">
        <v>83</v>
      </c>
      <c r="AO275" s="3"/>
      <c r="AP275" s="4">
        <v>44271.6742939815</v>
      </c>
      <c r="AQ275" s="3"/>
      <c r="AR275" s="3" t="s">
        <v>85</v>
      </c>
      <c r="AS275" s="3" t="s">
        <v>6128</v>
      </c>
      <c r="AT275" s="4">
        <v>44281.0337152778</v>
      </c>
    </row>
    <row r="276" ht="15.75" customHeight="1">
      <c r="A276" s="3"/>
      <c r="B276" s="3" t="s">
        <v>46</v>
      </c>
      <c r="C276" s="3" t="s">
        <v>47</v>
      </c>
      <c r="D276" s="3"/>
      <c r="E276" s="3" t="s">
        <v>6129</v>
      </c>
      <c r="F276" s="3"/>
      <c r="G276" s="3" t="s">
        <v>49</v>
      </c>
      <c r="H276" s="3" t="s">
        <v>50</v>
      </c>
      <c r="I276" s="3">
        <v>1100.0</v>
      </c>
      <c r="J276" s="3"/>
      <c r="K276" s="3" t="s">
        <v>51</v>
      </c>
      <c r="L276" s="3"/>
      <c r="M276" s="3" t="s">
        <v>6130</v>
      </c>
      <c r="N276" s="3" t="s">
        <v>285</v>
      </c>
      <c r="O276" s="3" t="s">
        <v>286</v>
      </c>
      <c r="P276" s="4">
        <v>44271.5890509259</v>
      </c>
      <c r="Q276" s="3" t="s">
        <v>56</v>
      </c>
      <c r="R276" s="3"/>
      <c r="S276" s="3" t="s">
        <v>400</v>
      </c>
      <c r="T276" s="3">
        <v>4315602.0</v>
      </c>
      <c r="U276" s="3" t="s">
        <v>1042</v>
      </c>
      <c r="V276" s="3" t="s">
        <v>402</v>
      </c>
      <c r="W276" s="3" t="s">
        <v>60</v>
      </c>
      <c r="X276" s="3"/>
      <c r="Y276" s="3"/>
      <c r="Z276" s="3" t="s">
        <v>292</v>
      </c>
      <c r="AA276" s="3" t="s">
        <v>6131</v>
      </c>
      <c r="AB276" s="3" t="str">
        <f>"94628138000183"</f>
        <v>94628138000183</v>
      </c>
      <c r="AC276" s="3"/>
      <c r="AD276" s="3" t="s">
        <v>81</v>
      </c>
      <c r="AE276" s="3"/>
      <c r="AF276" s="3">
        <v>-52.125556</v>
      </c>
      <c r="AG276" s="3">
        <v>-32.114167</v>
      </c>
      <c r="AH276" s="3" t="s">
        <v>6132</v>
      </c>
      <c r="AI276" s="3"/>
      <c r="AJ276" s="3" t="s">
        <v>405</v>
      </c>
      <c r="AK276" s="3"/>
      <c r="AL276" s="3"/>
      <c r="AM276" s="3" t="s">
        <v>65</v>
      </c>
      <c r="AN276" s="3" t="s">
        <v>1302</v>
      </c>
      <c r="AO276" s="3"/>
      <c r="AP276" s="4">
        <v>44271.5987731482</v>
      </c>
      <c r="AQ276" s="3"/>
      <c r="AR276" s="3" t="s">
        <v>298</v>
      </c>
      <c r="AS276" s="3"/>
      <c r="AT276" s="4">
        <v>44281.0337152778</v>
      </c>
    </row>
    <row r="277" ht="15.75" customHeight="1">
      <c r="A277" s="3"/>
      <c r="B277" s="3" t="s">
        <v>46</v>
      </c>
      <c r="C277" s="3" t="s">
        <v>47</v>
      </c>
      <c r="D277" s="3"/>
      <c r="E277" s="3" t="s">
        <v>6133</v>
      </c>
      <c r="F277" s="3"/>
      <c r="G277" s="3" t="s">
        <v>49</v>
      </c>
      <c r="H277" s="3" t="s">
        <v>50</v>
      </c>
      <c r="I277" s="3">
        <v>10500.0</v>
      </c>
      <c r="J277" s="3"/>
      <c r="K277" s="3" t="s">
        <v>51</v>
      </c>
      <c r="L277" s="3"/>
      <c r="M277" s="3" t="s">
        <v>5996</v>
      </c>
      <c r="N277" s="3" t="s">
        <v>53</v>
      </c>
      <c r="O277" s="3" t="s">
        <v>54</v>
      </c>
      <c r="P277" s="4">
        <v>44271.553587963</v>
      </c>
      <c r="Q277" s="3" t="s">
        <v>56</v>
      </c>
      <c r="R277" s="5">
        <v>44271.0</v>
      </c>
      <c r="S277" s="3" t="s">
        <v>1173</v>
      </c>
      <c r="T277" s="3">
        <v>2508901.0</v>
      </c>
      <c r="U277" s="3" t="s">
        <v>6134</v>
      </c>
      <c r="V277" s="3" t="s">
        <v>1175</v>
      </c>
      <c r="W277" s="3" t="s">
        <v>78</v>
      </c>
      <c r="X277" s="3"/>
      <c r="Y277" s="3"/>
      <c r="Z277" s="3"/>
      <c r="AA277" s="3" t="s">
        <v>6135</v>
      </c>
      <c r="AB277" s="3" t="str">
        <f>"82077785000165"</f>
        <v>82077785000165</v>
      </c>
      <c r="AC277" s="3"/>
      <c r="AD277" s="3" t="s">
        <v>81</v>
      </c>
      <c r="AE277" s="3"/>
      <c r="AF277" s="3">
        <v>-35.136389</v>
      </c>
      <c r="AG277" s="3">
        <v>-6.838611</v>
      </c>
      <c r="AH277" s="3" t="s">
        <v>6136</v>
      </c>
      <c r="AI277" s="3"/>
      <c r="AJ277" s="3" t="s">
        <v>1178</v>
      </c>
      <c r="AK277" s="3"/>
      <c r="AL277" s="3"/>
      <c r="AM277" s="3" t="s">
        <v>65</v>
      </c>
      <c r="AN277" s="3" t="s">
        <v>296</v>
      </c>
      <c r="AO277" s="3"/>
      <c r="AP277" s="4">
        <v>44271.5607291667</v>
      </c>
      <c r="AQ277" s="3"/>
      <c r="AR277" s="3" t="s">
        <v>387</v>
      </c>
      <c r="AS277" s="3"/>
      <c r="AT277" s="4">
        <v>44281.0337152778</v>
      </c>
    </row>
    <row r="278" ht="15.75" customHeight="1">
      <c r="A278" s="3">
        <v>2044701.0</v>
      </c>
      <c r="B278" s="3" t="s">
        <v>116</v>
      </c>
      <c r="C278" s="3" t="s">
        <v>117</v>
      </c>
      <c r="D278" s="3" t="s">
        <v>46</v>
      </c>
      <c r="E278" s="3" t="s">
        <v>6137</v>
      </c>
      <c r="F278" s="3"/>
      <c r="G278" s="3" t="s">
        <v>119</v>
      </c>
      <c r="H278" s="3" t="s">
        <v>50</v>
      </c>
      <c r="I278" s="3">
        <v>300.0</v>
      </c>
      <c r="J278" s="3"/>
      <c r="K278" s="3"/>
      <c r="L278" s="3" t="s">
        <v>405</v>
      </c>
      <c r="M278" s="3" t="s">
        <v>6138</v>
      </c>
      <c r="N278" s="3" t="s">
        <v>74</v>
      </c>
      <c r="O278" s="3" t="s">
        <v>75</v>
      </c>
      <c r="P278" s="4">
        <v>44271.5416666667</v>
      </c>
      <c r="Q278" s="3" t="s">
        <v>56</v>
      </c>
      <c r="R278" s="5">
        <v>44271.0</v>
      </c>
      <c r="S278" s="3" t="s">
        <v>400</v>
      </c>
      <c r="T278" s="3">
        <v>4321600.0</v>
      </c>
      <c r="U278" s="3" t="s">
        <v>6139</v>
      </c>
      <c r="V278" s="3" t="s">
        <v>402</v>
      </c>
      <c r="W278" s="3" t="s">
        <v>60</v>
      </c>
      <c r="X278" s="3"/>
      <c r="Y278" s="3" t="str">
        <f>"02023000642202117"</f>
        <v>02023000642202117</v>
      </c>
      <c r="Z278" s="3" t="s">
        <v>79</v>
      </c>
      <c r="AA278" s="3" t="s">
        <v>6140</v>
      </c>
      <c r="AB278" s="3" t="str">
        <f>"***266230**"</f>
        <v>***266230**</v>
      </c>
      <c r="AC278" s="3"/>
      <c r="AD278" s="3"/>
      <c r="AE278" s="3"/>
      <c r="AF278" s="3">
        <v>-50.133997</v>
      </c>
      <c r="AG278" s="3">
        <v>-30.049556</v>
      </c>
      <c r="AH278" s="3" t="s">
        <v>6141</v>
      </c>
      <c r="AI278" s="3"/>
      <c r="AJ278" s="3" t="s">
        <v>405</v>
      </c>
      <c r="AK278" s="3"/>
      <c r="AL278" s="3" t="s">
        <v>128</v>
      </c>
      <c r="AM278" s="3" t="s">
        <v>65</v>
      </c>
      <c r="AN278" s="3" t="s">
        <v>83</v>
      </c>
      <c r="AO278" s="4">
        <v>44280.0</v>
      </c>
      <c r="AP278" s="4">
        <v>44280.4620023148</v>
      </c>
      <c r="AQ278" s="3" t="s">
        <v>132</v>
      </c>
      <c r="AR278" s="3" t="s">
        <v>6112</v>
      </c>
      <c r="AS278" s="3"/>
      <c r="AT278" s="4">
        <v>44281.0337152778</v>
      </c>
    </row>
    <row r="279" ht="15.75" customHeight="1">
      <c r="A279" s="3"/>
      <c r="B279" s="3" t="s">
        <v>46</v>
      </c>
      <c r="C279" s="3" t="s">
        <v>47</v>
      </c>
      <c r="D279" s="3"/>
      <c r="E279" s="3" t="s">
        <v>6142</v>
      </c>
      <c r="F279" s="3"/>
      <c r="G279" s="3" t="s">
        <v>49</v>
      </c>
      <c r="H279" s="3" t="s">
        <v>50</v>
      </c>
      <c r="I279" s="3">
        <v>12000.0</v>
      </c>
      <c r="J279" s="3"/>
      <c r="K279" s="3" t="s">
        <v>51</v>
      </c>
      <c r="L279" s="3"/>
      <c r="M279" s="3" t="s">
        <v>6143</v>
      </c>
      <c r="N279" s="3" t="s">
        <v>53</v>
      </c>
      <c r="O279" s="3" t="s">
        <v>333</v>
      </c>
      <c r="P279" s="4">
        <v>44271.5017592593</v>
      </c>
      <c r="Q279" s="3" t="s">
        <v>77</v>
      </c>
      <c r="R279" s="3"/>
      <c r="S279" s="3" t="s">
        <v>2859</v>
      </c>
      <c r="T279" s="3">
        <v>2408003.0</v>
      </c>
      <c r="U279" s="3" t="s">
        <v>6144</v>
      </c>
      <c r="V279" s="3" t="s">
        <v>1084</v>
      </c>
      <c r="W279" s="3" t="s">
        <v>291</v>
      </c>
      <c r="X279" s="3"/>
      <c r="Y279" s="3"/>
      <c r="Z279" s="3" t="s">
        <v>223</v>
      </c>
      <c r="AA279" s="3" t="s">
        <v>6145</v>
      </c>
      <c r="AB279" s="3" t="str">
        <f>"08645423000170"</f>
        <v>08645423000170</v>
      </c>
      <c r="AC279" s="3"/>
      <c r="AD279" s="3" t="s">
        <v>81</v>
      </c>
      <c r="AE279" s="3"/>
      <c r="AF279" s="3">
        <v>-37.348889</v>
      </c>
      <c r="AG279" s="3">
        <v>-5.167778</v>
      </c>
      <c r="AH279" s="3" t="s">
        <v>6146</v>
      </c>
      <c r="AI279" s="3"/>
      <c r="AJ279" s="3" t="s">
        <v>6147</v>
      </c>
      <c r="AK279" s="3"/>
      <c r="AL279" s="3"/>
      <c r="AM279" s="3" t="s">
        <v>65</v>
      </c>
      <c r="AN279" s="3" t="s">
        <v>159</v>
      </c>
      <c r="AO279" s="3"/>
      <c r="AP279" s="4">
        <v>44271.5122453704</v>
      </c>
      <c r="AQ279" s="3"/>
      <c r="AR279" s="3" t="s">
        <v>298</v>
      </c>
      <c r="AS279" s="3"/>
      <c r="AT279" s="4">
        <v>44281.0337152778</v>
      </c>
    </row>
    <row r="280" ht="15.75" customHeight="1">
      <c r="A280" s="3">
        <v>2044659.0</v>
      </c>
      <c r="B280" s="3" t="s">
        <v>116</v>
      </c>
      <c r="C280" s="3" t="s">
        <v>117</v>
      </c>
      <c r="D280" s="3" t="s">
        <v>46</v>
      </c>
      <c r="E280" s="3" t="s">
        <v>6148</v>
      </c>
      <c r="F280" s="3"/>
      <c r="G280" s="3" t="s">
        <v>119</v>
      </c>
      <c r="H280" s="3" t="s">
        <v>50</v>
      </c>
      <c r="I280" s="3">
        <v>500.0</v>
      </c>
      <c r="J280" s="3"/>
      <c r="K280" s="3"/>
      <c r="L280" s="3" t="s">
        <v>442</v>
      </c>
      <c r="M280" s="3" t="s">
        <v>6149</v>
      </c>
      <c r="N280" s="3" t="s">
        <v>257</v>
      </c>
      <c r="O280" s="3" t="s">
        <v>258</v>
      </c>
      <c r="P280" s="4">
        <v>44271.5</v>
      </c>
      <c r="Q280" s="3" t="s">
        <v>77</v>
      </c>
      <c r="R280" s="5">
        <v>44271.0</v>
      </c>
      <c r="S280" s="3" t="s">
        <v>220</v>
      </c>
      <c r="T280" s="3">
        <v>2303501.0</v>
      </c>
      <c r="U280" s="3" t="s">
        <v>6150</v>
      </c>
      <c r="V280" s="3" t="s">
        <v>439</v>
      </c>
      <c r="W280" s="3" t="s">
        <v>60</v>
      </c>
      <c r="X280" s="3"/>
      <c r="Y280" s="3" t="str">
        <f>"02007000824202188"</f>
        <v>02007000824202188</v>
      </c>
      <c r="Z280" s="3" t="s">
        <v>260</v>
      </c>
      <c r="AA280" s="3" t="s">
        <v>6151</v>
      </c>
      <c r="AB280" s="3" t="str">
        <f>"***352813**"</f>
        <v>***352813**</v>
      </c>
      <c r="AC280" s="3"/>
      <c r="AD280" s="3"/>
      <c r="AE280" s="3"/>
      <c r="AF280" s="3">
        <v>-38.520556</v>
      </c>
      <c r="AG280" s="3">
        <v>-3.755833</v>
      </c>
      <c r="AH280" s="3" t="s">
        <v>6152</v>
      </c>
      <c r="AI280" s="3"/>
      <c r="AJ280" s="3" t="s">
        <v>442</v>
      </c>
      <c r="AK280" s="3"/>
      <c r="AL280" s="3" t="s">
        <v>128</v>
      </c>
      <c r="AM280" s="3" t="s">
        <v>65</v>
      </c>
      <c r="AN280" s="3" t="s">
        <v>159</v>
      </c>
      <c r="AO280" s="4">
        <v>44279.0</v>
      </c>
      <c r="AP280" s="4">
        <v>44279.4721875</v>
      </c>
      <c r="AQ280" s="3" t="s">
        <v>132</v>
      </c>
      <c r="AR280" s="3" t="s">
        <v>834</v>
      </c>
      <c r="AS280" s="3"/>
      <c r="AT280" s="4">
        <v>44281.0337152778</v>
      </c>
    </row>
    <row r="281" ht="15.75" customHeight="1">
      <c r="A281" s="3"/>
      <c r="B281" s="3" t="s">
        <v>46</v>
      </c>
      <c r="C281" s="3" t="s">
        <v>47</v>
      </c>
      <c r="D281" s="3"/>
      <c r="E281" s="3" t="s">
        <v>6153</v>
      </c>
      <c r="F281" s="3"/>
      <c r="G281" s="3" t="s">
        <v>49</v>
      </c>
      <c r="H281" s="3" t="s">
        <v>72</v>
      </c>
      <c r="I281" s="3">
        <v>2000.0</v>
      </c>
      <c r="J281" s="3"/>
      <c r="K281" s="3"/>
      <c r="L281" s="3"/>
      <c r="M281" s="3" t="s">
        <v>6154</v>
      </c>
      <c r="N281" s="3" t="s">
        <v>257</v>
      </c>
      <c r="O281" s="3" t="s">
        <v>258</v>
      </c>
      <c r="P281" s="4">
        <v>44271.4908101852</v>
      </c>
      <c r="Q281" s="3" t="s">
        <v>56</v>
      </c>
      <c r="R281" s="3"/>
      <c r="S281" s="3" t="s">
        <v>765</v>
      </c>
      <c r="T281" s="3">
        <v>2610707.0</v>
      </c>
      <c r="U281" s="3" t="s">
        <v>6155</v>
      </c>
      <c r="V281" s="3" t="s">
        <v>507</v>
      </c>
      <c r="W281" s="3" t="s">
        <v>78</v>
      </c>
      <c r="X281" s="3"/>
      <c r="Y281" s="3"/>
      <c r="Z281" s="3" t="s">
        <v>260</v>
      </c>
      <c r="AA281" s="3" t="s">
        <v>6156</v>
      </c>
      <c r="AB281" s="3" t="str">
        <f>"***997874**"</f>
        <v>***997874**</v>
      </c>
      <c r="AC281" s="3"/>
      <c r="AD281" s="3" t="s">
        <v>81</v>
      </c>
      <c r="AE281" s="3"/>
      <c r="AF281" s="3">
        <v>-34.837167</v>
      </c>
      <c r="AG281" s="3">
        <v>-7.894917</v>
      </c>
      <c r="AH281" s="3" t="s">
        <v>6157</v>
      </c>
      <c r="AI281" s="3"/>
      <c r="AJ281" s="3" t="s">
        <v>510</v>
      </c>
      <c r="AK281" s="3"/>
      <c r="AL281" s="3"/>
      <c r="AM281" s="3" t="s">
        <v>65</v>
      </c>
      <c r="AN281" s="3" t="s">
        <v>159</v>
      </c>
      <c r="AO281" s="3"/>
      <c r="AP281" s="4">
        <v>44271.5503356481</v>
      </c>
      <c r="AQ281" s="3"/>
      <c r="AR281" s="3" t="s">
        <v>4033</v>
      </c>
      <c r="AS281" s="3"/>
      <c r="AT281" s="4">
        <v>44281.0337152778</v>
      </c>
    </row>
    <row r="282" ht="15.75" customHeight="1">
      <c r="A282" s="3"/>
      <c r="B282" s="3" t="s">
        <v>46</v>
      </c>
      <c r="C282" s="3" t="s">
        <v>47</v>
      </c>
      <c r="D282" s="3"/>
      <c r="E282" s="3" t="s">
        <v>6158</v>
      </c>
      <c r="F282" s="3"/>
      <c r="G282" s="3" t="s">
        <v>49</v>
      </c>
      <c r="H282" s="3" t="s">
        <v>50</v>
      </c>
      <c r="I282" s="3">
        <v>10000.0</v>
      </c>
      <c r="J282" s="3"/>
      <c r="K282" s="3" t="s">
        <v>51</v>
      </c>
      <c r="L282" s="3"/>
      <c r="M282" s="3" t="s">
        <v>6159</v>
      </c>
      <c r="N282" s="3" t="s">
        <v>53</v>
      </c>
      <c r="O282" s="3" t="s">
        <v>333</v>
      </c>
      <c r="P282" s="4">
        <v>44271.4697106482</v>
      </c>
      <c r="Q282" s="3" t="s">
        <v>77</v>
      </c>
      <c r="R282" s="3"/>
      <c r="S282" s="3" t="s">
        <v>2859</v>
      </c>
      <c r="T282" s="3">
        <v>2411908.0</v>
      </c>
      <c r="U282" s="3" t="s">
        <v>6160</v>
      </c>
      <c r="V282" s="3" t="s">
        <v>1084</v>
      </c>
      <c r="W282" s="3" t="s">
        <v>291</v>
      </c>
      <c r="X282" s="3"/>
      <c r="Y282" s="3"/>
      <c r="Z282" s="3" t="s">
        <v>223</v>
      </c>
      <c r="AA282" s="3" t="s">
        <v>6161</v>
      </c>
      <c r="AB282" s="3" t="str">
        <f>"09338322000110"</f>
        <v>09338322000110</v>
      </c>
      <c r="AC282" s="3"/>
      <c r="AD282" s="3" t="s">
        <v>81</v>
      </c>
      <c r="AE282" s="3"/>
      <c r="AF282" s="3">
        <v>-37.753333</v>
      </c>
      <c r="AG282" s="3">
        <v>-4.616944</v>
      </c>
      <c r="AH282" s="3" t="s">
        <v>6162</v>
      </c>
      <c r="AI282" s="3"/>
      <c r="AJ282" s="3" t="s">
        <v>6147</v>
      </c>
      <c r="AK282" s="3"/>
      <c r="AL282" s="3"/>
      <c r="AM282" s="3" t="s">
        <v>65</v>
      </c>
      <c r="AN282" s="3" t="s">
        <v>159</v>
      </c>
      <c r="AO282" s="3"/>
      <c r="AP282" s="4">
        <v>44271.4855092593</v>
      </c>
      <c r="AQ282" s="3"/>
      <c r="AR282" s="3" t="s">
        <v>298</v>
      </c>
      <c r="AS282" s="3"/>
      <c r="AT282" s="4">
        <v>44281.0337152778</v>
      </c>
    </row>
    <row r="283" ht="15.75" customHeight="1">
      <c r="A283" s="3"/>
      <c r="B283" s="3" t="s">
        <v>46</v>
      </c>
      <c r="C283" s="3" t="s">
        <v>47</v>
      </c>
      <c r="D283" s="3"/>
      <c r="E283" s="3" t="s">
        <v>6163</v>
      </c>
      <c r="F283" s="3"/>
      <c r="G283" s="3" t="s">
        <v>49</v>
      </c>
      <c r="H283" s="3" t="s">
        <v>50</v>
      </c>
      <c r="I283" s="3">
        <v>111500.0</v>
      </c>
      <c r="J283" s="3"/>
      <c r="K283" s="3" t="s">
        <v>92</v>
      </c>
      <c r="L283" s="3"/>
      <c r="M283" s="3" t="s">
        <v>6164</v>
      </c>
      <c r="N283" s="3" t="s">
        <v>94</v>
      </c>
      <c r="O283" s="3" t="s">
        <v>95</v>
      </c>
      <c r="P283" s="4">
        <v>44271.4642592593</v>
      </c>
      <c r="Q283" s="3" t="s">
        <v>137</v>
      </c>
      <c r="R283" s="3"/>
      <c r="S283" s="3" t="s">
        <v>1639</v>
      </c>
      <c r="T283" s="3">
        <v>5108907.0</v>
      </c>
      <c r="U283" s="3" t="s">
        <v>6165</v>
      </c>
      <c r="V283" s="3" t="s">
        <v>323</v>
      </c>
      <c r="W283" s="3" t="s">
        <v>100</v>
      </c>
      <c r="X283" s="3"/>
      <c r="Y283" s="3"/>
      <c r="Z283" s="3" t="s">
        <v>101</v>
      </c>
      <c r="AA283" s="3" t="s">
        <v>6166</v>
      </c>
      <c r="AB283" s="3" t="str">
        <f>"33911071000103"</f>
        <v>33911071000103</v>
      </c>
      <c r="AC283" s="3"/>
      <c r="AD283" s="3" t="s">
        <v>62</v>
      </c>
      <c r="AE283" s="3"/>
      <c r="AF283" s="3">
        <v>-57.092833</v>
      </c>
      <c r="AG283" s="3">
        <v>-13.045917</v>
      </c>
      <c r="AH283" s="3" t="s">
        <v>6167</v>
      </c>
      <c r="AI283" s="3"/>
      <c r="AJ283" s="3" t="s">
        <v>327</v>
      </c>
      <c r="AK283" s="3"/>
      <c r="AL283" s="3"/>
      <c r="AM283" s="3" t="s">
        <v>65</v>
      </c>
      <c r="AN283" s="3" t="s">
        <v>5379</v>
      </c>
      <c r="AO283" s="3"/>
      <c r="AP283" s="4">
        <v>44271.4752777778</v>
      </c>
      <c r="AQ283" s="3"/>
      <c r="AR283" s="3" t="s">
        <v>6168</v>
      </c>
      <c r="AS283" s="3"/>
      <c r="AT283" s="4">
        <v>44281.0337152778</v>
      </c>
    </row>
    <row r="284" ht="15.75" customHeight="1">
      <c r="A284" s="3">
        <v>2044700.0</v>
      </c>
      <c r="B284" s="3" t="s">
        <v>116</v>
      </c>
      <c r="C284" s="3" t="s">
        <v>117</v>
      </c>
      <c r="D284" s="3" t="s">
        <v>46</v>
      </c>
      <c r="E284" s="3" t="s">
        <v>6169</v>
      </c>
      <c r="F284" s="3"/>
      <c r="G284" s="3" t="s">
        <v>119</v>
      </c>
      <c r="H284" s="3" t="s">
        <v>50</v>
      </c>
      <c r="I284" s="3">
        <v>700.0</v>
      </c>
      <c r="J284" s="3"/>
      <c r="K284" s="3"/>
      <c r="L284" s="3" t="s">
        <v>405</v>
      </c>
      <c r="M284" s="3" t="s">
        <v>6170</v>
      </c>
      <c r="N284" s="3" t="s">
        <v>74</v>
      </c>
      <c r="O284" s="3" t="s">
        <v>75</v>
      </c>
      <c r="P284" s="4">
        <v>44271.4583333333</v>
      </c>
      <c r="Q284" s="3" t="s">
        <v>77</v>
      </c>
      <c r="R284" s="5">
        <v>44271.0</v>
      </c>
      <c r="S284" s="3" t="s">
        <v>400</v>
      </c>
      <c r="T284" s="3">
        <v>4321600.0</v>
      </c>
      <c r="U284" s="3" t="s">
        <v>6139</v>
      </c>
      <c r="V284" s="3" t="s">
        <v>402</v>
      </c>
      <c r="W284" s="3" t="s">
        <v>60</v>
      </c>
      <c r="X284" s="3"/>
      <c r="Y284" s="3" t="str">
        <f>"02023000641202164"</f>
        <v>02023000641202164</v>
      </c>
      <c r="Z284" s="3" t="s">
        <v>79</v>
      </c>
      <c r="AA284" s="3" t="s">
        <v>6140</v>
      </c>
      <c r="AB284" s="3" t="str">
        <f>"***266230**"</f>
        <v>***266230**</v>
      </c>
      <c r="AC284" s="3"/>
      <c r="AD284" s="3"/>
      <c r="AE284" s="3"/>
      <c r="AF284" s="3">
        <v>-50.133997</v>
      </c>
      <c r="AG284" s="3">
        <v>-30.049556</v>
      </c>
      <c r="AH284" s="3" t="s">
        <v>6171</v>
      </c>
      <c r="AI284" s="3"/>
      <c r="AJ284" s="3" t="s">
        <v>405</v>
      </c>
      <c r="AK284" s="3"/>
      <c r="AL284" s="3" t="s">
        <v>128</v>
      </c>
      <c r="AM284" s="3" t="s">
        <v>65</v>
      </c>
      <c r="AN284" s="3" t="s">
        <v>83</v>
      </c>
      <c r="AO284" s="4">
        <v>44280.0</v>
      </c>
      <c r="AP284" s="4">
        <v>44280.4612384259</v>
      </c>
      <c r="AQ284" s="3" t="s">
        <v>132</v>
      </c>
      <c r="AR284" s="3" t="s">
        <v>3121</v>
      </c>
      <c r="AS284" s="3"/>
      <c r="AT284" s="4">
        <v>44281.0337152778</v>
      </c>
    </row>
    <row r="285" ht="15.75" customHeight="1">
      <c r="A285" s="3"/>
      <c r="B285" s="3" t="s">
        <v>46</v>
      </c>
      <c r="C285" s="3" t="s">
        <v>47</v>
      </c>
      <c r="D285" s="3"/>
      <c r="E285" s="3" t="s">
        <v>6172</v>
      </c>
      <c r="F285" s="3"/>
      <c r="G285" s="3" t="s">
        <v>49</v>
      </c>
      <c r="H285" s="3" t="s">
        <v>72</v>
      </c>
      <c r="I285" s="3">
        <v>16000.0</v>
      </c>
      <c r="J285" s="3"/>
      <c r="K285" s="3"/>
      <c r="L285" s="3"/>
      <c r="M285" s="3" t="s">
        <v>6173</v>
      </c>
      <c r="N285" s="3" t="s">
        <v>109</v>
      </c>
      <c r="O285" s="3" t="s">
        <v>110</v>
      </c>
      <c r="P285" s="4">
        <v>44271.4388888889</v>
      </c>
      <c r="Q285" s="3" t="s">
        <v>56</v>
      </c>
      <c r="R285" s="3"/>
      <c r="S285" s="3" t="s">
        <v>1468</v>
      </c>
      <c r="T285" s="3">
        <v>5002209.0</v>
      </c>
      <c r="U285" s="3" t="s">
        <v>4357</v>
      </c>
      <c r="V285" s="3" t="s">
        <v>1470</v>
      </c>
      <c r="W285" s="3" t="s">
        <v>172</v>
      </c>
      <c r="X285" s="3"/>
      <c r="Y285" s="3"/>
      <c r="Z285" s="3" t="s">
        <v>112</v>
      </c>
      <c r="AA285" s="3" t="s">
        <v>6174</v>
      </c>
      <c r="AB285" s="3" t="str">
        <f>"***176019**"</f>
        <v>***176019**</v>
      </c>
      <c r="AC285" s="3"/>
      <c r="AD285" s="3" t="s">
        <v>325</v>
      </c>
      <c r="AE285" s="3"/>
      <c r="AF285" s="3">
        <v>-56.84</v>
      </c>
      <c r="AG285" s="3">
        <v>-21.12</v>
      </c>
      <c r="AH285" s="3" t="s">
        <v>6175</v>
      </c>
      <c r="AI285" s="3"/>
      <c r="AJ285" s="3" t="s">
        <v>1473</v>
      </c>
      <c r="AK285" s="3"/>
      <c r="AL285" s="3"/>
      <c r="AM285" s="3" t="s">
        <v>65</v>
      </c>
      <c r="AN285" s="3"/>
      <c r="AO285" s="3"/>
      <c r="AP285" s="4">
        <v>44277.4698726852</v>
      </c>
      <c r="AQ285" s="3"/>
      <c r="AR285" s="3" t="s">
        <v>1475</v>
      </c>
      <c r="AS285" s="3"/>
      <c r="AT285" s="4">
        <v>44281.0337152778</v>
      </c>
    </row>
    <row r="286" ht="15.75" customHeight="1">
      <c r="A286" s="3"/>
      <c r="B286" s="3" t="s">
        <v>46</v>
      </c>
      <c r="C286" s="3" t="s">
        <v>47</v>
      </c>
      <c r="D286" s="3"/>
      <c r="E286" s="3" t="s">
        <v>6176</v>
      </c>
      <c r="F286" s="3"/>
      <c r="G286" s="3" t="s">
        <v>49</v>
      </c>
      <c r="H286" s="3" t="s">
        <v>72</v>
      </c>
      <c r="I286" s="3">
        <v>500.0</v>
      </c>
      <c r="J286" s="3"/>
      <c r="K286" s="3"/>
      <c r="L286" s="3"/>
      <c r="M286" s="3" t="s">
        <v>6177</v>
      </c>
      <c r="N286" s="3" t="s">
        <v>257</v>
      </c>
      <c r="O286" s="3" t="s">
        <v>258</v>
      </c>
      <c r="P286" s="4">
        <v>44271.4286574074</v>
      </c>
      <c r="Q286" s="3" t="s">
        <v>77</v>
      </c>
      <c r="R286" s="3"/>
      <c r="S286" s="3" t="s">
        <v>1173</v>
      </c>
      <c r="T286" s="3">
        <v>2502706.0</v>
      </c>
      <c r="U286" s="3" t="s">
        <v>6178</v>
      </c>
      <c r="V286" s="3" t="s">
        <v>1175</v>
      </c>
      <c r="W286" s="3" t="s">
        <v>78</v>
      </c>
      <c r="X286" s="3"/>
      <c r="Y286" s="3"/>
      <c r="Z286" s="3" t="s">
        <v>260</v>
      </c>
      <c r="AA286" s="3" t="s">
        <v>6179</v>
      </c>
      <c r="AB286" s="3" t="str">
        <f>"***618084**"</f>
        <v>***618084**</v>
      </c>
      <c r="AC286" s="3"/>
      <c r="AD286" s="3" t="s">
        <v>81</v>
      </c>
      <c r="AE286" s="3"/>
      <c r="AF286" s="3">
        <v>-35.599722</v>
      </c>
      <c r="AG286" s="3">
        <v>-6.806944</v>
      </c>
      <c r="AH286" s="3" t="s">
        <v>6180</v>
      </c>
      <c r="AI286" s="3"/>
      <c r="AJ286" s="3" t="s">
        <v>1178</v>
      </c>
      <c r="AK286" s="3"/>
      <c r="AL286" s="3"/>
      <c r="AM286" s="3" t="s">
        <v>65</v>
      </c>
      <c r="AN286" s="3" t="s">
        <v>296</v>
      </c>
      <c r="AO286" s="3"/>
      <c r="AP286" s="4">
        <v>44271.9921527778</v>
      </c>
      <c r="AQ286" s="3"/>
      <c r="AR286" s="3" t="s">
        <v>6181</v>
      </c>
      <c r="AS286" s="3"/>
      <c r="AT286" s="4">
        <v>44281.0337152778</v>
      </c>
    </row>
    <row r="287" ht="15.75" customHeight="1">
      <c r="A287" s="3"/>
      <c r="B287" s="3" t="s">
        <v>46</v>
      </c>
      <c r="C287" s="3" t="s">
        <v>47</v>
      </c>
      <c r="D287" s="3"/>
      <c r="E287" s="3" t="s">
        <v>6182</v>
      </c>
      <c r="F287" s="3"/>
      <c r="G287" s="3" t="s">
        <v>49</v>
      </c>
      <c r="H287" s="3" t="s">
        <v>72</v>
      </c>
      <c r="I287" s="3">
        <v>45228.54</v>
      </c>
      <c r="J287" s="3"/>
      <c r="K287" s="3"/>
      <c r="L287" s="3"/>
      <c r="M287" s="3" t="s">
        <v>6183</v>
      </c>
      <c r="N287" s="3" t="s">
        <v>109</v>
      </c>
      <c r="O287" s="3" t="s">
        <v>110</v>
      </c>
      <c r="P287" s="4">
        <v>44271.4239467593</v>
      </c>
      <c r="Q287" s="3" t="s">
        <v>137</v>
      </c>
      <c r="R287" s="3"/>
      <c r="S287" s="3" t="s">
        <v>1613</v>
      </c>
      <c r="T287" s="3">
        <v>5108907.0</v>
      </c>
      <c r="U287" s="3" t="s">
        <v>6165</v>
      </c>
      <c r="V287" s="3" t="s">
        <v>323</v>
      </c>
      <c r="W287" s="3" t="s">
        <v>100</v>
      </c>
      <c r="X287" s="3"/>
      <c r="Y287" s="3"/>
      <c r="Z287" s="3" t="s">
        <v>112</v>
      </c>
      <c r="AA287" s="3" t="s">
        <v>6166</v>
      </c>
      <c r="AB287" s="3" t="str">
        <f>"33911071000103"</f>
        <v>33911071000103</v>
      </c>
      <c r="AC287" s="3"/>
      <c r="AD287" s="3" t="s">
        <v>62</v>
      </c>
      <c r="AE287" s="3"/>
      <c r="AF287" s="3">
        <v>-57.092833</v>
      </c>
      <c r="AG287" s="3">
        <v>-13.045917</v>
      </c>
      <c r="AH287" s="3" t="s">
        <v>6167</v>
      </c>
      <c r="AI287" s="3"/>
      <c r="AJ287" s="3" t="s">
        <v>327</v>
      </c>
      <c r="AK287" s="3"/>
      <c r="AL287" s="3"/>
      <c r="AM287" s="3" t="s">
        <v>65</v>
      </c>
      <c r="AN287" s="3" t="s">
        <v>5379</v>
      </c>
      <c r="AO287" s="3"/>
      <c r="AP287" s="4">
        <v>44271.454525463</v>
      </c>
      <c r="AQ287" s="3"/>
      <c r="AR287" s="3" t="s">
        <v>177</v>
      </c>
      <c r="AS287" s="3"/>
      <c r="AT287" s="4">
        <v>44281.0337152778</v>
      </c>
    </row>
    <row r="288" ht="15.75" customHeight="1">
      <c r="A288" s="3">
        <v>2044472.0</v>
      </c>
      <c r="B288" s="3" t="s">
        <v>116</v>
      </c>
      <c r="C288" s="3" t="s">
        <v>117</v>
      </c>
      <c r="D288" s="3" t="s">
        <v>46</v>
      </c>
      <c r="E288" s="3" t="s">
        <v>6184</v>
      </c>
      <c r="F288" s="3"/>
      <c r="G288" s="3" t="s">
        <v>119</v>
      </c>
      <c r="H288" s="3" t="s">
        <v>50</v>
      </c>
      <c r="I288" s="3">
        <v>1000.0</v>
      </c>
      <c r="J288" s="3"/>
      <c r="K288" s="3"/>
      <c r="L288" s="3" t="s">
        <v>485</v>
      </c>
      <c r="M288" s="3" t="s">
        <v>6185</v>
      </c>
      <c r="N288" s="3" t="s">
        <v>285</v>
      </c>
      <c r="O288" s="3" t="s">
        <v>286</v>
      </c>
      <c r="P288" s="4">
        <v>44271.4166666667</v>
      </c>
      <c r="Q288" s="3" t="s">
        <v>56</v>
      </c>
      <c r="R288" s="3"/>
      <c r="S288" s="3" t="s">
        <v>488</v>
      </c>
      <c r="T288" s="3">
        <v>1700707.0</v>
      </c>
      <c r="U288" s="3" t="s">
        <v>6186</v>
      </c>
      <c r="V288" s="3" t="s">
        <v>490</v>
      </c>
      <c r="W288" s="3" t="s">
        <v>100</v>
      </c>
      <c r="X288" s="3"/>
      <c r="Y288" s="3" t="str">
        <f>"02029000300202139"</f>
        <v>02029000300202139</v>
      </c>
      <c r="Z288" s="3" t="s">
        <v>292</v>
      </c>
      <c r="AA288" s="3" t="s">
        <v>6187</v>
      </c>
      <c r="AB288" s="3" t="str">
        <f>"11674608000118"</f>
        <v>11674608000118</v>
      </c>
      <c r="AC288" s="3"/>
      <c r="AD288" s="3"/>
      <c r="AE288" s="3"/>
      <c r="AF288" s="3">
        <v>-49.12</v>
      </c>
      <c r="AG288" s="3">
        <v>-12.481944</v>
      </c>
      <c r="AH288" s="3" t="s">
        <v>6188</v>
      </c>
      <c r="AI288" s="3"/>
      <c r="AJ288" s="3" t="s">
        <v>485</v>
      </c>
      <c r="AK288" s="3"/>
      <c r="AL288" s="3" t="s">
        <v>128</v>
      </c>
      <c r="AM288" s="3" t="s">
        <v>65</v>
      </c>
      <c r="AN288" s="3" t="s">
        <v>296</v>
      </c>
      <c r="AO288" s="4">
        <v>44272.0</v>
      </c>
      <c r="AP288" s="4">
        <v>44272.3868287037</v>
      </c>
      <c r="AQ288" s="3" t="s">
        <v>132</v>
      </c>
      <c r="AR288" s="3" t="s">
        <v>693</v>
      </c>
      <c r="AS288" s="3"/>
      <c r="AT288" s="4">
        <v>44281.0337152778</v>
      </c>
    </row>
    <row r="289" ht="15.75" customHeight="1">
      <c r="A289" s="3"/>
      <c r="B289" s="3" t="s">
        <v>46</v>
      </c>
      <c r="C289" s="3" t="s">
        <v>47</v>
      </c>
      <c r="D289" s="3"/>
      <c r="E289" s="3" t="s">
        <v>6189</v>
      </c>
      <c r="F289" s="3"/>
      <c r="G289" s="3" t="s">
        <v>49</v>
      </c>
      <c r="H289" s="3" t="s">
        <v>72</v>
      </c>
      <c r="I289" s="3">
        <v>56000.0</v>
      </c>
      <c r="J289" s="3"/>
      <c r="K289" s="3"/>
      <c r="L289" s="3"/>
      <c r="M289" s="3" t="s">
        <v>6190</v>
      </c>
      <c r="N289" s="3" t="s">
        <v>109</v>
      </c>
      <c r="O289" s="3" t="s">
        <v>110</v>
      </c>
      <c r="P289" s="4">
        <v>44271.4138773148</v>
      </c>
      <c r="Q289" s="3" t="s">
        <v>56</v>
      </c>
      <c r="R289" s="3"/>
      <c r="S289" s="3" t="s">
        <v>1468</v>
      </c>
      <c r="T289" s="3">
        <v>5002209.0</v>
      </c>
      <c r="U289" s="3" t="s">
        <v>4357</v>
      </c>
      <c r="V289" s="3" t="s">
        <v>1470</v>
      </c>
      <c r="W289" s="3" t="s">
        <v>78</v>
      </c>
      <c r="X289" s="3"/>
      <c r="Y289" s="3"/>
      <c r="Z289" s="3" t="s">
        <v>112</v>
      </c>
      <c r="AA289" s="3" t="s">
        <v>6174</v>
      </c>
      <c r="AB289" s="3" t="str">
        <f>"***176019**"</f>
        <v>***176019**</v>
      </c>
      <c r="AC289" s="3"/>
      <c r="AD289" s="3" t="s">
        <v>325</v>
      </c>
      <c r="AE289" s="3"/>
      <c r="AF289" s="3">
        <v>-56.84</v>
      </c>
      <c r="AG289" s="3">
        <v>-21.12</v>
      </c>
      <c r="AH289" s="3" t="s">
        <v>6175</v>
      </c>
      <c r="AI289" s="3"/>
      <c r="AJ289" s="3" t="s">
        <v>1473</v>
      </c>
      <c r="AK289" s="3"/>
      <c r="AL289" s="3"/>
      <c r="AM289" s="3" t="s">
        <v>65</v>
      </c>
      <c r="AN289" s="3"/>
      <c r="AO289" s="3"/>
      <c r="AP289" s="4">
        <v>44277.4709722222</v>
      </c>
      <c r="AQ289" s="3"/>
      <c r="AR289" s="3" t="s">
        <v>5661</v>
      </c>
      <c r="AS289" s="3"/>
      <c r="AT289" s="4">
        <v>44281.0337152778</v>
      </c>
    </row>
    <row r="290" ht="15.75" customHeight="1">
      <c r="A290" s="3"/>
      <c r="B290" s="3" t="s">
        <v>46</v>
      </c>
      <c r="C290" s="3" t="s">
        <v>47</v>
      </c>
      <c r="D290" s="3"/>
      <c r="E290" s="3" t="s">
        <v>6191</v>
      </c>
      <c r="F290" s="3"/>
      <c r="G290" s="3" t="s">
        <v>49</v>
      </c>
      <c r="H290" s="3" t="s">
        <v>50</v>
      </c>
      <c r="I290" s="3">
        <v>1000.0</v>
      </c>
      <c r="J290" s="3"/>
      <c r="K290" s="3" t="s">
        <v>51</v>
      </c>
      <c r="L290" s="3"/>
      <c r="M290" s="3" t="s">
        <v>6192</v>
      </c>
      <c r="N290" s="3" t="s">
        <v>381</v>
      </c>
      <c r="O290" s="3" t="s">
        <v>382</v>
      </c>
      <c r="P290" s="4">
        <v>44271.4042361111</v>
      </c>
      <c r="Q290" s="3" t="s">
        <v>56</v>
      </c>
      <c r="R290" s="5">
        <v>44271.0</v>
      </c>
      <c r="S290" s="3" t="s">
        <v>288</v>
      </c>
      <c r="T290" s="3">
        <v>2211001.0</v>
      </c>
      <c r="U290" s="3" t="s">
        <v>527</v>
      </c>
      <c r="V290" s="3" t="s">
        <v>290</v>
      </c>
      <c r="W290" s="3" t="s">
        <v>172</v>
      </c>
      <c r="X290" s="3"/>
      <c r="Y290" s="3"/>
      <c r="Z290" s="3" t="s">
        <v>384</v>
      </c>
      <c r="AA290" s="3" t="s">
        <v>6193</v>
      </c>
      <c r="AB290" s="3" t="str">
        <f>"00744954000109"</f>
        <v>00744954000109</v>
      </c>
      <c r="AC290" s="3"/>
      <c r="AD290" s="3" t="s">
        <v>62</v>
      </c>
      <c r="AE290" s="3"/>
      <c r="AF290" s="3">
        <v>-47.933056</v>
      </c>
      <c r="AG290" s="3">
        <v>-15.83</v>
      </c>
      <c r="AH290" s="3" t="s">
        <v>6194</v>
      </c>
      <c r="AI290" s="3"/>
      <c r="AJ290" s="3" t="s">
        <v>295</v>
      </c>
      <c r="AK290" s="3"/>
      <c r="AL290" s="3"/>
      <c r="AM290" s="3" t="s">
        <v>65</v>
      </c>
      <c r="AN290" s="3" t="s">
        <v>296</v>
      </c>
      <c r="AO290" s="3"/>
      <c r="AP290" s="4">
        <v>44271.4154050926</v>
      </c>
      <c r="AQ290" s="3"/>
      <c r="AR290" s="3" t="s">
        <v>298</v>
      </c>
      <c r="AS290" s="3"/>
      <c r="AT290" s="4">
        <v>44281.0337152778</v>
      </c>
    </row>
    <row r="291" ht="15.75" customHeight="1">
      <c r="A291" s="3"/>
      <c r="B291" s="3" t="s">
        <v>46</v>
      </c>
      <c r="C291" s="3" t="s">
        <v>47</v>
      </c>
      <c r="D291" s="3"/>
      <c r="E291" s="3" t="s">
        <v>6195</v>
      </c>
      <c r="F291" s="3"/>
      <c r="G291" s="3" t="s">
        <v>49</v>
      </c>
      <c r="H291" s="3" t="s">
        <v>50</v>
      </c>
      <c r="I291" s="3">
        <v>1000.0</v>
      </c>
      <c r="J291" s="3"/>
      <c r="K291" s="3" t="s">
        <v>51</v>
      </c>
      <c r="L291" s="3"/>
      <c r="M291" s="3" t="s">
        <v>6196</v>
      </c>
      <c r="N291" s="3" t="s">
        <v>257</v>
      </c>
      <c r="O291" s="3" t="s">
        <v>258</v>
      </c>
      <c r="P291" s="4">
        <v>44271.4037962963</v>
      </c>
      <c r="Q291" s="3" t="s">
        <v>77</v>
      </c>
      <c r="R291" s="3"/>
      <c r="S291" s="3" t="s">
        <v>1173</v>
      </c>
      <c r="T291" s="3">
        <v>2502706.0</v>
      </c>
      <c r="U291" s="3" t="s">
        <v>6178</v>
      </c>
      <c r="V291" s="3" t="s">
        <v>1175</v>
      </c>
      <c r="W291" s="3" t="s">
        <v>78</v>
      </c>
      <c r="X291" s="3"/>
      <c r="Y291" s="3"/>
      <c r="Z291" s="3" t="s">
        <v>260</v>
      </c>
      <c r="AA291" s="3" t="s">
        <v>6179</v>
      </c>
      <c r="AB291" s="3" t="str">
        <f>"***618084**"</f>
        <v>***618084**</v>
      </c>
      <c r="AC291" s="3"/>
      <c r="AD291" s="3" t="s">
        <v>81</v>
      </c>
      <c r="AE291" s="3"/>
      <c r="AF291" s="3">
        <v>-35.599722</v>
      </c>
      <c r="AG291" s="3">
        <v>-6.806944</v>
      </c>
      <c r="AH291" s="3" t="s">
        <v>6197</v>
      </c>
      <c r="AI291" s="3"/>
      <c r="AJ291" s="3" t="s">
        <v>1178</v>
      </c>
      <c r="AK291" s="3"/>
      <c r="AL291" s="3"/>
      <c r="AM291" s="3" t="s">
        <v>65</v>
      </c>
      <c r="AN291" s="3" t="s">
        <v>296</v>
      </c>
      <c r="AO291" s="3"/>
      <c r="AP291" s="4">
        <v>44272.0047800926</v>
      </c>
      <c r="AQ291" s="3"/>
      <c r="AR291" s="3" t="s">
        <v>6198</v>
      </c>
      <c r="AS291" s="3"/>
      <c r="AT291" s="4">
        <v>44281.0337152778</v>
      </c>
    </row>
    <row r="292" ht="15.75" customHeight="1">
      <c r="A292" s="3"/>
      <c r="B292" s="3" t="s">
        <v>46</v>
      </c>
      <c r="C292" s="3" t="s">
        <v>47</v>
      </c>
      <c r="D292" s="3"/>
      <c r="E292" s="3" t="s">
        <v>6199</v>
      </c>
      <c r="F292" s="3"/>
      <c r="G292" s="3" t="s">
        <v>49</v>
      </c>
      <c r="H292" s="3" t="s">
        <v>50</v>
      </c>
      <c r="I292" s="3">
        <v>500.0</v>
      </c>
      <c r="J292" s="3"/>
      <c r="K292" s="3" t="s">
        <v>51</v>
      </c>
      <c r="L292" s="3"/>
      <c r="M292" s="3" t="s">
        <v>6200</v>
      </c>
      <c r="N292" s="3" t="s">
        <v>74</v>
      </c>
      <c r="O292" s="3" t="s">
        <v>75</v>
      </c>
      <c r="P292" s="4">
        <v>44271.3860763889</v>
      </c>
      <c r="Q292" s="3" t="s">
        <v>77</v>
      </c>
      <c r="R292" s="3"/>
      <c r="S292" s="3" t="s">
        <v>220</v>
      </c>
      <c r="T292" s="3">
        <v>2303501.0</v>
      </c>
      <c r="U292" s="3" t="s">
        <v>6150</v>
      </c>
      <c r="V292" s="3" t="s">
        <v>439</v>
      </c>
      <c r="W292" s="3" t="s">
        <v>60</v>
      </c>
      <c r="X292" s="3"/>
      <c r="Y292" s="3"/>
      <c r="Z292" s="3" t="s">
        <v>79</v>
      </c>
      <c r="AA292" s="3" t="s">
        <v>6201</v>
      </c>
      <c r="AB292" s="3" t="str">
        <f>"***027813**"</f>
        <v>***027813**</v>
      </c>
      <c r="AC292" s="3"/>
      <c r="AD292" s="3" t="s">
        <v>81</v>
      </c>
      <c r="AE292" s="3"/>
      <c r="AF292" s="3">
        <v>-47.933056</v>
      </c>
      <c r="AG292" s="3">
        <v>-15.83</v>
      </c>
      <c r="AH292" s="3" t="s">
        <v>6202</v>
      </c>
      <c r="AI292" s="3"/>
      <c r="AJ292" s="3" t="s">
        <v>442</v>
      </c>
      <c r="AK292" s="3"/>
      <c r="AL292" s="3"/>
      <c r="AM292" s="3" t="s">
        <v>65</v>
      </c>
      <c r="AN292" s="3" t="s">
        <v>159</v>
      </c>
      <c r="AO292" s="3"/>
      <c r="AP292" s="4">
        <v>44271.3929861111</v>
      </c>
      <c r="AQ292" s="3"/>
      <c r="AR292" s="3" t="s">
        <v>264</v>
      </c>
      <c r="AS292" s="3"/>
      <c r="AT292" s="4">
        <v>44281.0337152778</v>
      </c>
    </row>
    <row r="293" ht="15.75" customHeight="1">
      <c r="A293" s="3">
        <v>2044658.0</v>
      </c>
      <c r="B293" s="3" t="s">
        <v>116</v>
      </c>
      <c r="C293" s="3" t="s">
        <v>117</v>
      </c>
      <c r="D293" s="3" t="s">
        <v>46</v>
      </c>
      <c r="E293" s="3" t="s">
        <v>6203</v>
      </c>
      <c r="F293" s="3"/>
      <c r="G293" s="3" t="s">
        <v>119</v>
      </c>
      <c r="H293" s="3" t="s">
        <v>50</v>
      </c>
      <c r="I293" s="3">
        <v>500.0</v>
      </c>
      <c r="J293" s="3"/>
      <c r="K293" s="3"/>
      <c r="L293" s="3" t="s">
        <v>442</v>
      </c>
      <c r="M293" s="3" t="s">
        <v>6204</v>
      </c>
      <c r="N293" s="3" t="s">
        <v>257</v>
      </c>
      <c r="O293" s="3" t="s">
        <v>258</v>
      </c>
      <c r="P293" s="4">
        <v>44271.375</v>
      </c>
      <c r="Q293" s="3" t="s">
        <v>77</v>
      </c>
      <c r="R293" s="5">
        <v>44271.0</v>
      </c>
      <c r="S293" s="3" t="s">
        <v>220</v>
      </c>
      <c r="T293" s="3">
        <v>2303501.0</v>
      </c>
      <c r="U293" s="3" t="s">
        <v>6150</v>
      </c>
      <c r="V293" s="3" t="s">
        <v>439</v>
      </c>
      <c r="W293" s="3" t="s">
        <v>60</v>
      </c>
      <c r="X293" s="3"/>
      <c r="Y293" s="3" t="str">
        <f>"02007000823202133"</f>
        <v>02007000823202133</v>
      </c>
      <c r="Z293" s="3" t="s">
        <v>260</v>
      </c>
      <c r="AA293" s="3" t="s">
        <v>6205</v>
      </c>
      <c r="AB293" s="3" t="str">
        <f>"***557873**"</f>
        <v>***557873**</v>
      </c>
      <c r="AC293" s="3"/>
      <c r="AD293" s="3"/>
      <c r="AE293" s="3"/>
      <c r="AF293" s="3">
        <v>-38.229722</v>
      </c>
      <c r="AG293" s="3">
        <v>-4.134167</v>
      </c>
      <c r="AH293" s="3" t="s">
        <v>6152</v>
      </c>
      <c r="AI293" s="3"/>
      <c r="AJ293" s="3" t="s">
        <v>442</v>
      </c>
      <c r="AK293" s="3"/>
      <c r="AL293" s="3" t="s">
        <v>128</v>
      </c>
      <c r="AM293" s="3" t="s">
        <v>65</v>
      </c>
      <c r="AN293" s="3" t="s">
        <v>159</v>
      </c>
      <c r="AO293" s="4">
        <v>44279.0</v>
      </c>
      <c r="AP293" s="4">
        <v>44279.4715856482</v>
      </c>
      <c r="AQ293" s="3" t="s">
        <v>132</v>
      </c>
      <c r="AR293" s="3" t="s">
        <v>834</v>
      </c>
      <c r="AS293" s="3"/>
      <c r="AT293" s="4">
        <v>44281.0337152778</v>
      </c>
    </row>
    <row r="294" ht="15.75" customHeight="1">
      <c r="A294" s="3">
        <v>2044657.0</v>
      </c>
      <c r="B294" s="3" t="s">
        <v>116</v>
      </c>
      <c r="C294" s="3" t="s">
        <v>117</v>
      </c>
      <c r="D294" s="3" t="s">
        <v>46</v>
      </c>
      <c r="E294" s="3" t="s">
        <v>6206</v>
      </c>
      <c r="F294" s="3"/>
      <c r="G294" s="3" t="s">
        <v>119</v>
      </c>
      <c r="H294" s="3" t="s">
        <v>50</v>
      </c>
      <c r="I294" s="3">
        <v>500.0</v>
      </c>
      <c r="J294" s="3"/>
      <c r="K294" s="3"/>
      <c r="L294" s="3" t="s">
        <v>442</v>
      </c>
      <c r="M294" s="3" t="s">
        <v>6207</v>
      </c>
      <c r="N294" s="3" t="s">
        <v>74</v>
      </c>
      <c r="O294" s="3" t="s">
        <v>75</v>
      </c>
      <c r="P294" s="4">
        <v>44271.3333333333</v>
      </c>
      <c r="Q294" s="3" t="s">
        <v>77</v>
      </c>
      <c r="R294" s="5">
        <v>44271.0</v>
      </c>
      <c r="S294" s="3" t="s">
        <v>220</v>
      </c>
      <c r="T294" s="3">
        <v>2303501.0</v>
      </c>
      <c r="U294" s="3" t="s">
        <v>6150</v>
      </c>
      <c r="V294" s="3" t="s">
        <v>439</v>
      </c>
      <c r="W294" s="3" t="s">
        <v>60</v>
      </c>
      <c r="X294" s="3"/>
      <c r="Y294" s="3" t="str">
        <f>"02007000822202199"</f>
        <v>02007000822202199</v>
      </c>
      <c r="Z294" s="3" t="s">
        <v>79</v>
      </c>
      <c r="AA294" s="3" t="s">
        <v>6208</v>
      </c>
      <c r="AB294" s="3" t="str">
        <f>"***423263**"</f>
        <v>***423263**</v>
      </c>
      <c r="AC294" s="3"/>
      <c r="AD294" s="3"/>
      <c r="AE294" s="3"/>
      <c r="AF294" s="3">
        <v>-38.229722</v>
      </c>
      <c r="AG294" s="3">
        <v>-4.134167</v>
      </c>
      <c r="AH294" s="3" t="s">
        <v>6152</v>
      </c>
      <c r="AI294" s="3"/>
      <c r="AJ294" s="3" t="s">
        <v>442</v>
      </c>
      <c r="AK294" s="3"/>
      <c r="AL294" s="3" t="s">
        <v>128</v>
      </c>
      <c r="AM294" s="3" t="s">
        <v>65</v>
      </c>
      <c r="AN294" s="3" t="s">
        <v>159</v>
      </c>
      <c r="AO294" s="4">
        <v>44279.0</v>
      </c>
      <c r="AP294" s="4">
        <v>44279.4708449074</v>
      </c>
      <c r="AQ294" s="3" t="s">
        <v>132</v>
      </c>
      <c r="AR294" s="3" t="s">
        <v>834</v>
      </c>
      <c r="AS294" s="3"/>
      <c r="AT294" s="4">
        <v>44281.0337152778</v>
      </c>
    </row>
    <row r="295" ht="15.75" customHeight="1">
      <c r="A295" s="3"/>
      <c r="B295" s="3" t="s">
        <v>46</v>
      </c>
      <c r="C295" s="3" t="s">
        <v>47</v>
      </c>
      <c r="D295" s="3"/>
      <c r="E295" s="3" t="s">
        <v>6209</v>
      </c>
      <c r="F295" s="3"/>
      <c r="G295" s="3" t="s">
        <v>49</v>
      </c>
      <c r="H295" s="3" t="s">
        <v>50</v>
      </c>
      <c r="I295" s="3">
        <v>171700.0</v>
      </c>
      <c r="J295" s="3"/>
      <c r="K295" s="3" t="s">
        <v>92</v>
      </c>
      <c r="L295" s="3"/>
      <c r="M295" s="3" t="s">
        <v>6210</v>
      </c>
      <c r="N295" s="3" t="s">
        <v>74</v>
      </c>
      <c r="O295" s="3" t="s">
        <v>75</v>
      </c>
      <c r="P295" s="4">
        <v>44271.2744907407</v>
      </c>
      <c r="Q295" s="3" t="s">
        <v>77</v>
      </c>
      <c r="R295" s="3"/>
      <c r="S295" s="3" t="s">
        <v>400</v>
      </c>
      <c r="T295" s="3">
        <v>4303509.0</v>
      </c>
      <c r="U295" s="3" t="s">
        <v>2354</v>
      </c>
      <c r="V295" s="3" t="s">
        <v>402</v>
      </c>
      <c r="W295" s="3" t="s">
        <v>78</v>
      </c>
      <c r="X295" s="3"/>
      <c r="Y295" s="3"/>
      <c r="Z295" s="3" t="s">
        <v>79</v>
      </c>
      <c r="AA295" s="3" t="s">
        <v>6211</v>
      </c>
      <c r="AB295" s="3" t="str">
        <f>"***628700**"</f>
        <v>***628700**</v>
      </c>
      <c r="AC295" s="3"/>
      <c r="AD295" s="3" t="s">
        <v>81</v>
      </c>
      <c r="AE295" s="3"/>
      <c r="AF295" s="3">
        <v>-51.795556</v>
      </c>
      <c r="AG295" s="3">
        <v>-30.863333</v>
      </c>
      <c r="AH295" s="3" t="s">
        <v>6212</v>
      </c>
      <c r="AI295" s="3"/>
      <c r="AJ295" s="3" t="s">
        <v>405</v>
      </c>
      <c r="AK295" s="3"/>
      <c r="AL295" s="3"/>
      <c r="AM295" s="3" t="s">
        <v>65</v>
      </c>
      <c r="AN295" s="3" t="s">
        <v>1044</v>
      </c>
      <c r="AO295" s="3"/>
      <c r="AP295" s="4">
        <v>44271.3885300926</v>
      </c>
      <c r="AQ295" s="3"/>
      <c r="AR295" s="3" t="s">
        <v>502</v>
      </c>
      <c r="AS295" s="3" t="s">
        <v>408</v>
      </c>
      <c r="AT295" s="4">
        <v>44281.0337152778</v>
      </c>
    </row>
    <row r="296" ht="15.75" customHeight="1">
      <c r="A296" s="3"/>
      <c r="B296" s="3" t="s">
        <v>46</v>
      </c>
      <c r="C296" s="3" t="s">
        <v>47</v>
      </c>
      <c r="D296" s="3"/>
      <c r="E296" s="3" t="s">
        <v>6213</v>
      </c>
      <c r="F296" s="3"/>
      <c r="G296" s="3" t="s">
        <v>49</v>
      </c>
      <c r="H296" s="3" t="s">
        <v>50</v>
      </c>
      <c r="I296" s="3">
        <v>500.0</v>
      </c>
      <c r="J296" s="3"/>
      <c r="K296" s="3" t="s">
        <v>51</v>
      </c>
      <c r="L296" s="3"/>
      <c r="M296" s="3" t="s">
        <v>6214</v>
      </c>
      <c r="N296" s="3" t="s">
        <v>74</v>
      </c>
      <c r="O296" s="3" t="s">
        <v>75</v>
      </c>
      <c r="P296" s="4">
        <v>44271.2604166667</v>
      </c>
      <c r="Q296" s="3" t="s">
        <v>77</v>
      </c>
      <c r="R296" s="3"/>
      <c r="S296" s="3" t="s">
        <v>220</v>
      </c>
      <c r="T296" s="3">
        <v>2303501.0</v>
      </c>
      <c r="U296" s="3" t="s">
        <v>6150</v>
      </c>
      <c r="V296" s="3" t="s">
        <v>439</v>
      </c>
      <c r="W296" s="3" t="s">
        <v>60</v>
      </c>
      <c r="X296" s="3"/>
      <c r="Y296" s="3"/>
      <c r="Z296" s="3" t="s">
        <v>79</v>
      </c>
      <c r="AA296" s="3" t="s">
        <v>6215</v>
      </c>
      <c r="AB296" s="3" t="str">
        <f>"***472143**"</f>
        <v>***472143**</v>
      </c>
      <c r="AC296" s="3"/>
      <c r="AD296" s="3" t="s">
        <v>81</v>
      </c>
      <c r="AE296" s="3"/>
      <c r="AF296" s="3">
        <v>-38.229722</v>
      </c>
      <c r="AG296" s="3">
        <v>-4.134167</v>
      </c>
      <c r="AH296" s="3" t="s">
        <v>6216</v>
      </c>
      <c r="AI296" s="3"/>
      <c r="AJ296" s="3" t="s">
        <v>442</v>
      </c>
      <c r="AK296" s="3"/>
      <c r="AL296" s="3"/>
      <c r="AM296" s="3" t="s">
        <v>65</v>
      </c>
      <c r="AN296" s="3" t="s">
        <v>159</v>
      </c>
      <c r="AO296" s="3"/>
      <c r="AP296" s="4">
        <v>44271.2674768519</v>
      </c>
      <c r="AQ296" s="3"/>
      <c r="AR296" s="3" t="s">
        <v>264</v>
      </c>
      <c r="AS296" s="3"/>
      <c r="AT296" s="4">
        <v>44281.0337152778</v>
      </c>
    </row>
    <row r="297" ht="15.75" customHeight="1">
      <c r="A297" s="3"/>
      <c r="B297" s="3" t="s">
        <v>46</v>
      </c>
      <c r="C297" s="3" t="s">
        <v>47</v>
      </c>
      <c r="D297" s="3"/>
      <c r="E297" s="3" t="s">
        <v>6217</v>
      </c>
      <c r="F297" s="3"/>
      <c r="G297" s="3" t="s">
        <v>49</v>
      </c>
      <c r="H297" s="3" t="s">
        <v>50</v>
      </c>
      <c r="I297" s="3">
        <v>2300.0</v>
      </c>
      <c r="J297" s="3"/>
      <c r="K297" s="3" t="s">
        <v>51</v>
      </c>
      <c r="L297" s="3"/>
      <c r="M297" s="3" t="s">
        <v>6218</v>
      </c>
      <c r="N297" s="3" t="s">
        <v>74</v>
      </c>
      <c r="O297" s="3" t="s">
        <v>75</v>
      </c>
      <c r="P297" s="4">
        <v>44271.2325925926</v>
      </c>
      <c r="Q297" s="3" t="s">
        <v>77</v>
      </c>
      <c r="R297" s="3"/>
      <c r="S297" s="3" t="s">
        <v>220</v>
      </c>
      <c r="T297" s="3">
        <v>2303501.0</v>
      </c>
      <c r="U297" s="3" t="s">
        <v>6150</v>
      </c>
      <c r="V297" s="3" t="s">
        <v>439</v>
      </c>
      <c r="W297" s="3" t="s">
        <v>60</v>
      </c>
      <c r="X297" s="3"/>
      <c r="Y297" s="3"/>
      <c r="Z297" s="3" t="s">
        <v>79</v>
      </c>
      <c r="AA297" s="3" t="s">
        <v>6219</v>
      </c>
      <c r="AB297" s="3" t="str">
        <f>"***423263**"</f>
        <v>***423263**</v>
      </c>
      <c r="AC297" s="3"/>
      <c r="AD297" s="3" t="s">
        <v>81</v>
      </c>
      <c r="AE297" s="3"/>
      <c r="AF297" s="3">
        <v>-38.229722</v>
      </c>
      <c r="AG297" s="3">
        <v>-4.134167</v>
      </c>
      <c r="AH297" s="3" t="s">
        <v>6152</v>
      </c>
      <c r="AI297" s="3"/>
      <c r="AJ297" s="3" t="s">
        <v>442</v>
      </c>
      <c r="AK297" s="3"/>
      <c r="AL297" s="3"/>
      <c r="AM297" s="3" t="s">
        <v>65</v>
      </c>
      <c r="AN297" s="3" t="s">
        <v>159</v>
      </c>
      <c r="AO297" s="3"/>
      <c r="AP297" s="4">
        <v>44271.2500231481</v>
      </c>
      <c r="AQ297" s="3"/>
      <c r="AR297" s="3" t="s">
        <v>407</v>
      </c>
      <c r="AS297" s="3"/>
      <c r="AT297" s="4">
        <v>44281.0337152778</v>
      </c>
    </row>
    <row r="298" ht="15.75" customHeight="1">
      <c r="A298" s="3"/>
      <c r="B298" s="3" t="s">
        <v>46</v>
      </c>
      <c r="C298" s="3" t="s">
        <v>47</v>
      </c>
      <c r="D298" s="3"/>
      <c r="E298" s="3" t="s">
        <v>6220</v>
      </c>
      <c r="F298" s="3"/>
      <c r="G298" s="3" t="s">
        <v>49</v>
      </c>
      <c r="H298" s="3" t="s">
        <v>50</v>
      </c>
      <c r="I298" s="3">
        <v>1000.0</v>
      </c>
      <c r="J298" s="3"/>
      <c r="K298" s="3" t="s">
        <v>51</v>
      </c>
      <c r="L298" s="3"/>
      <c r="M298" s="3" t="s">
        <v>6221</v>
      </c>
      <c r="N298" s="3" t="s">
        <v>285</v>
      </c>
      <c r="O298" s="3" t="s">
        <v>286</v>
      </c>
      <c r="P298" s="4">
        <v>44271.2300462963</v>
      </c>
      <c r="Q298" s="3" t="s">
        <v>56</v>
      </c>
      <c r="R298" s="3"/>
      <c r="S298" s="3" t="s">
        <v>1468</v>
      </c>
      <c r="T298" s="3">
        <v>5003702.0</v>
      </c>
      <c r="U298" s="3" t="s">
        <v>4318</v>
      </c>
      <c r="V298" s="3" t="s">
        <v>1470</v>
      </c>
      <c r="W298" s="3" t="s">
        <v>172</v>
      </c>
      <c r="X298" s="3"/>
      <c r="Y298" s="3"/>
      <c r="Z298" s="3" t="s">
        <v>292</v>
      </c>
      <c r="AA298" s="3" t="s">
        <v>6222</v>
      </c>
      <c r="AB298" s="3" t="str">
        <f>"01135840000124"</f>
        <v>01135840000124</v>
      </c>
      <c r="AC298" s="3"/>
      <c r="AD298" s="3" t="s">
        <v>81</v>
      </c>
      <c r="AE298" s="3"/>
      <c r="AF298" s="3">
        <v>-54.821944</v>
      </c>
      <c r="AG298" s="3">
        <v>-22.225556</v>
      </c>
      <c r="AH298" s="3" t="s">
        <v>6084</v>
      </c>
      <c r="AI298" s="3"/>
      <c r="AJ298" s="3" t="s">
        <v>1473</v>
      </c>
      <c r="AK298" s="3"/>
      <c r="AL298" s="3"/>
      <c r="AM298" s="3" t="s">
        <v>65</v>
      </c>
      <c r="AN298" s="3"/>
      <c r="AO298" s="3"/>
      <c r="AP298" s="4">
        <v>44271.2392361111</v>
      </c>
      <c r="AQ298" s="3"/>
      <c r="AR298" s="3" t="s">
        <v>298</v>
      </c>
      <c r="AS298" s="3"/>
      <c r="AT298" s="4">
        <v>44281.0337152778</v>
      </c>
    </row>
    <row r="299" ht="15.75" customHeight="1">
      <c r="A299" s="3">
        <v>2044444.0</v>
      </c>
      <c r="B299" s="3" t="s">
        <v>116</v>
      </c>
      <c r="C299" s="3" t="s">
        <v>117</v>
      </c>
      <c r="D299" s="3" t="s">
        <v>46</v>
      </c>
      <c r="E299" s="3" t="s">
        <v>6223</v>
      </c>
      <c r="F299" s="3"/>
      <c r="G299" s="3" t="s">
        <v>119</v>
      </c>
      <c r="H299" s="3" t="s">
        <v>50</v>
      </c>
      <c r="I299" s="3">
        <v>3300.0</v>
      </c>
      <c r="J299" s="3"/>
      <c r="K299" s="3"/>
      <c r="L299" s="3" t="s">
        <v>142</v>
      </c>
      <c r="M299" s="3" t="s">
        <v>6224</v>
      </c>
      <c r="N299" s="3" t="s">
        <v>285</v>
      </c>
      <c r="O299" s="3" t="s">
        <v>286</v>
      </c>
      <c r="P299" s="4">
        <v>44271.1666666667</v>
      </c>
      <c r="Q299" s="3" t="s">
        <v>56</v>
      </c>
      <c r="R299" s="5">
        <v>44271.0</v>
      </c>
      <c r="S299" s="3" t="s">
        <v>280</v>
      </c>
      <c r="T299" s="3">
        <v>3550308.0</v>
      </c>
      <c r="U299" s="3" t="s">
        <v>535</v>
      </c>
      <c r="V299" s="3" t="s">
        <v>139</v>
      </c>
      <c r="W299" s="3" t="s">
        <v>78</v>
      </c>
      <c r="X299" s="3"/>
      <c r="Y299" s="3" t="str">
        <f>"02027002763202155"</f>
        <v>02027002763202155</v>
      </c>
      <c r="Z299" s="3" t="s">
        <v>292</v>
      </c>
      <c r="AA299" s="3" t="s">
        <v>6225</v>
      </c>
      <c r="AB299" s="3" t="str">
        <f>"43111970000177"</f>
        <v>43111970000177</v>
      </c>
      <c r="AC299" s="3"/>
      <c r="AD299" s="3"/>
      <c r="AE299" s="3"/>
      <c r="AF299" s="3">
        <v>-46.668611</v>
      </c>
      <c r="AG299" s="3">
        <v>-23.559722</v>
      </c>
      <c r="AH299" s="3" t="s">
        <v>6226</v>
      </c>
      <c r="AI299" s="3"/>
      <c r="AJ299" s="3" t="s">
        <v>142</v>
      </c>
      <c r="AK299" s="3"/>
      <c r="AL299" s="3" t="s">
        <v>128</v>
      </c>
      <c r="AM299" s="3" t="s">
        <v>65</v>
      </c>
      <c r="AN299" s="3" t="s">
        <v>83</v>
      </c>
      <c r="AO299" s="4">
        <v>44271.0</v>
      </c>
      <c r="AP299" s="4">
        <v>44271.6541435185</v>
      </c>
      <c r="AQ299" s="3" t="s">
        <v>132</v>
      </c>
      <c r="AR299" s="3" t="s">
        <v>531</v>
      </c>
      <c r="AS299" s="3"/>
      <c r="AT299" s="4">
        <v>44281.0337152778</v>
      </c>
    </row>
    <row r="300" ht="15.75" customHeight="1">
      <c r="A300" s="3"/>
      <c r="B300" s="3" t="s">
        <v>46</v>
      </c>
      <c r="C300" s="3" t="s">
        <v>47</v>
      </c>
      <c r="D300" s="3"/>
      <c r="E300" s="3" t="s">
        <v>6227</v>
      </c>
      <c r="F300" s="3"/>
      <c r="G300" s="3" t="s">
        <v>49</v>
      </c>
      <c r="H300" s="3" t="s">
        <v>50</v>
      </c>
      <c r="I300" s="3">
        <v>180100.0</v>
      </c>
      <c r="J300" s="3"/>
      <c r="K300" s="3" t="s">
        <v>92</v>
      </c>
      <c r="L300" s="3"/>
      <c r="M300" s="3" t="s">
        <v>6228</v>
      </c>
      <c r="N300" s="3" t="s">
        <v>74</v>
      </c>
      <c r="O300" s="3" t="s">
        <v>75</v>
      </c>
      <c r="P300" s="4">
        <v>44271.0393981482</v>
      </c>
      <c r="Q300" s="3" t="s">
        <v>77</v>
      </c>
      <c r="R300" s="3"/>
      <c r="S300" s="3" t="s">
        <v>400</v>
      </c>
      <c r="T300" s="3">
        <v>4321105.0</v>
      </c>
      <c r="U300" s="3" t="s">
        <v>5894</v>
      </c>
      <c r="V300" s="3" t="s">
        <v>402</v>
      </c>
      <c r="W300" s="3" t="s">
        <v>60</v>
      </c>
      <c r="X300" s="3"/>
      <c r="Y300" s="3"/>
      <c r="Z300" s="3" t="s">
        <v>79</v>
      </c>
      <c r="AA300" s="3" t="s">
        <v>6229</v>
      </c>
      <c r="AB300" s="3" t="str">
        <f>"***843919**"</f>
        <v>***843919**</v>
      </c>
      <c r="AC300" s="3"/>
      <c r="AD300" s="3" t="s">
        <v>62</v>
      </c>
      <c r="AE300" s="3"/>
      <c r="AF300" s="3">
        <v>-51.405278</v>
      </c>
      <c r="AG300" s="3">
        <v>-30.673611</v>
      </c>
      <c r="AH300" s="3" t="s">
        <v>5894</v>
      </c>
      <c r="AI300" s="3"/>
      <c r="AJ300" s="3" t="s">
        <v>405</v>
      </c>
      <c r="AK300" s="3"/>
      <c r="AL300" s="3"/>
      <c r="AM300" s="3" t="s">
        <v>65</v>
      </c>
      <c r="AN300" s="3" t="s">
        <v>1044</v>
      </c>
      <c r="AO300" s="3"/>
      <c r="AP300" s="4">
        <v>44271.06</v>
      </c>
      <c r="AQ300" s="3"/>
      <c r="AR300" s="3" t="s">
        <v>502</v>
      </c>
      <c r="AS300" s="3"/>
      <c r="AT300" s="4">
        <v>44281.0337152778</v>
      </c>
    </row>
    <row r="301" ht="15.75" customHeight="1">
      <c r="A301" s="3">
        <v>2044676.0</v>
      </c>
      <c r="B301" s="3" t="s">
        <v>116</v>
      </c>
      <c r="C301" s="3" t="s">
        <v>117</v>
      </c>
      <c r="D301" s="3" t="s">
        <v>46</v>
      </c>
      <c r="E301" s="3" t="s">
        <v>6230</v>
      </c>
      <c r="F301" s="3"/>
      <c r="G301" s="3" t="s">
        <v>119</v>
      </c>
      <c r="H301" s="3" t="s">
        <v>50</v>
      </c>
      <c r="I301" s="3">
        <v>10000.0</v>
      </c>
      <c r="J301" s="3"/>
      <c r="K301" s="3"/>
      <c r="L301" s="3" t="s">
        <v>452</v>
      </c>
      <c r="M301" s="3" t="s">
        <v>6231</v>
      </c>
      <c r="N301" s="3" t="s">
        <v>109</v>
      </c>
      <c r="O301" s="3" t="s">
        <v>110</v>
      </c>
      <c r="P301" s="4">
        <v>44270.9583333333</v>
      </c>
      <c r="Q301" s="3" t="s">
        <v>77</v>
      </c>
      <c r="R301" s="5">
        <v>44270.0</v>
      </c>
      <c r="S301" s="3" t="s">
        <v>447</v>
      </c>
      <c r="T301" s="3">
        <v>2104800.0</v>
      </c>
      <c r="U301" s="3" t="s">
        <v>6232</v>
      </c>
      <c r="V301" s="3" t="s">
        <v>449</v>
      </c>
      <c r="W301" s="3" t="s">
        <v>172</v>
      </c>
      <c r="X301" s="3"/>
      <c r="Y301" s="3" t="str">
        <f>"02012000520202141"</f>
        <v>02012000520202141</v>
      </c>
      <c r="Z301" s="3" t="s">
        <v>112</v>
      </c>
      <c r="AA301" s="3" t="s">
        <v>6233</v>
      </c>
      <c r="AB301" s="3" t="str">
        <f>"***726773**"</f>
        <v>***726773**</v>
      </c>
      <c r="AC301" s="3"/>
      <c r="AD301" s="3"/>
      <c r="AE301" s="3"/>
      <c r="AF301" s="3">
        <v>-46.021667</v>
      </c>
      <c r="AG301" s="3">
        <v>-5.410278</v>
      </c>
      <c r="AH301" s="3" t="s">
        <v>6234</v>
      </c>
      <c r="AI301" s="3"/>
      <c r="AJ301" s="3" t="s">
        <v>452</v>
      </c>
      <c r="AK301" s="3"/>
      <c r="AL301" s="3" t="s">
        <v>128</v>
      </c>
      <c r="AM301" s="3" t="s">
        <v>65</v>
      </c>
      <c r="AN301" s="3"/>
      <c r="AO301" s="4">
        <v>44279.0</v>
      </c>
      <c r="AP301" s="4">
        <v>44279.6540856481</v>
      </c>
      <c r="AQ301" s="3" t="s">
        <v>132</v>
      </c>
      <c r="AR301" s="3" t="s">
        <v>494</v>
      </c>
      <c r="AS301" s="3"/>
      <c r="AT301" s="4">
        <v>44281.0337152778</v>
      </c>
    </row>
    <row r="302" ht="15.75" customHeight="1">
      <c r="A302" s="3">
        <v>2044678.0</v>
      </c>
      <c r="B302" s="3" t="s">
        <v>116</v>
      </c>
      <c r="C302" s="3" t="s">
        <v>117</v>
      </c>
      <c r="D302" s="3" t="s">
        <v>46</v>
      </c>
      <c r="E302" s="3" t="s">
        <v>6235</v>
      </c>
      <c r="F302" s="3"/>
      <c r="G302" s="3" t="s">
        <v>119</v>
      </c>
      <c r="H302" s="3" t="s">
        <v>50</v>
      </c>
      <c r="I302" s="3">
        <v>10000.0</v>
      </c>
      <c r="J302" s="3"/>
      <c r="K302" s="3"/>
      <c r="L302" s="3" t="s">
        <v>452</v>
      </c>
      <c r="M302" s="3" t="s">
        <v>6236</v>
      </c>
      <c r="N302" s="3" t="s">
        <v>109</v>
      </c>
      <c r="O302" s="3" t="s">
        <v>110</v>
      </c>
      <c r="P302" s="4">
        <v>44270.9583333333</v>
      </c>
      <c r="Q302" s="3" t="s">
        <v>56</v>
      </c>
      <c r="R302" s="5">
        <v>44270.0</v>
      </c>
      <c r="S302" s="3" t="s">
        <v>447</v>
      </c>
      <c r="T302" s="3">
        <v>2101509.0</v>
      </c>
      <c r="U302" s="3" t="s">
        <v>6237</v>
      </c>
      <c r="V302" s="3" t="s">
        <v>449</v>
      </c>
      <c r="W302" s="3" t="s">
        <v>172</v>
      </c>
      <c r="X302" s="3"/>
      <c r="Y302" s="3" t="str">
        <f>"02012000521202196"</f>
        <v>02012000521202196</v>
      </c>
      <c r="Z302" s="3" t="s">
        <v>112</v>
      </c>
      <c r="AA302" s="3" t="s">
        <v>6238</v>
      </c>
      <c r="AB302" s="3" t="str">
        <f>"***504376**"</f>
        <v>***504376**</v>
      </c>
      <c r="AC302" s="3"/>
      <c r="AD302" s="3"/>
      <c r="AE302" s="3"/>
      <c r="AF302" s="3">
        <v>-45.908056</v>
      </c>
      <c r="AG302" s="3">
        <v>-5.622139</v>
      </c>
      <c r="AH302" s="3" t="s">
        <v>6239</v>
      </c>
      <c r="AI302" s="3"/>
      <c r="AJ302" s="3" t="s">
        <v>452</v>
      </c>
      <c r="AK302" s="3"/>
      <c r="AL302" s="3" t="s">
        <v>128</v>
      </c>
      <c r="AM302" s="3" t="s">
        <v>65</v>
      </c>
      <c r="AN302" s="3"/>
      <c r="AO302" s="4">
        <v>44279.0</v>
      </c>
      <c r="AP302" s="4">
        <v>44279.6551967593</v>
      </c>
      <c r="AQ302" s="3" t="s">
        <v>132</v>
      </c>
      <c r="AR302" s="3" t="s">
        <v>494</v>
      </c>
      <c r="AS302" s="3"/>
      <c r="AT302" s="4">
        <v>44281.0337152778</v>
      </c>
    </row>
    <row r="303" ht="15.75" customHeight="1">
      <c r="A303" s="3"/>
      <c r="B303" s="3" t="s">
        <v>46</v>
      </c>
      <c r="C303" s="3" t="s">
        <v>47</v>
      </c>
      <c r="D303" s="3"/>
      <c r="E303" s="3" t="s">
        <v>6240</v>
      </c>
      <c r="F303" s="3"/>
      <c r="G303" s="3" t="s">
        <v>49</v>
      </c>
      <c r="H303" s="3" t="s">
        <v>50</v>
      </c>
      <c r="I303" s="3">
        <v>10000.0</v>
      </c>
      <c r="J303" s="3"/>
      <c r="K303" s="3" t="s">
        <v>92</v>
      </c>
      <c r="L303" s="3"/>
      <c r="M303" s="3" t="s">
        <v>6241</v>
      </c>
      <c r="N303" s="3" t="s">
        <v>109</v>
      </c>
      <c r="O303" s="3" t="s">
        <v>110</v>
      </c>
      <c r="P303" s="4">
        <v>44270.8893402778</v>
      </c>
      <c r="Q303" s="3" t="s">
        <v>56</v>
      </c>
      <c r="R303" s="5">
        <v>44271.0</v>
      </c>
      <c r="S303" s="3" t="s">
        <v>447</v>
      </c>
      <c r="T303" s="3">
        <v>2104800.0</v>
      </c>
      <c r="U303" s="3" t="s">
        <v>6232</v>
      </c>
      <c r="V303" s="3" t="s">
        <v>449</v>
      </c>
      <c r="W303" s="3" t="s">
        <v>172</v>
      </c>
      <c r="X303" s="3"/>
      <c r="Y303" s="3"/>
      <c r="Z303" s="3" t="s">
        <v>112</v>
      </c>
      <c r="AA303" s="3" t="s">
        <v>6242</v>
      </c>
      <c r="AB303" s="3" t="str">
        <f>"***356463**"</f>
        <v>***356463**</v>
      </c>
      <c r="AC303" s="3"/>
      <c r="AD303" s="3" t="s">
        <v>62</v>
      </c>
      <c r="AE303" s="3"/>
      <c r="AF303" s="3">
        <v>-46.189167</v>
      </c>
      <c r="AG303" s="3">
        <v>-5.769167</v>
      </c>
      <c r="AH303" s="3" t="s">
        <v>6243</v>
      </c>
      <c r="AI303" s="3"/>
      <c r="AJ303" s="3" t="s">
        <v>452</v>
      </c>
      <c r="AK303" s="3"/>
      <c r="AL303" s="3"/>
      <c r="AM303" s="3" t="s">
        <v>65</v>
      </c>
      <c r="AN303" s="3"/>
      <c r="AO303" s="3"/>
      <c r="AP303" s="4">
        <v>44270.9150694444</v>
      </c>
      <c r="AQ303" s="3"/>
      <c r="AR303" s="3" t="s">
        <v>684</v>
      </c>
      <c r="AS303" s="3"/>
      <c r="AT303" s="4">
        <v>44281.0337152778</v>
      </c>
    </row>
    <row r="304" ht="15.75" customHeight="1">
      <c r="A304" s="3"/>
      <c r="B304" s="3" t="s">
        <v>46</v>
      </c>
      <c r="C304" s="3" t="s">
        <v>47</v>
      </c>
      <c r="D304" s="3"/>
      <c r="E304" s="3" t="s">
        <v>6244</v>
      </c>
      <c r="F304" s="3"/>
      <c r="G304" s="3" t="s">
        <v>49</v>
      </c>
      <c r="H304" s="3" t="s">
        <v>50</v>
      </c>
      <c r="I304" s="3">
        <v>4100.0</v>
      </c>
      <c r="J304" s="3"/>
      <c r="K304" s="3" t="s">
        <v>51</v>
      </c>
      <c r="L304" s="3"/>
      <c r="M304" s="3" t="s">
        <v>6245</v>
      </c>
      <c r="N304" s="3" t="s">
        <v>381</v>
      </c>
      <c r="O304" s="3" t="s">
        <v>382</v>
      </c>
      <c r="P304" s="4">
        <v>44270.7977893519</v>
      </c>
      <c r="Q304" s="3" t="s">
        <v>56</v>
      </c>
      <c r="R304" s="3"/>
      <c r="S304" s="3" t="s">
        <v>220</v>
      </c>
      <c r="T304" s="3">
        <v>1302603.0</v>
      </c>
      <c r="U304" s="3" t="s">
        <v>4149</v>
      </c>
      <c r="V304" s="3" t="s">
        <v>99</v>
      </c>
      <c r="W304" s="3" t="s">
        <v>100</v>
      </c>
      <c r="X304" s="3"/>
      <c r="Y304" s="3"/>
      <c r="Z304" s="3" t="s">
        <v>384</v>
      </c>
      <c r="AA304" s="3" t="s">
        <v>6246</v>
      </c>
      <c r="AB304" s="3" t="str">
        <f>"84097468000136"</f>
        <v>84097468000136</v>
      </c>
      <c r="AC304" s="3"/>
      <c r="AD304" s="3" t="s">
        <v>81</v>
      </c>
      <c r="AE304" s="3"/>
      <c r="AF304" s="3">
        <v>-60.036111</v>
      </c>
      <c r="AG304" s="3">
        <v>-2.597778</v>
      </c>
      <c r="AH304" s="3" t="s">
        <v>6247</v>
      </c>
      <c r="AI304" s="3"/>
      <c r="AJ304" s="3" t="s">
        <v>104</v>
      </c>
      <c r="AK304" s="3"/>
      <c r="AL304" s="3"/>
      <c r="AM304" s="3" t="s">
        <v>65</v>
      </c>
      <c r="AN304" s="3" t="s">
        <v>3688</v>
      </c>
      <c r="AO304" s="3"/>
      <c r="AP304" s="4">
        <v>44270.8167824074</v>
      </c>
      <c r="AQ304" s="3"/>
      <c r="AR304" s="3" t="s">
        <v>3983</v>
      </c>
      <c r="AS304" s="3"/>
      <c r="AT304" s="4">
        <v>44281.0337152778</v>
      </c>
    </row>
    <row r="305" ht="15.75" customHeight="1">
      <c r="A305" s="3"/>
      <c r="B305" s="3" t="s">
        <v>46</v>
      </c>
      <c r="C305" s="3" t="s">
        <v>47</v>
      </c>
      <c r="D305" s="3"/>
      <c r="E305" s="3" t="s">
        <v>6248</v>
      </c>
      <c r="F305" s="3"/>
      <c r="G305" s="3" t="s">
        <v>49</v>
      </c>
      <c r="H305" s="3" t="s">
        <v>50</v>
      </c>
      <c r="I305" s="3">
        <v>1510.0</v>
      </c>
      <c r="J305" s="3"/>
      <c r="K305" s="3" t="s">
        <v>51</v>
      </c>
      <c r="L305" s="3"/>
      <c r="M305" s="3" t="s">
        <v>6249</v>
      </c>
      <c r="N305" s="3" t="s">
        <v>381</v>
      </c>
      <c r="O305" s="3" t="s">
        <v>382</v>
      </c>
      <c r="P305" s="4">
        <v>44270.7814814815</v>
      </c>
      <c r="Q305" s="3" t="s">
        <v>56</v>
      </c>
      <c r="R305" s="3"/>
      <c r="S305" s="3" t="s">
        <v>97</v>
      </c>
      <c r="T305" s="3">
        <v>1302603.0</v>
      </c>
      <c r="U305" s="3" t="s">
        <v>4149</v>
      </c>
      <c r="V305" s="3" t="s">
        <v>99</v>
      </c>
      <c r="W305" s="3" t="s">
        <v>100</v>
      </c>
      <c r="X305" s="3"/>
      <c r="Y305" s="3"/>
      <c r="Z305" s="3" t="s">
        <v>384</v>
      </c>
      <c r="AA305" s="3" t="s">
        <v>6250</v>
      </c>
      <c r="AB305" s="3" t="str">
        <f>"08154629000106"</f>
        <v>08154629000106</v>
      </c>
      <c r="AC305" s="3"/>
      <c r="AD305" s="3" t="s">
        <v>81</v>
      </c>
      <c r="AE305" s="3"/>
      <c r="AF305" s="3">
        <v>-60.036111</v>
      </c>
      <c r="AG305" s="3">
        <v>-2.597778</v>
      </c>
      <c r="AH305" s="3" t="s">
        <v>6247</v>
      </c>
      <c r="AI305" s="3"/>
      <c r="AJ305" s="3" t="s">
        <v>104</v>
      </c>
      <c r="AK305" s="3"/>
      <c r="AL305" s="3"/>
      <c r="AM305" s="3" t="s">
        <v>65</v>
      </c>
      <c r="AN305" s="3" t="s">
        <v>3688</v>
      </c>
      <c r="AO305" s="3"/>
      <c r="AP305" s="4">
        <v>44270.7874537037</v>
      </c>
      <c r="AQ305" s="3"/>
      <c r="AR305" s="3" t="s">
        <v>3983</v>
      </c>
      <c r="AS305" s="3"/>
      <c r="AT305" s="4">
        <v>44281.0337152778</v>
      </c>
    </row>
    <row r="306" ht="15.75" customHeight="1">
      <c r="A306" s="3"/>
      <c r="B306" s="3" t="s">
        <v>46</v>
      </c>
      <c r="C306" s="3" t="s">
        <v>47</v>
      </c>
      <c r="D306" s="3"/>
      <c r="E306" s="3" t="s">
        <v>6251</v>
      </c>
      <c r="F306" s="3"/>
      <c r="G306" s="3" t="s">
        <v>49</v>
      </c>
      <c r="H306" s="3" t="s">
        <v>50</v>
      </c>
      <c r="I306" s="3">
        <v>111500.0</v>
      </c>
      <c r="J306" s="3"/>
      <c r="K306" s="3" t="s">
        <v>92</v>
      </c>
      <c r="L306" s="3"/>
      <c r="M306" s="3" t="s">
        <v>6252</v>
      </c>
      <c r="N306" s="3" t="s">
        <v>94</v>
      </c>
      <c r="O306" s="3" t="s">
        <v>95</v>
      </c>
      <c r="P306" s="4">
        <v>44270.7575231481</v>
      </c>
      <c r="Q306" s="3" t="s">
        <v>137</v>
      </c>
      <c r="R306" s="3"/>
      <c r="S306" s="3" t="s">
        <v>1639</v>
      </c>
      <c r="T306" s="3">
        <v>5108907.0</v>
      </c>
      <c r="U306" s="3" t="s">
        <v>6165</v>
      </c>
      <c r="V306" s="3" t="s">
        <v>323</v>
      </c>
      <c r="W306" s="3" t="s">
        <v>100</v>
      </c>
      <c r="X306" s="3"/>
      <c r="Y306" s="3"/>
      <c r="Z306" s="3" t="s">
        <v>101</v>
      </c>
      <c r="AA306" s="3" t="s">
        <v>6253</v>
      </c>
      <c r="AB306" s="3" t="str">
        <f>"28488656000114"</f>
        <v>28488656000114</v>
      </c>
      <c r="AC306" s="3"/>
      <c r="AD306" s="3" t="s">
        <v>81</v>
      </c>
      <c r="AE306" s="3"/>
      <c r="AF306" s="3">
        <v>-57.093056</v>
      </c>
      <c r="AG306" s="3">
        <v>-13.045833</v>
      </c>
      <c r="AH306" s="3" t="s">
        <v>6254</v>
      </c>
      <c r="AI306" s="3"/>
      <c r="AJ306" s="3" t="s">
        <v>327</v>
      </c>
      <c r="AK306" s="3"/>
      <c r="AL306" s="3"/>
      <c r="AM306" s="3" t="s">
        <v>65</v>
      </c>
      <c r="AN306" s="3" t="s">
        <v>5379</v>
      </c>
      <c r="AO306" s="3"/>
      <c r="AP306" s="4">
        <v>44270.7850694444</v>
      </c>
      <c r="AQ306" s="3"/>
      <c r="AR306" s="3" t="s">
        <v>6168</v>
      </c>
      <c r="AS306" s="3"/>
      <c r="AT306" s="4">
        <v>44281.0337152778</v>
      </c>
    </row>
    <row r="307" ht="15.75" customHeight="1">
      <c r="A307" s="3">
        <v>2044482.0</v>
      </c>
      <c r="B307" s="3" t="s">
        <v>116</v>
      </c>
      <c r="C307" s="3" t="s">
        <v>117</v>
      </c>
      <c r="D307" s="3" t="s">
        <v>46</v>
      </c>
      <c r="E307" s="3" t="s">
        <v>6255</v>
      </c>
      <c r="F307" s="3"/>
      <c r="G307" s="3" t="s">
        <v>119</v>
      </c>
      <c r="H307" s="3" t="s">
        <v>50</v>
      </c>
      <c r="I307" s="3">
        <v>405000.0</v>
      </c>
      <c r="J307" s="3"/>
      <c r="K307" s="3"/>
      <c r="L307" s="3" t="s">
        <v>104</v>
      </c>
      <c r="M307" s="3" t="s">
        <v>6256</v>
      </c>
      <c r="N307" s="3" t="s">
        <v>109</v>
      </c>
      <c r="O307" s="3" t="s">
        <v>110</v>
      </c>
      <c r="P307" s="4">
        <v>44270.75</v>
      </c>
      <c r="Q307" s="3" t="s">
        <v>77</v>
      </c>
      <c r="R307" s="5">
        <v>44270.0</v>
      </c>
      <c r="S307" s="3" t="s">
        <v>97</v>
      </c>
      <c r="T307" s="3">
        <v>1302702.0</v>
      </c>
      <c r="U307" s="3" t="s">
        <v>4704</v>
      </c>
      <c r="V307" s="3" t="s">
        <v>99</v>
      </c>
      <c r="W307" s="3" t="s">
        <v>100</v>
      </c>
      <c r="X307" s="3"/>
      <c r="Y307" s="3" t="str">
        <f>"02005000311202197"</f>
        <v>02005000311202197</v>
      </c>
      <c r="Z307" s="3" t="s">
        <v>112</v>
      </c>
      <c r="AA307" s="3" t="s">
        <v>4705</v>
      </c>
      <c r="AB307" s="3" t="str">
        <f>"***400935**"</f>
        <v>***400935**</v>
      </c>
      <c r="AC307" s="3"/>
      <c r="AD307" s="3"/>
      <c r="AE307" s="3"/>
      <c r="AF307" s="3">
        <v>-61.790556</v>
      </c>
      <c r="AG307" s="3">
        <v>-7.951667</v>
      </c>
      <c r="AH307" s="3" t="s">
        <v>6257</v>
      </c>
      <c r="AI307" s="3"/>
      <c r="AJ307" s="3" t="s">
        <v>104</v>
      </c>
      <c r="AK307" s="3"/>
      <c r="AL307" s="3" t="s">
        <v>128</v>
      </c>
      <c r="AM307" s="3" t="s">
        <v>65</v>
      </c>
      <c r="AN307" s="3" t="s">
        <v>3688</v>
      </c>
      <c r="AO307" s="4">
        <v>44272.0</v>
      </c>
      <c r="AP307" s="4">
        <v>44272.5049884259</v>
      </c>
      <c r="AQ307" s="3" t="s">
        <v>132</v>
      </c>
      <c r="AR307" s="3" t="s">
        <v>6258</v>
      </c>
      <c r="AS307" s="3"/>
      <c r="AT307" s="4">
        <v>44281.0337152778</v>
      </c>
    </row>
    <row r="308" ht="15.75" customHeight="1">
      <c r="A308" s="3"/>
      <c r="B308" s="3" t="s">
        <v>46</v>
      </c>
      <c r="C308" s="3" t="s">
        <v>47</v>
      </c>
      <c r="D308" s="3"/>
      <c r="E308" s="3" t="s">
        <v>6259</v>
      </c>
      <c r="F308" s="3"/>
      <c r="G308" s="3" t="s">
        <v>49</v>
      </c>
      <c r="H308" s="3" t="s">
        <v>50</v>
      </c>
      <c r="I308" s="3">
        <v>1510.0</v>
      </c>
      <c r="J308" s="3"/>
      <c r="K308" s="3" t="s">
        <v>51</v>
      </c>
      <c r="L308" s="3"/>
      <c r="M308" s="3" t="s">
        <v>6260</v>
      </c>
      <c r="N308" s="3" t="s">
        <v>381</v>
      </c>
      <c r="O308" s="3" t="s">
        <v>382</v>
      </c>
      <c r="P308" s="4">
        <v>44270.7450347222</v>
      </c>
      <c r="Q308" s="3" t="s">
        <v>56</v>
      </c>
      <c r="R308" s="3"/>
      <c r="S308" s="3" t="s">
        <v>97</v>
      </c>
      <c r="T308" s="3">
        <v>1302603.0</v>
      </c>
      <c r="U308" s="3" t="s">
        <v>4149</v>
      </c>
      <c r="V308" s="3" t="s">
        <v>99</v>
      </c>
      <c r="W308" s="3" t="s">
        <v>100</v>
      </c>
      <c r="X308" s="3"/>
      <c r="Y308" s="3"/>
      <c r="Z308" s="3" t="s">
        <v>384</v>
      </c>
      <c r="AA308" s="3" t="s">
        <v>6250</v>
      </c>
      <c r="AB308" s="3" t="str">
        <f>"08154629000106"</f>
        <v>08154629000106</v>
      </c>
      <c r="AC308" s="3"/>
      <c r="AD308" s="3" t="s">
        <v>81</v>
      </c>
      <c r="AE308" s="3"/>
      <c r="AF308" s="3">
        <v>-60.036111</v>
      </c>
      <c r="AG308" s="3">
        <v>-2.597778</v>
      </c>
      <c r="AH308" s="3" t="s">
        <v>6261</v>
      </c>
      <c r="AI308" s="3"/>
      <c r="AJ308" s="3" t="s">
        <v>104</v>
      </c>
      <c r="AK308" s="3"/>
      <c r="AL308" s="3"/>
      <c r="AM308" s="3" t="s">
        <v>65</v>
      </c>
      <c r="AN308" s="3" t="s">
        <v>3688</v>
      </c>
      <c r="AO308" s="3"/>
      <c r="AP308" s="4">
        <v>44270.7626967593</v>
      </c>
      <c r="AQ308" s="3"/>
      <c r="AR308" s="3" t="s">
        <v>3983</v>
      </c>
      <c r="AS308" s="3"/>
      <c r="AT308" s="4">
        <v>44281.0337152778</v>
      </c>
    </row>
    <row r="309" ht="15.75" customHeight="1">
      <c r="A309" s="3"/>
      <c r="B309" s="3" t="s">
        <v>46</v>
      </c>
      <c r="C309" s="3" t="s">
        <v>47</v>
      </c>
      <c r="D309" s="3"/>
      <c r="E309" s="3" t="s">
        <v>6262</v>
      </c>
      <c r="F309" s="3"/>
      <c r="G309" s="3" t="s">
        <v>49</v>
      </c>
      <c r="H309" s="3" t="s">
        <v>72</v>
      </c>
      <c r="I309" s="3">
        <v>48990.0</v>
      </c>
      <c r="J309" s="3"/>
      <c r="K309" s="3"/>
      <c r="L309" s="3"/>
      <c r="M309" s="3" t="s">
        <v>6263</v>
      </c>
      <c r="N309" s="3" t="s">
        <v>109</v>
      </c>
      <c r="O309" s="3" t="s">
        <v>110</v>
      </c>
      <c r="P309" s="4">
        <v>44270.7322453704</v>
      </c>
      <c r="Q309" s="3" t="s">
        <v>137</v>
      </c>
      <c r="R309" s="3"/>
      <c r="S309" s="3" t="s">
        <v>1639</v>
      </c>
      <c r="T309" s="3">
        <v>5108907.0</v>
      </c>
      <c r="U309" s="3" t="s">
        <v>6165</v>
      </c>
      <c r="V309" s="3" t="s">
        <v>323</v>
      </c>
      <c r="W309" s="3" t="s">
        <v>100</v>
      </c>
      <c r="X309" s="3"/>
      <c r="Y309" s="3"/>
      <c r="Z309" s="3" t="s">
        <v>112</v>
      </c>
      <c r="AA309" s="3" t="s">
        <v>6253</v>
      </c>
      <c r="AB309" s="3" t="str">
        <f>"28488656000114"</f>
        <v>28488656000114</v>
      </c>
      <c r="AC309" s="3"/>
      <c r="AD309" s="3" t="s">
        <v>81</v>
      </c>
      <c r="AE309" s="3"/>
      <c r="AF309" s="3">
        <v>-57.093056</v>
      </c>
      <c r="AG309" s="3">
        <v>-13.045833</v>
      </c>
      <c r="AH309" s="3" t="s">
        <v>6254</v>
      </c>
      <c r="AI309" s="3"/>
      <c r="AJ309" s="3" t="s">
        <v>327</v>
      </c>
      <c r="AK309" s="3"/>
      <c r="AL309" s="3"/>
      <c r="AM309" s="3" t="s">
        <v>65</v>
      </c>
      <c r="AN309" s="3" t="s">
        <v>5379</v>
      </c>
      <c r="AO309" s="3"/>
      <c r="AP309" s="4">
        <v>44270.7406365741</v>
      </c>
      <c r="AQ309" s="3"/>
      <c r="AR309" s="3" t="s">
        <v>177</v>
      </c>
      <c r="AS309" s="3"/>
      <c r="AT309" s="4">
        <v>44281.0337152778</v>
      </c>
    </row>
    <row r="310" ht="15.75" customHeight="1">
      <c r="A310" s="3">
        <v>2044675.0</v>
      </c>
      <c r="B310" s="3" t="s">
        <v>116</v>
      </c>
      <c r="C310" s="3" t="s">
        <v>117</v>
      </c>
      <c r="D310" s="3" t="s">
        <v>46</v>
      </c>
      <c r="E310" s="3" t="s">
        <v>6264</v>
      </c>
      <c r="F310" s="3"/>
      <c r="G310" s="3" t="s">
        <v>119</v>
      </c>
      <c r="H310" s="3" t="s">
        <v>50</v>
      </c>
      <c r="I310" s="3">
        <v>10000.0</v>
      </c>
      <c r="J310" s="3"/>
      <c r="K310" s="3"/>
      <c r="L310" s="3" t="s">
        <v>452</v>
      </c>
      <c r="M310" s="3" t="s">
        <v>6265</v>
      </c>
      <c r="N310" s="3" t="s">
        <v>109</v>
      </c>
      <c r="O310" s="3" t="s">
        <v>110</v>
      </c>
      <c r="P310" s="4">
        <v>44270.7083333333</v>
      </c>
      <c r="Q310" s="3" t="s">
        <v>77</v>
      </c>
      <c r="R310" s="5">
        <v>44270.0</v>
      </c>
      <c r="S310" s="3" t="s">
        <v>220</v>
      </c>
      <c r="T310" s="3">
        <v>2111805.0</v>
      </c>
      <c r="U310" s="3" t="s">
        <v>6266</v>
      </c>
      <c r="V310" s="3" t="s">
        <v>449</v>
      </c>
      <c r="W310" s="3" t="s">
        <v>172</v>
      </c>
      <c r="X310" s="3"/>
      <c r="Y310" s="3" t="str">
        <f>"02012000519202117"</f>
        <v>02012000519202117</v>
      </c>
      <c r="Z310" s="3" t="s">
        <v>112</v>
      </c>
      <c r="AA310" s="3" t="s">
        <v>6267</v>
      </c>
      <c r="AB310" s="3" t="str">
        <f>"***872601**"</f>
        <v>***872601**</v>
      </c>
      <c r="AC310" s="3"/>
      <c r="AD310" s="3"/>
      <c r="AE310" s="3"/>
      <c r="AF310" s="3">
        <v>-46.614167</v>
      </c>
      <c r="AG310" s="3">
        <v>-5.820833</v>
      </c>
      <c r="AH310" s="3" t="s">
        <v>6268</v>
      </c>
      <c r="AI310" s="3"/>
      <c r="AJ310" s="3" t="s">
        <v>452</v>
      </c>
      <c r="AK310" s="3"/>
      <c r="AL310" s="3" t="s">
        <v>128</v>
      </c>
      <c r="AM310" s="3" t="s">
        <v>65</v>
      </c>
      <c r="AN310" s="3"/>
      <c r="AO310" s="4">
        <v>44279.0</v>
      </c>
      <c r="AP310" s="4">
        <v>44279.6502199074</v>
      </c>
      <c r="AQ310" s="3" t="s">
        <v>132</v>
      </c>
      <c r="AR310" s="3" t="s">
        <v>494</v>
      </c>
      <c r="AS310" s="3"/>
      <c r="AT310" s="4">
        <v>44281.0337152778</v>
      </c>
    </row>
    <row r="311" ht="15.75" customHeight="1">
      <c r="A311" s="3"/>
      <c r="B311" s="3" t="s">
        <v>46</v>
      </c>
      <c r="C311" s="3" t="s">
        <v>47</v>
      </c>
      <c r="D311" s="3"/>
      <c r="E311" s="3" t="s">
        <v>6269</v>
      </c>
      <c r="F311" s="3"/>
      <c r="G311" s="3" t="s">
        <v>49</v>
      </c>
      <c r="H311" s="3" t="s">
        <v>50</v>
      </c>
      <c r="I311" s="3">
        <v>3000.0</v>
      </c>
      <c r="J311" s="3"/>
      <c r="K311" s="3" t="s">
        <v>51</v>
      </c>
      <c r="L311" s="3"/>
      <c r="M311" s="3" t="s">
        <v>6270</v>
      </c>
      <c r="N311" s="3" t="s">
        <v>94</v>
      </c>
      <c r="O311" s="3" t="s">
        <v>95</v>
      </c>
      <c r="P311" s="4">
        <v>44270.6759837963</v>
      </c>
      <c r="Q311" s="3" t="s">
        <v>56</v>
      </c>
      <c r="R311" s="5">
        <v>44270.0</v>
      </c>
      <c r="S311" s="3" t="s">
        <v>288</v>
      </c>
      <c r="T311" s="3">
        <v>2202802.0</v>
      </c>
      <c r="U311" s="3" t="s">
        <v>6271</v>
      </c>
      <c r="V311" s="3" t="s">
        <v>290</v>
      </c>
      <c r="W311" s="3" t="s">
        <v>172</v>
      </c>
      <c r="X311" s="3"/>
      <c r="Y311" s="3"/>
      <c r="Z311" s="3" t="s">
        <v>101</v>
      </c>
      <c r="AA311" s="3" t="s">
        <v>6272</v>
      </c>
      <c r="AB311" s="3" t="str">
        <f>"18865773000104"</f>
        <v>18865773000104</v>
      </c>
      <c r="AC311" s="3"/>
      <c r="AD311" s="3" t="s">
        <v>62</v>
      </c>
      <c r="AE311" s="3"/>
      <c r="AF311" s="3">
        <v>-42.783611</v>
      </c>
      <c r="AG311" s="3">
        <v>-5.064722</v>
      </c>
      <c r="AH311" s="3" t="s">
        <v>354</v>
      </c>
      <c r="AI311" s="3"/>
      <c r="AJ311" s="3" t="s">
        <v>295</v>
      </c>
      <c r="AK311" s="3"/>
      <c r="AL311" s="3"/>
      <c r="AM311" s="3" t="s">
        <v>65</v>
      </c>
      <c r="AN311" s="3" t="s">
        <v>296</v>
      </c>
      <c r="AO311" s="3"/>
      <c r="AP311" s="4">
        <v>44270.6819444444</v>
      </c>
      <c r="AQ311" s="3"/>
      <c r="AR311" s="3" t="s">
        <v>298</v>
      </c>
      <c r="AS311" s="3"/>
      <c r="AT311" s="4">
        <v>44281.0337152778</v>
      </c>
    </row>
    <row r="312" ht="15.75" customHeight="1">
      <c r="A312" s="3"/>
      <c r="B312" s="3" t="s">
        <v>46</v>
      </c>
      <c r="C312" s="3" t="s">
        <v>47</v>
      </c>
      <c r="D312" s="3"/>
      <c r="E312" s="3" t="s">
        <v>6273</v>
      </c>
      <c r="F312" s="3"/>
      <c r="G312" s="3" t="s">
        <v>49</v>
      </c>
      <c r="H312" s="3" t="s">
        <v>72</v>
      </c>
      <c r="I312" s="3">
        <v>1800.0</v>
      </c>
      <c r="J312" s="3"/>
      <c r="K312" s="3"/>
      <c r="L312" s="3"/>
      <c r="M312" s="3" t="s">
        <v>5977</v>
      </c>
      <c r="N312" s="3" t="s">
        <v>381</v>
      </c>
      <c r="O312" s="3" t="s">
        <v>382</v>
      </c>
      <c r="P312" s="4">
        <v>44270.6668055556</v>
      </c>
      <c r="Q312" s="3" t="s">
        <v>56</v>
      </c>
      <c r="R312" s="3"/>
      <c r="S312" s="3" t="s">
        <v>359</v>
      </c>
      <c r="T312" s="3">
        <v>3509502.0</v>
      </c>
      <c r="U312" s="3" t="s">
        <v>1339</v>
      </c>
      <c r="V312" s="3" t="s">
        <v>139</v>
      </c>
      <c r="W312" s="3" t="s">
        <v>78</v>
      </c>
      <c r="X312" s="3"/>
      <c r="Y312" s="3"/>
      <c r="Z312" s="3" t="s">
        <v>384</v>
      </c>
      <c r="AA312" s="3" t="s">
        <v>6274</v>
      </c>
      <c r="AB312" s="3" t="str">
        <f>"59179838000137"</f>
        <v>59179838000137</v>
      </c>
      <c r="AC312" s="3"/>
      <c r="AD312" s="3" t="s">
        <v>62</v>
      </c>
      <c r="AE312" s="3"/>
      <c r="AF312" s="3">
        <v>-47.146389</v>
      </c>
      <c r="AG312" s="3">
        <v>-22.941944</v>
      </c>
      <c r="AH312" s="3" t="s">
        <v>6275</v>
      </c>
      <c r="AI312" s="3"/>
      <c r="AJ312" s="3" t="s">
        <v>1763</v>
      </c>
      <c r="AK312" s="3"/>
      <c r="AL312" s="3"/>
      <c r="AM312" s="3" t="s">
        <v>65</v>
      </c>
      <c r="AN312" s="3" t="s">
        <v>5317</v>
      </c>
      <c r="AO312" s="3"/>
      <c r="AP312" s="4">
        <v>44270.6725347222</v>
      </c>
      <c r="AQ312" s="3"/>
      <c r="AR312" s="3" t="s">
        <v>803</v>
      </c>
      <c r="AS312" s="3" t="s">
        <v>5420</v>
      </c>
      <c r="AT312" s="4">
        <v>44281.0337152778</v>
      </c>
    </row>
    <row r="313" ht="15.75" customHeight="1">
      <c r="A313" s="3">
        <v>2044610.0</v>
      </c>
      <c r="B313" s="3" t="s">
        <v>116</v>
      </c>
      <c r="C313" s="3" t="s">
        <v>117</v>
      </c>
      <c r="D313" s="3" t="s">
        <v>46</v>
      </c>
      <c r="E313" s="3" t="s">
        <v>6276</v>
      </c>
      <c r="F313" s="3"/>
      <c r="G313" s="3" t="s">
        <v>119</v>
      </c>
      <c r="H313" s="3" t="s">
        <v>72</v>
      </c>
      <c r="I313" s="3">
        <v>6900.0</v>
      </c>
      <c r="J313" s="3"/>
      <c r="K313" s="3"/>
      <c r="L313" s="3" t="s">
        <v>1473</v>
      </c>
      <c r="M313" s="3" t="s">
        <v>6277</v>
      </c>
      <c r="N313" s="3" t="s">
        <v>109</v>
      </c>
      <c r="O313" s="3" t="s">
        <v>110</v>
      </c>
      <c r="P313" s="4">
        <v>44270.6666666667</v>
      </c>
      <c r="Q313" s="3" t="s">
        <v>56</v>
      </c>
      <c r="R313" s="5">
        <v>44272.0</v>
      </c>
      <c r="S313" s="3" t="s">
        <v>1468</v>
      </c>
      <c r="T313" s="3">
        <v>5003207.0</v>
      </c>
      <c r="U313" s="3" t="s">
        <v>2929</v>
      </c>
      <c r="V313" s="3" t="s">
        <v>1470</v>
      </c>
      <c r="W313" s="3" t="s">
        <v>1658</v>
      </c>
      <c r="X313" s="3"/>
      <c r="Y313" s="3"/>
      <c r="Z313" s="3" t="s">
        <v>112</v>
      </c>
      <c r="AA313" s="3" t="s">
        <v>6278</v>
      </c>
      <c r="AB313" s="3" t="str">
        <f>"***342991**"</f>
        <v>***342991**</v>
      </c>
      <c r="AC313" s="3"/>
      <c r="AD313" s="3"/>
      <c r="AE313" s="3"/>
      <c r="AF313" s="3">
        <v>-57.815556</v>
      </c>
      <c r="AG313" s="3">
        <v>-19.171944</v>
      </c>
      <c r="AH313" s="3" t="s">
        <v>6279</v>
      </c>
      <c r="AI313" s="3"/>
      <c r="AJ313" s="3" t="s">
        <v>1473</v>
      </c>
      <c r="AK313" s="3"/>
      <c r="AL313" s="3" t="s">
        <v>128</v>
      </c>
      <c r="AM313" s="3" t="s">
        <v>65</v>
      </c>
      <c r="AN313" s="3"/>
      <c r="AO313" s="4">
        <v>44278.0</v>
      </c>
      <c r="AP313" s="4">
        <v>44278.646099537</v>
      </c>
      <c r="AQ313" s="3" t="s">
        <v>132</v>
      </c>
      <c r="AR313" s="3" t="s">
        <v>3557</v>
      </c>
      <c r="AS313" s="3"/>
      <c r="AT313" s="4">
        <v>44281.0337152778</v>
      </c>
    </row>
    <row r="314" ht="15.75" customHeight="1">
      <c r="A314" s="3">
        <v>2044672.0</v>
      </c>
      <c r="B314" s="3" t="s">
        <v>116</v>
      </c>
      <c r="C314" s="3" t="s">
        <v>117</v>
      </c>
      <c r="D314" s="3" t="s">
        <v>46</v>
      </c>
      <c r="E314" s="3" t="s">
        <v>6280</v>
      </c>
      <c r="F314" s="3"/>
      <c r="G314" s="3" t="s">
        <v>119</v>
      </c>
      <c r="H314" s="3" t="s">
        <v>50</v>
      </c>
      <c r="I314" s="3">
        <v>10000.0</v>
      </c>
      <c r="J314" s="3"/>
      <c r="K314" s="3"/>
      <c r="L314" s="3" t="s">
        <v>452</v>
      </c>
      <c r="M314" s="3" t="s">
        <v>6281</v>
      </c>
      <c r="N314" s="3" t="s">
        <v>109</v>
      </c>
      <c r="O314" s="3" t="s">
        <v>110</v>
      </c>
      <c r="P314" s="4">
        <v>44270.6666666667</v>
      </c>
      <c r="Q314" s="3" t="s">
        <v>77</v>
      </c>
      <c r="R314" s="5">
        <v>44270.0</v>
      </c>
      <c r="S314" s="3" t="s">
        <v>220</v>
      </c>
      <c r="T314" s="3">
        <v>2111805.0</v>
      </c>
      <c r="U314" s="3" t="s">
        <v>6266</v>
      </c>
      <c r="V314" s="3" t="s">
        <v>449</v>
      </c>
      <c r="W314" s="3" t="s">
        <v>172</v>
      </c>
      <c r="X314" s="3"/>
      <c r="Y314" s="3" t="str">
        <f>"02012000516202183"</f>
        <v>02012000516202183</v>
      </c>
      <c r="Z314" s="3" t="s">
        <v>112</v>
      </c>
      <c r="AA314" s="3" t="s">
        <v>6267</v>
      </c>
      <c r="AB314" s="3" t="str">
        <f t="shared" ref="AB314:AB315" si="23">"***872601**"</f>
        <v>***872601**</v>
      </c>
      <c r="AC314" s="3"/>
      <c r="AD314" s="3"/>
      <c r="AE314" s="3"/>
      <c r="AF314" s="3">
        <v>-46.614167</v>
      </c>
      <c r="AG314" s="3">
        <v>5.820861</v>
      </c>
      <c r="AH314" s="3" t="s">
        <v>6282</v>
      </c>
      <c r="AI314" s="3"/>
      <c r="AJ314" s="3" t="s">
        <v>452</v>
      </c>
      <c r="AK314" s="3"/>
      <c r="AL314" s="3" t="s">
        <v>128</v>
      </c>
      <c r="AM314" s="3" t="s">
        <v>65</v>
      </c>
      <c r="AN314" s="3"/>
      <c r="AO314" s="4">
        <v>44279.0</v>
      </c>
      <c r="AP314" s="4">
        <v>44279.6313194445</v>
      </c>
      <c r="AQ314" s="3" t="s">
        <v>132</v>
      </c>
      <c r="AR314" s="3" t="s">
        <v>494</v>
      </c>
      <c r="AS314" s="3"/>
      <c r="AT314" s="4">
        <v>44281.0337152778</v>
      </c>
    </row>
    <row r="315" ht="15.75" customHeight="1">
      <c r="A315" s="3">
        <v>2044674.0</v>
      </c>
      <c r="B315" s="3" t="s">
        <v>116</v>
      </c>
      <c r="C315" s="3" t="s">
        <v>117</v>
      </c>
      <c r="D315" s="3" t="s">
        <v>46</v>
      </c>
      <c r="E315" s="3" t="s">
        <v>6283</v>
      </c>
      <c r="F315" s="3"/>
      <c r="G315" s="3" t="s">
        <v>119</v>
      </c>
      <c r="H315" s="3" t="s">
        <v>50</v>
      </c>
      <c r="I315" s="3">
        <v>1000.0</v>
      </c>
      <c r="J315" s="3"/>
      <c r="K315" s="3"/>
      <c r="L315" s="3" t="s">
        <v>452</v>
      </c>
      <c r="M315" s="3" t="s">
        <v>6284</v>
      </c>
      <c r="N315" s="3" t="s">
        <v>109</v>
      </c>
      <c r="O315" s="3" t="s">
        <v>110</v>
      </c>
      <c r="P315" s="4">
        <v>44270.6666666667</v>
      </c>
      <c r="Q315" s="3" t="s">
        <v>77</v>
      </c>
      <c r="R315" s="5">
        <v>44270.0</v>
      </c>
      <c r="S315" s="3" t="s">
        <v>220</v>
      </c>
      <c r="T315" s="3">
        <v>2111805.0</v>
      </c>
      <c r="U315" s="3" t="s">
        <v>6266</v>
      </c>
      <c r="V315" s="3" t="s">
        <v>449</v>
      </c>
      <c r="W315" s="3" t="s">
        <v>172</v>
      </c>
      <c r="X315" s="3"/>
      <c r="Y315" s="3" t="str">
        <f>"02012000518202172"</f>
        <v>02012000518202172</v>
      </c>
      <c r="Z315" s="3" t="s">
        <v>112</v>
      </c>
      <c r="AA315" s="3" t="s">
        <v>6267</v>
      </c>
      <c r="AB315" s="3" t="str">
        <f t="shared" si="23"/>
        <v>***872601**</v>
      </c>
      <c r="AC315" s="3"/>
      <c r="AD315" s="3"/>
      <c r="AE315" s="3"/>
      <c r="AF315" s="3">
        <v>-46.614167</v>
      </c>
      <c r="AG315" s="3">
        <v>-5.820833</v>
      </c>
      <c r="AH315" s="3" t="s">
        <v>6285</v>
      </c>
      <c r="AI315" s="3"/>
      <c r="AJ315" s="3" t="s">
        <v>452</v>
      </c>
      <c r="AK315" s="3"/>
      <c r="AL315" s="3" t="s">
        <v>128</v>
      </c>
      <c r="AM315" s="3" t="s">
        <v>65</v>
      </c>
      <c r="AN315" s="3"/>
      <c r="AO315" s="4">
        <v>44279.0</v>
      </c>
      <c r="AP315" s="4">
        <v>44279.6439467593</v>
      </c>
      <c r="AQ315" s="3" t="s">
        <v>132</v>
      </c>
      <c r="AR315" s="3" t="s">
        <v>494</v>
      </c>
      <c r="AS315" s="3"/>
      <c r="AT315" s="4">
        <v>44281.0337152778</v>
      </c>
    </row>
    <row r="316" ht="15.75" customHeight="1">
      <c r="A316" s="3"/>
      <c r="B316" s="3" t="s">
        <v>46</v>
      </c>
      <c r="C316" s="3" t="s">
        <v>47</v>
      </c>
      <c r="D316" s="3"/>
      <c r="E316" s="3" t="s">
        <v>6286</v>
      </c>
      <c r="F316" s="3"/>
      <c r="G316" s="3" t="s">
        <v>49</v>
      </c>
      <c r="H316" s="3" t="s">
        <v>50</v>
      </c>
      <c r="I316" s="3">
        <v>13000.0</v>
      </c>
      <c r="J316" s="3"/>
      <c r="K316" s="3"/>
      <c r="L316" s="3"/>
      <c r="M316" s="3" t="s">
        <v>6287</v>
      </c>
      <c r="N316" s="3" t="s">
        <v>381</v>
      </c>
      <c r="O316" s="3" t="s">
        <v>382</v>
      </c>
      <c r="P316" s="4">
        <v>44270.6586921296</v>
      </c>
      <c r="Q316" s="3" t="s">
        <v>56</v>
      </c>
      <c r="R316" s="3"/>
      <c r="S316" s="3" t="s">
        <v>280</v>
      </c>
      <c r="T316" s="3">
        <v>3509502.0</v>
      </c>
      <c r="U316" s="3" t="s">
        <v>1339</v>
      </c>
      <c r="V316" s="3" t="s">
        <v>139</v>
      </c>
      <c r="W316" s="3" t="s">
        <v>78</v>
      </c>
      <c r="X316" s="3"/>
      <c r="Y316" s="3"/>
      <c r="Z316" s="3" t="s">
        <v>384</v>
      </c>
      <c r="AA316" s="3" t="s">
        <v>6274</v>
      </c>
      <c r="AB316" s="3" t="str">
        <f>"59179838000137"</f>
        <v>59179838000137</v>
      </c>
      <c r="AC316" s="3"/>
      <c r="AD316" s="3" t="s">
        <v>62</v>
      </c>
      <c r="AE316" s="3"/>
      <c r="AF316" s="3">
        <v>-47.146389</v>
      </c>
      <c r="AG316" s="3">
        <v>-22.941944</v>
      </c>
      <c r="AH316" s="3" t="s">
        <v>6288</v>
      </c>
      <c r="AI316" s="3"/>
      <c r="AJ316" s="3" t="s">
        <v>1763</v>
      </c>
      <c r="AK316" s="3"/>
      <c r="AL316" s="3"/>
      <c r="AM316" s="3" t="s">
        <v>65</v>
      </c>
      <c r="AN316" s="3" t="s">
        <v>5317</v>
      </c>
      <c r="AO316" s="3"/>
      <c r="AP316" s="4">
        <v>44270.6645833333</v>
      </c>
      <c r="AQ316" s="3"/>
      <c r="AR316" s="3" t="s">
        <v>298</v>
      </c>
      <c r="AS316" s="3" t="s">
        <v>5420</v>
      </c>
      <c r="AT316" s="4">
        <v>44281.0337152778</v>
      </c>
    </row>
    <row r="317" ht="15.75" customHeight="1">
      <c r="A317" s="3"/>
      <c r="B317" s="3" t="s">
        <v>46</v>
      </c>
      <c r="C317" s="3" t="s">
        <v>47</v>
      </c>
      <c r="D317" s="3"/>
      <c r="E317" s="3" t="s">
        <v>6289</v>
      </c>
      <c r="F317" s="3"/>
      <c r="G317" s="3" t="s">
        <v>49</v>
      </c>
      <c r="H317" s="3" t="s">
        <v>72</v>
      </c>
      <c r="I317" s="3">
        <v>1800.0</v>
      </c>
      <c r="J317" s="3"/>
      <c r="K317" s="3"/>
      <c r="L317" s="3"/>
      <c r="M317" s="3" t="s">
        <v>5977</v>
      </c>
      <c r="N317" s="3" t="s">
        <v>381</v>
      </c>
      <c r="O317" s="3" t="s">
        <v>382</v>
      </c>
      <c r="P317" s="4">
        <v>44270.646724537</v>
      </c>
      <c r="Q317" s="3" t="s">
        <v>56</v>
      </c>
      <c r="R317" s="3"/>
      <c r="S317" s="3" t="s">
        <v>359</v>
      </c>
      <c r="T317" s="3">
        <v>3550308.0</v>
      </c>
      <c r="U317" s="3" t="s">
        <v>535</v>
      </c>
      <c r="V317" s="3" t="s">
        <v>139</v>
      </c>
      <c r="W317" s="3" t="s">
        <v>78</v>
      </c>
      <c r="X317" s="3"/>
      <c r="Y317" s="3"/>
      <c r="Z317" s="3" t="s">
        <v>384</v>
      </c>
      <c r="AA317" s="3" t="s">
        <v>6290</v>
      </c>
      <c r="AB317" s="3" t="str">
        <f t="shared" ref="AB317:AB318" si="24">"04828554000132"</f>
        <v>04828554000132</v>
      </c>
      <c r="AC317" s="3"/>
      <c r="AD317" s="3" t="s">
        <v>62</v>
      </c>
      <c r="AE317" s="3"/>
      <c r="AF317" s="3">
        <v>-46.679722</v>
      </c>
      <c r="AG317" s="3">
        <v>-23.593056</v>
      </c>
      <c r="AH317" s="3" t="s">
        <v>535</v>
      </c>
      <c r="AI317" s="3"/>
      <c r="AJ317" s="3" t="s">
        <v>1763</v>
      </c>
      <c r="AK317" s="3"/>
      <c r="AL317" s="3"/>
      <c r="AM317" s="3" t="s">
        <v>65</v>
      </c>
      <c r="AN317" s="3" t="s">
        <v>5317</v>
      </c>
      <c r="AO317" s="3"/>
      <c r="AP317" s="4">
        <v>44270.6525347222</v>
      </c>
      <c r="AQ317" s="3"/>
      <c r="AR317" s="3" t="s">
        <v>803</v>
      </c>
      <c r="AS317" s="3" t="s">
        <v>5420</v>
      </c>
      <c r="AT317" s="4">
        <v>44281.0337152778</v>
      </c>
    </row>
    <row r="318" ht="15.75" customHeight="1">
      <c r="A318" s="3"/>
      <c r="B318" s="3" t="s">
        <v>46</v>
      </c>
      <c r="C318" s="3" t="s">
        <v>47</v>
      </c>
      <c r="D318" s="3"/>
      <c r="E318" s="3" t="s">
        <v>6291</v>
      </c>
      <c r="F318" s="3"/>
      <c r="G318" s="3" t="s">
        <v>49</v>
      </c>
      <c r="H318" s="3" t="s">
        <v>50</v>
      </c>
      <c r="I318" s="3">
        <v>13000.0</v>
      </c>
      <c r="J318" s="3"/>
      <c r="K318" s="3" t="s">
        <v>51</v>
      </c>
      <c r="L318" s="3"/>
      <c r="M318" s="3" t="s">
        <v>6287</v>
      </c>
      <c r="N318" s="3" t="s">
        <v>381</v>
      </c>
      <c r="O318" s="3" t="s">
        <v>382</v>
      </c>
      <c r="P318" s="4">
        <v>44270.6378240741</v>
      </c>
      <c r="Q318" s="3" t="s">
        <v>56</v>
      </c>
      <c r="R318" s="3"/>
      <c r="S318" s="3" t="s">
        <v>280</v>
      </c>
      <c r="T318" s="3">
        <v>3550308.0</v>
      </c>
      <c r="U318" s="3" t="s">
        <v>535</v>
      </c>
      <c r="V318" s="3" t="s">
        <v>139</v>
      </c>
      <c r="W318" s="3" t="s">
        <v>78</v>
      </c>
      <c r="X318" s="3"/>
      <c r="Y318" s="3"/>
      <c r="Z318" s="3" t="s">
        <v>384</v>
      </c>
      <c r="AA318" s="3" t="s">
        <v>6290</v>
      </c>
      <c r="AB318" s="3" t="str">
        <f t="shared" si="24"/>
        <v>04828554000132</v>
      </c>
      <c r="AC318" s="3"/>
      <c r="AD318" s="3" t="s">
        <v>62</v>
      </c>
      <c r="AE318" s="3"/>
      <c r="AF318" s="3">
        <v>-46.679722</v>
      </c>
      <c r="AG318" s="3">
        <v>-23.593056</v>
      </c>
      <c r="AH318" s="3" t="s">
        <v>535</v>
      </c>
      <c r="AI318" s="3"/>
      <c r="AJ318" s="3" t="s">
        <v>1763</v>
      </c>
      <c r="AK318" s="3"/>
      <c r="AL318" s="3"/>
      <c r="AM318" s="3" t="s">
        <v>65</v>
      </c>
      <c r="AN318" s="3" t="s">
        <v>5317</v>
      </c>
      <c r="AO318" s="3"/>
      <c r="AP318" s="4">
        <v>44270.644849537</v>
      </c>
      <c r="AQ318" s="3"/>
      <c r="AR318" s="3" t="s">
        <v>298</v>
      </c>
      <c r="AS318" s="3" t="s">
        <v>5420</v>
      </c>
      <c r="AT318" s="4">
        <v>44281.0337152778</v>
      </c>
    </row>
    <row r="319" ht="15.75" customHeight="1">
      <c r="A319" s="3">
        <v>2044612.0</v>
      </c>
      <c r="B319" s="3" t="s">
        <v>116</v>
      </c>
      <c r="C319" s="3" t="s">
        <v>117</v>
      </c>
      <c r="D319" s="3" t="s">
        <v>46</v>
      </c>
      <c r="E319" s="3" t="s">
        <v>6292</v>
      </c>
      <c r="F319" s="3"/>
      <c r="G319" s="3" t="s">
        <v>119</v>
      </c>
      <c r="H319" s="3" t="s">
        <v>72</v>
      </c>
      <c r="I319" s="3">
        <v>3350.0</v>
      </c>
      <c r="J319" s="3"/>
      <c r="K319" s="3"/>
      <c r="L319" s="3" t="s">
        <v>1473</v>
      </c>
      <c r="M319" s="3" t="s">
        <v>6293</v>
      </c>
      <c r="N319" s="3" t="s">
        <v>109</v>
      </c>
      <c r="O319" s="3" t="s">
        <v>110</v>
      </c>
      <c r="P319" s="4">
        <v>44270.625</v>
      </c>
      <c r="Q319" s="3" t="s">
        <v>56</v>
      </c>
      <c r="R319" s="5">
        <v>44272.0</v>
      </c>
      <c r="S319" s="3" t="s">
        <v>1468</v>
      </c>
      <c r="T319" s="3">
        <v>5003207.0</v>
      </c>
      <c r="U319" s="3" t="s">
        <v>2929</v>
      </c>
      <c r="V319" s="3" t="s">
        <v>1470</v>
      </c>
      <c r="W319" s="3" t="s">
        <v>1658</v>
      </c>
      <c r="X319" s="3"/>
      <c r="Y319" s="3"/>
      <c r="Z319" s="3" t="s">
        <v>112</v>
      </c>
      <c r="AA319" s="3" t="s">
        <v>6294</v>
      </c>
      <c r="AB319" s="3" t="str">
        <f>"***008411**"</f>
        <v>***008411**</v>
      </c>
      <c r="AC319" s="3"/>
      <c r="AD319" s="3"/>
      <c r="AE319" s="3"/>
      <c r="AF319" s="3">
        <v>-57.78</v>
      </c>
      <c r="AG319" s="3">
        <v>-19.040833</v>
      </c>
      <c r="AH319" s="3" t="s">
        <v>6295</v>
      </c>
      <c r="AI319" s="3"/>
      <c r="AJ319" s="3" t="s">
        <v>1473</v>
      </c>
      <c r="AK319" s="3"/>
      <c r="AL319" s="3" t="s">
        <v>128</v>
      </c>
      <c r="AM319" s="3" t="s">
        <v>65</v>
      </c>
      <c r="AN319" s="3"/>
      <c r="AO319" s="4">
        <v>44278.0</v>
      </c>
      <c r="AP319" s="4">
        <v>44278.6557291667</v>
      </c>
      <c r="AQ319" s="3" t="s">
        <v>132</v>
      </c>
      <c r="AR319" s="3" t="s">
        <v>3557</v>
      </c>
      <c r="AS319" s="3"/>
      <c r="AT319" s="4">
        <v>44281.0337152778</v>
      </c>
    </row>
    <row r="320" ht="15.75" customHeight="1">
      <c r="A320" s="3">
        <v>2044613.0</v>
      </c>
      <c r="B320" s="3" t="s">
        <v>116</v>
      </c>
      <c r="C320" s="3" t="s">
        <v>117</v>
      </c>
      <c r="D320" s="3" t="s">
        <v>46</v>
      </c>
      <c r="E320" s="3" t="s">
        <v>6296</v>
      </c>
      <c r="F320" s="3"/>
      <c r="G320" s="3" t="s">
        <v>119</v>
      </c>
      <c r="H320" s="3" t="s">
        <v>72</v>
      </c>
      <c r="I320" s="3">
        <v>10000.0</v>
      </c>
      <c r="J320" s="3"/>
      <c r="K320" s="3"/>
      <c r="L320" s="3" t="s">
        <v>1473</v>
      </c>
      <c r="M320" s="3" t="s">
        <v>6297</v>
      </c>
      <c r="N320" s="3" t="s">
        <v>109</v>
      </c>
      <c r="O320" s="3" t="s">
        <v>110</v>
      </c>
      <c r="P320" s="4">
        <v>44270.5833333333</v>
      </c>
      <c r="Q320" s="3" t="s">
        <v>56</v>
      </c>
      <c r="R320" s="5">
        <v>44272.0</v>
      </c>
      <c r="S320" s="3" t="s">
        <v>1468</v>
      </c>
      <c r="T320" s="3">
        <v>5003207.0</v>
      </c>
      <c r="U320" s="3" t="s">
        <v>2929</v>
      </c>
      <c r="V320" s="3" t="s">
        <v>1470</v>
      </c>
      <c r="W320" s="3" t="s">
        <v>1658</v>
      </c>
      <c r="X320" s="3"/>
      <c r="Y320" s="3"/>
      <c r="Z320" s="3" t="s">
        <v>112</v>
      </c>
      <c r="AA320" s="3" t="s">
        <v>6298</v>
      </c>
      <c r="AB320" s="3" t="str">
        <f>"***566641**"</f>
        <v>***566641**</v>
      </c>
      <c r="AC320" s="3"/>
      <c r="AD320" s="3"/>
      <c r="AE320" s="3"/>
      <c r="AF320" s="3">
        <v>-57.742222</v>
      </c>
      <c r="AG320" s="3">
        <v>-19.0775</v>
      </c>
      <c r="AH320" s="3" t="s">
        <v>6299</v>
      </c>
      <c r="AI320" s="3"/>
      <c r="AJ320" s="3" t="s">
        <v>1473</v>
      </c>
      <c r="AK320" s="3"/>
      <c r="AL320" s="3" t="s">
        <v>128</v>
      </c>
      <c r="AM320" s="3" t="s">
        <v>65</v>
      </c>
      <c r="AN320" s="3"/>
      <c r="AO320" s="4">
        <v>44278.0</v>
      </c>
      <c r="AP320" s="4">
        <v>44278.6570023148</v>
      </c>
      <c r="AQ320" s="3" t="s">
        <v>132</v>
      </c>
      <c r="AR320" s="3" t="s">
        <v>3557</v>
      </c>
      <c r="AS320" s="3"/>
      <c r="AT320" s="4">
        <v>44281.0337152778</v>
      </c>
    </row>
    <row r="321" ht="15.75" customHeight="1">
      <c r="A321" s="3"/>
      <c r="B321" s="3" t="s">
        <v>46</v>
      </c>
      <c r="C321" s="3" t="s">
        <v>47</v>
      </c>
      <c r="D321" s="3"/>
      <c r="E321" s="3" t="s">
        <v>6300</v>
      </c>
      <c r="F321" s="3"/>
      <c r="G321" s="3" t="s">
        <v>49</v>
      </c>
      <c r="H321" s="3" t="s">
        <v>72</v>
      </c>
      <c r="I321" s="3">
        <v>11000.0</v>
      </c>
      <c r="J321" s="3"/>
      <c r="K321" s="3"/>
      <c r="L321" s="3"/>
      <c r="M321" s="3" t="s">
        <v>6301</v>
      </c>
      <c r="N321" s="3" t="s">
        <v>257</v>
      </c>
      <c r="O321" s="3" t="s">
        <v>258</v>
      </c>
      <c r="P321" s="4">
        <v>44270.468287037</v>
      </c>
      <c r="Q321" s="3" t="s">
        <v>77</v>
      </c>
      <c r="R321" s="3"/>
      <c r="S321" s="3" t="s">
        <v>220</v>
      </c>
      <c r="T321" s="3">
        <v>2610707.0</v>
      </c>
      <c r="U321" s="3" t="s">
        <v>6155</v>
      </c>
      <c r="V321" s="3" t="s">
        <v>507</v>
      </c>
      <c r="W321" s="3" t="s">
        <v>78</v>
      </c>
      <c r="X321" s="3"/>
      <c r="Y321" s="3"/>
      <c r="Z321" s="3" t="s">
        <v>260</v>
      </c>
      <c r="AA321" s="3" t="s">
        <v>6302</v>
      </c>
      <c r="AB321" s="3" t="str">
        <f t="shared" ref="AB321:AB322" si="25">"***476994**"</f>
        <v>***476994**</v>
      </c>
      <c r="AC321" s="3"/>
      <c r="AD321" s="3" t="s">
        <v>81</v>
      </c>
      <c r="AE321" s="3"/>
      <c r="AF321" s="3">
        <v>-34.825944</v>
      </c>
      <c r="AG321" s="3">
        <v>-7.941972</v>
      </c>
      <c r="AH321" s="3" t="s">
        <v>6303</v>
      </c>
      <c r="AI321" s="3"/>
      <c r="AJ321" s="3" t="s">
        <v>510</v>
      </c>
      <c r="AK321" s="3"/>
      <c r="AL321" s="3"/>
      <c r="AM321" s="3" t="s">
        <v>65</v>
      </c>
      <c r="AN321" s="3" t="s">
        <v>159</v>
      </c>
      <c r="AO321" s="3"/>
      <c r="AP321" s="4">
        <v>44271.3459375</v>
      </c>
      <c r="AQ321" s="3"/>
      <c r="AR321" s="3" t="s">
        <v>6304</v>
      </c>
      <c r="AS321" s="3"/>
      <c r="AT321" s="4">
        <v>44281.0337152778</v>
      </c>
    </row>
    <row r="322" ht="15.75" customHeight="1">
      <c r="A322" s="3"/>
      <c r="B322" s="3" t="s">
        <v>46</v>
      </c>
      <c r="C322" s="3" t="s">
        <v>47</v>
      </c>
      <c r="D322" s="3"/>
      <c r="E322" s="3" t="s">
        <v>6305</v>
      </c>
      <c r="F322" s="3"/>
      <c r="G322" s="3" t="s">
        <v>49</v>
      </c>
      <c r="H322" s="3" t="s">
        <v>72</v>
      </c>
      <c r="I322" s="3">
        <v>60000.0</v>
      </c>
      <c r="J322" s="3"/>
      <c r="K322" s="3"/>
      <c r="L322" s="3"/>
      <c r="M322" s="3" t="s">
        <v>6306</v>
      </c>
      <c r="N322" s="3" t="s">
        <v>257</v>
      </c>
      <c r="O322" s="3" t="s">
        <v>258</v>
      </c>
      <c r="P322" s="4">
        <v>44270.4648148148</v>
      </c>
      <c r="Q322" s="3" t="s">
        <v>77</v>
      </c>
      <c r="R322" s="3"/>
      <c r="S322" s="3" t="s">
        <v>220</v>
      </c>
      <c r="T322" s="3">
        <v>2610707.0</v>
      </c>
      <c r="U322" s="3" t="s">
        <v>6155</v>
      </c>
      <c r="V322" s="3" t="s">
        <v>507</v>
      </c>
      <c r="W322" s="3" t="s">
        <v>78</v>
      </c>
      <c r="X322" s="3"/>
      <c r="Y322" s="3"/>
      <c r="Z322" s="3" t="s">
        <v>260</v>
      </c>
      <c r="AA322" s="3" t="s">
        <v>6302</v>
      </c>
      <c r="AB322" s="3" t="str">
        <f t="shared" si="25"/>
        <v>***476994**</v>
      </c>
      <c r="AC322" s="3"/>
      <c r="AD322" s="3" t="s">
        <v>81</v>
      </c>
      <c r="AE322" s="3"/>
      <c r="AF322" s="3">
        <v>-34.826111</v>
      </c>
      <c r="AG322" s="3">
        <v>-7.941944</v>
      </c>
      <c r="AH322" s="3" t="s">
        <v>6307</v>
      </c>
      <c r="AI322" s="3"/>
      <c r="AJ322" s="3" t="s">
        <v>510</v>
      </c>
      <c r="AK322" s="3"/>
      <c r="AL322" s="3"/>
      <c r="AM322" s="3" t="s">
        <v>65</v>
      </c>
      <c r="AN322" s="3" t="s">
        <v>159</v>
      </c>
      <c r="AO322" s="3"/>
      <c r="AP322" s="4">
        <v>44270.4775231482</v>
      </c>
      <c r="AQ322" s="3"/>
      <c r="AR322" s="3" t="s">
        <v>6308</v>
      </c>
      <c r="AS322" s="3"/>
      <c r="AT322" s="4">
        <v>44281.0337152778</v>
      </c>
    </row>
    <row r="323" ht="15.75" customHeight="1">
      <c r="A323" s="3"/>
      <c r="B323" s="3" t="s">
        <v>46</v>
      </c>
      <c r="C323" s="3" t="s">
        <v>47</v>
      </c>
      <c r="D323" s="3"/>
      <c r="E323" s="3" t="s">
        <v>6309</v>
      </c>
      <c r="F323" s="3"/>
      <c r="G323" s="3" t="s">
        <v>49</v>
      </c>
      <c r="H323" s="3" t="s">
        <v>50</v>
      </c>
      <c r="I323" s="3">
        <v>1000.0</v>
      </c>
      <c r="J323" s="3"/>
      <c r="K323" s="3" t="s">
        <v>51</v>
      </c>
      <c r="L323" s="3"/>
      <c r="M323" s="3" t="s">
        <v>6310</v>
      </c>
      <c r="N323" s="3" t="s">
        <v>381</v>
      </c>
      <c r="O323" s="3" t="s">
        <v>382</v>
      </c>
      <c r="P323" s="4">
        <v>44270.4544328704</v>
      </c>
      <c r="Q323" s="3" t="s">
        <v>56</v>
      </c>
      <c r="R323" s="5">
        <v>44270.0</v>
      </c>
      <c r="S323" s="3" t="s">
        <v>220</v>
      </c>
      <c r="T323" s="3">
        <v>2211001.0</v>
      </c>
      <c r="U323" s="3" t="s">
        <v>527</v>
      </c>
      <c r="V323" s="3" t="s">
        <v>290</v>
      </c>
      <c r="W323" s="3" t="s">
        <v>172</v>
      </c>
      <c r="X323" s="3"/>
      <c r="Y323" s="3"/>
      <c r="Z323" s="3" t="s">
        <v>384</v>
      </c>
      <c r="AA323" s="3" t="s">
        <v>6311</v>
      </c>
      <c r="AB323" s="3" t="str">
        <f>"16573808000135"</f>
        <v>16573808000135</v>
      </c>
      <c r="AC323" s="3"/>
      <c r="AD323" s="3" t="s">
        <v>62</v>
      </c>
      <c r="AE323" s="3"/>
      <c r="AF323" s="3">
        <v>-47.933056</v>
      </c>
      <c r="AG323" s="3">
        <v>-15.83</v>
      </c>
      <c r="AH323" s="3" t="s">
        <v>6312</v>
      </c>
      <c r="AI323" s="3"/>
      <c r="AJ323" s="3" t="s">
        <v>295</v>
      </c>
      <c r="AK323" s="3"/>
      <c r="AL323" s="3"/>
      <c r="AM323" s="3" t="s">
        <v>65</v>
      </c>
      <c r="AN323" s="3" t="s">
        <v>296</v>
      </c>
      <c r="AO323" s="3"/>
      <c r="AP323" s="4">
        <v>44270.4719791667</v>
      </c>
      <c r="AQ323" s="3"/>
      <c r="AR323" s="3" t="s">
        <v>298</v>
      </c>
      <c r="AS323" s="3"/>
      <c r="AT323" s="4">
        <v>44281.0337152778</v>
      </c>
    </row>
    <row r="324" ht="15.75" customHeight="1">
      <c r="A324" s="3"/>
      <c r="B324" s="3" t="s">
        <v>46</v>
      </c>
      <c r="C324" s="3" t="s">
        <v>47</v>
      </c>
      <c r="D324" s="3"/>
      <c r="E324" s="3" t="s">
        <v>6313</v>
      </c>
      <c r="F324" s="3"/>
      <c r="G324" s="3" t="s">
        <v>49</v>
      </c>
      <c r="H324" s="3" t="s">
        <v>50</v>
      </c>
      <c r="I324" s="3">
        <v>1000.0</v>
      </c>
      <c r="J324" s="3"/>
      <c r="K324" s="3"/>
      <c r="L324" s="3"/>
      <c r="M324" s="3" t="s">
        <v>6314</v>
      </c>
      <c r="N324" s="3" t="s">
        <v>4886</v>
      </c>
      <c r="O324" s="3" t="s">
        <v>4887</v>
      </c>
      <c r="P324" s="4">
        <v>44270.3974768519</v>
      </c>
      <c r="Q324" s="3" t="s">
        <v>77</v>
      </c>
      <c r="R324" s="3"/>
      <c r="S324" s="3" t="s">
        <v>1613</v>
      </c>
      <c r="T324" s="3">
        <v>5103106.0</v>
      </c>
      <c r="U324" s="3" t="s">
        <v>5787</v>
      </c>
      <c r="V324" s="3" t="s">
        <v>323</v>
      </c>
      <c r="W324" s="3" t="s">
        <v>172</v>
      </c>
      <c r="X324" s="3" t="s">
        <v>5665</v>
      </c>
      <c r="Y324" s="3"/>
      <c r="Z324" s="3" t="s">
        <v>4891</v>
      </c>
      <c r="AA324" s="3" t="s">
        <v>6315</v>
      </c>
      <c r="AB324" s="3" t="str">
        <f>"***136101**"</f>
        <v>***136101**</v>
      </c>
      <c r="AC324" s="3"/>
      <c r="AD324" s="3" t="s">
        <v>81</v>
      </c>
      <c r="AE324" s="3"/>
      <c r="AF324" s="3">
        <v>-50.606083</v>
      </c>
      <c r="AG324" s="3">
        <v>-13.196778</v>
      </c>
      <c r="AH324" s="3" t="s">
        <v>6316</v>
      </c>
      <c r="AI324" s="3"/>
      <c r="AJ324" s="3" t="s">
        <v>5396</v>
      </c>
      <c r="AK324" s="3"/>
      <c r="AL324" s="3"/>
      <c r="AM324" s="3" t="s">
        <v>65</v>
      </c>
      <c r="AN324" s="3" t="s">
        <v>5397</v>
      </c>
      <c r="AO324" s="3"/>
      <c r="AP324" s="4">
        <v>44270.4033449074</v>
      </c>
      <c r="AQ324" s="3"/>
      <c r="AR324" s="3" t="s">
        <v>6317</v>
      </c>
      <c r="AS324" s="3"/>
      <c r="AT324" s="4">
        <v>44281.0337152778</v>
      </c>
    </row>
    <row r="325" ht="15.75" customHeight="1">
      <c r="A325" s="3"/>
      <c r="B325" s="3" t="s">
        <v>46</v>
      </c>
      <c r="C325" s="3" t="s">
        <v>47</v>
      </c>
      <c r="D325" s="3"/>
      <c r="E325" s="3" t="s">
        <v>6318</v>
      </c>
      <c r="F325" s="3"/>
      <c r="G325" s="3" t="s">
        <v>49</v>
      </c>
      <c r="H325" s="3" t="s">
        <v>72</v>
      </c>
      <c r="I325" s="3">
        <v>6630.0</v>
      </c>
      <c r="J325" s="3"/>
      <c r="K325" s="3"/>
      <c r="L325" s="3"/>
      <c r="M325" s="3" t="s">
        <v>6319</v>
      </c>
      <c r="N325" s="3" t="s">
        <v>109</v>
      </c>
      <c r="O325" s="3" t="s">
        <v>110</v>
      </c>
      <c r="P325" s="4">
        <v>44270.3735300926</v>
      </c>
      <c r="Q325" s="3" t="s">
        <v>56</v>
      </c>
      <c r="R325" s="3"/>
      <c r="S325" s="3" t="s">
        <v>97</v>
      </c>
      <c r="T325" s="3">
        <v>1301852.0</v>
      </c>
      <c r="U325" s="3" t="s">
        <v>6320</v>
      </c>
      <c r="V325" s="3" t="s">
        <v>99</v>
      </c>
      <c r="W325" s="3" t="s">
        <v>100</v>
      </c>
      <c r="X325" s="3"/>
      <c r="Y325" s="3"/>
      <c r="Z325" s="3" t="s">
        <v>112</v>
      </c>
      <c r="AA325" s="3" t="s">
        <v>6321</v>
      </c>
      <c r="AB325" s="3" t="str">
        <f>"26297132000110"</f>
        <v>26297132000110</v>
      </c>
      <c r="AC325" s="3"/>
      <c r="AD325" s="3" t="s">
        <v>62</v>
      </c>
      <c r="AE325" s="3"/>
      <c r="AF325" s="3">
        <v>-60.183333</v>
      </c>
      <c r="AG325" s="3">
        <v>-3.275278</v>
      </c>
      <c r="AH325" s="3" t="s">
        <v>6322</v>
      </c>
      <c r="AI325" s="3"/>
      <c r="AJ325" s="3" t="s">
        <v>104</v>
      </c>
      <c r="AK325" s="3"/>
      <c r="AL325" s="3"/>
      <c r="AM325" s="3" t="s">
        <v>65</v>
      </c>
      <c r="AN325" s="3"/>
      <c r="AO325" s="3"/>
      <c r="AP325" s="4">
        <v>44270.3825115741</v>
      </c>
      <c r="AQ325" s="3"/>
      <c r="AR325" s="3" t="s">
        <v>1143</v>
      </c>
      <c r="AS325" s="3"/>
      <c r="AT325" s="4">
        <v>44281.0337152778</v>
      </c>
    </row>
    <row r="326" ht="15.75" customHeight="1">
      <c r="A326" s="3"/>
      <c r="B326" s="3" t="s">
        <v>46</v>
      </c>
      <c r="C326" s="3" t="s">
        <v>47</v>
      </c>
      <c r="D326" s="3"/>
      <c r="E326" s="3" t="s">
        <v>6323</v>
      </c>
      <c r="F326" s="3"/>
      <c r="G326" s="3" t="s">
        <v>49</v>
      </c>
      <c r="H326" s="3" t="s">
        <v>50</v>
      </c>
      <c r="I326" s="3">
        <v>1400.0</v>
      </c>
      <c r="J326" s="3"/>
      <c r="K326" s="3" t="s">
        <v>51</v>
      </c>
      <c r="L326" s="3"/>
      <c r="M326" s="3" t="s">
        <v>6324</v>
      </c>
      <c r="N326" s="3" t="s">
        <v>74</v>
      </c>
      <c r="O326" s="3" t="s">
        <v>75</v>
      </c>
      <c r="P326" s="4">
        <v>44270.3508796296</v>
      </c>
      <c r="Q326" s="3" t="s">
        <v>77</v>
      </c>
      <c r="R326" s="3"/>
      <c r="S326" s="3" t="s">
        <v>1613</v>
      </c>
      <c r="T326" s="3">
        <v>5103106.0</v>
      </c>
      <c r="U326" s="3" t="s">
        <v>5787</v>
      </c>
      <c r="V326" s="3" t="s">
        <v>323</v>
      </c>
      <c r="W326" s="3" t="s">
        <v>172</v>
      </c>
      <c r="X326" s="3" t="s">
        <v>5665</v>
      </c>
      <c r="Y326" s="3"/>
      <c r="Z326" s="3" t="s">
        <v>79</v>
      </c>
      <c r="AA326" s="3" t="s">
        <v>6315</v>
      </c>
      <c r="AB326" s="3" t="str">
        <f>"***136101**"</f>
        <v>***136101**</v>
      </c>
      <c r="AC326" s="3"/>
      <c r="AD326" s="3" t="s">
        <v>81</v>
      </c>
      <c r="AE326" s="3"/>
      <c r="AF326" s="3">
        <v>-50.605833</v>
      </c>
      <c r="AG326" s="3">
        <v>-13.196667</v>
      </c>
      <c r="AH326" s="3" t="s">
        <v>6325</v>
      </c>
      <c r="AI326" s="3"/>
      <c r="AJ326" s="3" t="s">
        <v>5396</v>
      </c>
      <c r="AK326" s="3"/>
      <c r="AL326" s="3"/>
      <c r="AM326" s="3" t="s">
        <v>65</v>
      </c>
      <c r="AN326" s="3" t="s">
        <v>5397</v>
      </c>
      <c r="AO326" s="3"/>
      <c r="AP326" s="4">
        <v>44270.3627314815</v>
      </c>
      <c r="AQ326" s="3"/>
      <c r="AR326" s="3" t="s">
        <v>1675</v>
      </c>
      <c r="AS326" s="3" t="s">
        <v>6326</v>
      </c>
      <c r="AT326" s="4">
        <v>44281.0337152778</v>
      </c>
    </row>
    <row r="327" ht="15.75" customHeight="1">
      <c r="A327" s="3"/>
      <c r="B327" s="3" t="s">
        <v>46</v>
      </c>
      <c r="C327" s="3" t="s">
        <v>47</v>
      </c>
      <c r="D327" s="3"/>
      <c r="E327" s="3" t="s">
        <v>6327</v>
      </c>
      <c r="F327" s="3"/>
      <c r="G327" s="3" t="s">
        <v>49</v>
      </c>
      <c r="H327" s="3" t="s">
        <v>72</v>
      </c>
      <c r="I327" s="3">
        <v>3000.0</v>
      </c>
      <c r="J327" s="3"/>
      <c r="K327" s="3"/>
      <c r="L327" s="3"/>
      <c r="M327" s="3" t="s">
        <v>6328</v>
      </c>
      <c r="N327" s="3" t="s">
        <v>109</v>
      </c>
      <c r="O327" s="3" t="s">
        <v>110</v>
      </c>
      <c r="P327" s="4">
        <v>44270.3436689815</v>
      </c>
      <c r="Q327" s="3" t="s">
        <v>56</v>
      </c>
      <c r="R327" s="3"/>
      <c r="S327" s="3" t="s">
        <v>97</v>
      </c>
      <c r="T327" s="3">
        <v>1302603.0</v>
      </c>
      <c r="U327" s="3" t="s">
        <v>4149</v>
      </c>
      <c r="V327" s="3" t="s">
        <v>99</v>
      </c>
      <c r="W327" s="3" t="s">
        <v>100</v>
      </c>
      <c r="X327" s="3"/>
      <c r="Y327" s="3"/>
      <c r="Z327" s="3" t="s">
        <v>112</v>
      </c>
      <c r="AA327" s="3" t="s">
        <v>6329</v>
      </c>
      <c r="AB327" s="3" t="str">
        <f>"27010903000100"</f>
        <v>27010903000100</v>
      </c>
      <c r="AC327" s="3"/>
      <c r="AD327" s="3" t="s">
        <v>62</v>
      </c>
      <c r="AE327" s="3"/>
      <c r="AF327" s="3">
        <v>-60.04275</v>
      </c>
      <c r="AG327" s="3">
        <v>-3.072944</v>
      </c>
      <c r="AH327" s="3" t="s">
        <v>6330</v>
      </c>
      <c r="AI327" s="3"/>
      <c r="AJ327" s="3" t="s">
        <v>104</v>
      </c>
      <c r="AK327" s="3"/>
      <c r="AL327" s="3"/>
      <c r="AM327" s="3" t="s">
        <v>65</v>
      </c>
      <c r="AN327" s="3"/>
      <c r="AO327" s="3"/>
      <c r="AP327" s="4">
        <v>44270.3648263889</v>
      </c>
      <c r="AQ327" s="3"/>
      <c r="AR327" s="3" t="s">
        <v>1143</v>
      </c>
      <c r="AS327" s="3"/>
      <c r="AT327" s="4">
        <v>44281.0337152778</v>
      </c>
    </row>
    <row r="328" ht="15.75" customHeight="1">
      <c r="A328" s="3">
        <v>2044364.0</v>
      </c>
      <c r="B328" s="3" t="s">
        <v>116</v>
      </c>
      <c r="C328" s="3" t="s">
        <v>117</v>
      </c>
      <c r="D328" s="3" t="s">
        <v>46</v>
      </c>
      <c r="E328" s="3" t="s">
        <v>6331</v>
      </c>
      <c r="F328" s="3"/>
      <c r="G328" s="3" t="s">
        <v>119</v>
      </c>
      <c r="H328" s="3" t="s">
        <v>72</v>
      </c>
      <c r="I328" s="3">
        <v>5000.0</v>
      </c>
      <c r="J328" s="3"/>
      <c r="K328" s="3"/>
      <c r="L328" s="3" t="s">
        <v>142</v>
      </c>
      <c r="M328" s="3" t="s">
        <v>6332</v>
      </c>
      <c r="N328" s="3" t="s">
        <v>109</v>
      </c>
      <c r="O328" s="3" t="s">
        <v>110</v>
      </c>
      <c r="P328" s="4">
        <v>44270.3333333333</v>
      </c>
      <c r="Q328" s="3" t="s">
        <v>56</v>
      </c>
      <c r="R328" s="3"/>
      <c r="S328" s="3" t="s">
        <v>220</v>
      </c>
      <c r="T328" s="3">
        <v>3546603.0</v>
      </c>
      <c r="U328" s="3" t="s">
        <v>2545</v>
      </c>
      <c r="V328" s="3" t="s">
        <v>139</v>
      </c>
      <c r="W328" s="3" t="s">
        <v>78</v>
      </c>
      <c r="X328" s="3"/>
      <c r="Y328" s="3" t="str">
        <f>"02027002740202141"</f>
        <v>02027002740202141</v>
      </c>
      <c r="Z328" s="3" t="s">
        <v>112</v>
      </c>
      <c r="AA328" s="3" t="s">
        <v>6333</v>
      </c>
      <c r="AB328" s="3" t="str">
        <f>"***980346**"</f>
        <v>***980346**</v>
      </c>
      <c r="AC328" s="3"/>
      <c r="AD328" s="3"/>
      <c r="AE328" s="3"/>
      <c r="AF328" s="3">
        <v>-50.977222</v>
      </c>
      <c r="AG328" s="3">
        <v>-20.258611</v>
      </c>
      <c r="AH328" s="3" t="s">
        <v>2547</v>
      </c>
      <c r="AI328" s="3"/>
      <c r="AJ328" s="3" t="s">
        <v>142</v>
      </c>
      <c r="AK328" s="3"/>
      <c r="AL328" s="3" t="s">
        <v>128</v>
      </c>
      <c r="AM328" s="3" t="s">
        <v>65</v>
      </c>
      <c r="AN328" s="3" t="s">
        <v>159</v>
      </c>
      <c r="AO328" s="4">
        <v>44270.0</v>
      </c>
      <c r="AP328" s="4">
        <v>44270.6337962963</v>
      </c>
      <c r="AQ328" s="3" t="s">
        <v>132</v>
      </c>
      <c r="AR328" s="3" t="s">
        <v>2564</v>
      </c>
      <c r="AS328" s="3" t="s">
        <v>6334</v>
      </c>
      <c r="AT328" s="4">
        <v>44281.0337152778</v>
      </c>
    </row>
    <row r="329" ht="15.75" customHeight="1">
      <c r="A329" s="3"/>
      <c r="B329" s="3" t="s">
        <v>46</v>
      </c>
      <c r="C329" s="3" t="s">
        <v>47</v>
      </c>
      <c r="D329" s="3"/>
      <c r="E329" s="3" t="s">
        <v>6335</v>
      </c>
      <c r="F329" s="3"/>
      <c r="G329" s="3" t="s">
        <v>49</v>
      </c>
      <c r="H329" s="3" t="s">
        <v>72</v>
      </c>
      <c r="I329" s="3">
        <v>9900.0</v>
      </c>
      <c r="J329" s="3"/>
      <c r="K329" s="3"/>
      <c r="L329" s="3"/>
      <c r="M329" s="3" t="s">
        <v>6336</v>
      </c>
      <c r="N329" s="3" t="s">
        <v>109</v>
      </c>
      <c r="O329" s="3" t="s">
        <v>110</v>
      </c>
      <c r="P329" s="4">
        <v>44270.3087384259</v>
      </c>
      <c r="Q329" s="3" t="s">
        <v>56</v>
      </c>
      <c r="R329" s="3"/>
      <c r="S329" s="3" t="s">
        <v>97</v>
      </c>
      <c r="T329" s="3">
        <v>1303569.0</v>
      </c>
      <c r="U329" s="3" t="s">
        <v>6337</v>
      </c>
      <c r="V329" s="3" t="s">
        <v>99</v>
      </c>
      <c r="W329" s="3" t="s">
        <v>100</v>
      </c>
      <c r="X329" s="3"/>
      <c r="Y329" s="3"/>
      <c r="Z329" s="3" t="s">
        <v>112</v>
      </c>
      <c r="AA329" s="3" t="s">
        <v>6338</v>
      </c>
      <c r="AB329" s="3" t="str">
        <f>"10517764000102"</f>
        <v>10517764000102</v>
      </c>
      <c r="AC329" s="3"/>
      <c r="AD329" s="3" t="s">
        <v>62</v>
      </c>
      <c r="AE329" s="3"/>
      <c r="AF329" s="3">
        <v>-59.975833</v>
      </c>
      <c r="AG329" s="3">
        <v>-3.1325</v>
      </c>
      <c r="AH329" s="3" t="s">
        <v>6339</v>
      </c>
      <c r="AI329" s="3"/>
      <c r="AJ329" s="3" t="s">
        <v>104</v>
      </c>
      <c r="AK329" s="3"/>
      <c r="AL329" s="3"/>
      <c r="AM329" s="3" t="s">
        <v>65</v>
      </c>
      <c r="AN329" s="3"/>
      <c r="AO329" s="3"/>
      <c r="AP329" s="4">
        <v>44270.3247800926</v>
      </c>
      <c r="AQ329" s="3"/>
      <c r="AR329" s="3" t="s">
        <v>1143</v>
      </c>
      <c r="AS329" s="3"/>
      <c r="AT329" s="4">
        <v>44281.0337152778</v>
      </c>
    </row>
    <row r="330" ht="15.75" customHeight="1">
      <c r="A330" s="3"/>
      <c r="B330" s="3" t="s">
        <v>46</v>
      </c>
      <c r="C330" s="3" t="s">
        <v>47</v>
      </c>
      <c r="D330" s="3"/>
      <c r="E330" s="3" t="s">
        <v>6340</v>
      </c>
      <c r="F330" s="3"/>
      <c r="G330" s="3" t="s">
        <v>49</v>
      </c>
      <c r="H330" s="3" t="s">
        <v>50</v>
      </c>
      <c r="I330" s="3">
        <v>1100.0</v>
      </c>
      <c r="J330" s="3"/>
      <c r="K330" s="3" t="s">
        <v>51</v>
      </c>
      <c r="L330" s="3"/>
      <c r="M330" s="3" t="s">
        <v>6341</v>
      </c>
      <c r="N330" s="3" t="s">
        <v>285</v>
      </c>
      <c r="O330" s="3" t="s">
        <v>286</v>
      </c>
      <c r="P330" s="4">
        <v>44270.1581018518</v>
      </c>
      <c r="Q330" s="3" t="s">
        <v>56</v>
      </c>
      <c r="R330" s="3"/>
      <c r="S330" s="3" t="s">
        <v>1468</v>
      </c>
      <c r="T330" s="3">
        <v>5002704.0</v>
      </c>
      <c r="U330" s="3" t="s">
        <v>3098</v>
      </c>
      <c r="V330" s="3" t="s">
        <v>1470</v>
      </c>
      <c r="W330" s="3" t="s">
        <v>172</v>
      </c>
      <c r="X330" s="3"/>
      <c r="Y330" s="3"/>
      <c r="Z330" s="3" t="s">
        <v>292</v>
      </c>
      <c r="AA330" s="3" t="s">
        <v>6342</v>
      </c>
      <c r="AB330" s="3" t="str">
        <f>"18153752000158"</f>
        <v>18153752000158</v>
      </c>
      <c r="AC330" s="3"/>
      <c r="AD330" s="3" t="s">
        <v>81</v>
      </c>
      <c r="AE330" s="3"/>
      <c r="AF330" s="3">
        <v>-54.595</v>
      </c>
      <c r="AG330" s="3">
        <v>-20.456389</v>
      </c>
      <c r="AH330" s="3" t="s">
        <v>6343</v>
      </c>
      <c r="AI330" s="3"/>
      <c r="AJ330" s="3" t="s">
        <v>1473</v>
      </c>
      <c r="AK330" s="3"/>
      <c r="AL330" s="3"/>
      <c r="AM330" s="3" t="s">
        <v>65</v>
      </c>
      <c r="AN330" s="3"/>
      <c r="AO330" s="3"/>
      <c r="AP330" s="4">
        <v>44270.1653356481</v>
      </c>
      <c r="AQ330" s="3"/>
      <c r="AR330" s="3" t="s">
        <v>298</v>
      </c>
      <c r="AS330" s="3"/>
      <c r="AT330" s="4">
        <v>44281.0337152778</v>
      </c>
    </row>
    <row r="331" ht="15.75" customHeight="1">
      <c r="A331" s="3"/>
      <c r="B331" s="3" t="s">
        <v>46</v>
      </c>
      <c r="C331" s="3" t="s">
        <v>47</v>
      </c>
      <c r="D331" s="3"/>
      <c r="E331" s="3" t="s">
        <v>6344</v>
      </c>
      <c r="F331" s="3"/>
      <c r="G331" s="3" t="s">
        <v>49</v>
      </c>
      <c r="H331" s="3" t="s">
        <v>50</v>
      </c>
      <c r="I331" s="3">
        <v>32300.0</v>
      </c>
      <c r="J331" s="3"/>
      <c r="K331" s="3" t="s">
        <v>92</v>
      </c>
      <c r="L331" s="3"/>
      <c r="M331" s="3" t="s">
        <v>6345</v>
      </c>
      <c r="N331" s="3" t="s">
        <v>74</v>
      </c>
      <c r="O331" s="3" t="s">
        <v>75</v>
      </c>
      <c r="P331" s="4">
        <v>44269.8972569445</v>
      </c>
      <c r="Q331" s="3" t="s">
        <v>77</v>
      </c>
      <c r="R331" s="3"/>
      <c r="S331" s="3" t="s">
        <v>400</v>
      </c>
      <c r="T331" s="3">
        <v>4303509.0</v>
      </c>
      <c r="U331" s="3" t="s">
        <v>2354</v>
      </c>
      <c r="V331" s="3" t="s">
        <v>402</v>
      </c>
      <c r="W331" s="3" t="s">
        <v>78</v>
      </c>
      <c r="X331" s="3"/>
      <c r="Y331" s="3"/>
      <c r="Z331" s="3" t="s">
        <v>79</v>
      </c>
      <c r="AA331" s="3" t="s">
        <v>6346</v>
      </c>
      <c r="AB331" s="3" t="str">
        <f>"***624539**"</f>
        <v>***624539**</v>
      </c>
      <c r="AC331" s="3"/>
      <c r="AD331" s="3" t="s">
        <v>81</v>
      </c>
      <c r="AE331" s="3"/>
      <c r="AF331" s="3">
        <v>-51.799167</v>
      </c>
      <c r="AG331" s="3">
        <v>-30.865278</v>
      </c>
      <c r="AH331" s="3" t="s">
        <v>6347</v>
      </c>
      <c r="AI331" s="3"/>
      <c r="AJ331" s="3" t="s">
        <v>405</v>
      </c>
      <c r="AK331" s="3"/>
      <c r="AL331" s="3"/>
      <c r="AM331" s="3" t="s">
        <v>65</v>
      </c>
      <c r="AN331" s="3"/>
      <c r="AO331" s="3"/>
      <c r="AP331" s="4">
        <v>44269.9150462963</v>
      </c>
      <c r="AQ331" s="3"/>
      <c r="AR331" s="3" t="s">
        <v>502</v>
      </c>
      <c r="AS331" s="3" t="s">
        <v>2777</v>
      </c>
      <c r="AT331" s="4">
        <v>44281.0337152778</v>
      </c>
    </row>
    <row r="332" ht="15.75" customHeight="1">
      <c r="A332" s="3"/>
      <c r="B332" s="3" t="s">
        <v>46</v>
      </c>
      <c r="C332" s="3" t="s">
        <v>47</v>
      </c>
      <c r="D332" s="3"/>
      <c r="E332" s="3" t="s">
        <v>6348</v>
      </c>
      <c r="F332" s="3"/>
      <c r="G332" s="3" t="s">
        <v>49</v>
      </c>
      <c r="H332" s="3" t="s">
        <v>50</v>
      </c>
      <c r="I332" s="3">
        <v>1500.0</v>
      </c>
      <c r="J332" s="3"/>
      <c r="K332" s="3" t="s">
        <v>51</v>
      </c>
      <c r="L332" s="3"/>
      <c r="M332" s="3" t="s">
        <v>6349</v>
      </c>
      <c r="N332" s="3" t="s">
        <v>109</v>
      </c>
      <c r="O332" s="3" t="s">
        <v>110</v>
      </c>
      <c r="P332" s="4">
        <v>44269.6312152778</v>
      </c>
      <c r="Q332" s="3" t="s">
        <v>77</v>
      </c>
      <c r="R332" s="3"/>
      <c r="S332" s="3" t="s">
        <v>123</v>
      </c>
      <c r="T332" s="3">
        <v>1100205.0</v>
      </c>
      <c r="U332" s="3" t="s">
        <v>242</v>
      </c>
      <c r="V332" s="3" t="s">
        <v>125</v>
      </c>
      <c r="W332" s="3" t="s">
        <v>100</v>
      </c>
      <c r="X332" s="3"/>
      <c r="Y332" s="3"/>
      <c r="Z332" s="3" t="s">
        <v>112</v>
      </c>
      <c r="AA332" s="3" t="s">
        <v>6350</v>
      </c>
      <c r="AB332" s="3" t="str">
        <f t="shared" ref="AB332:AB334" si="26">"17755846000134"</f>
        <v>17755846000134</v>
      </c>
      <c r="AC332" s="3"/>
      <c r="AD332" s="3" t="s">
        <v>81</v>
      </c>
      <c r="AE332" s="3"/>
      <c r="AF332" s="3">
        <v>-65.747194</v>
      </c>
      <c r="AG332" s="3">
        <v>-9.660083</v>
      </c>
      <c r="AH332" s="3" t="s">
        <v>6351</v>
      </c>
      <c r="AI332" s="3"/>
      <c r="AJ332" s="3" t="s">
        <v>120</v>
      </c>
      <c r="AK332" s="3"/>
      <c r="AL332" s="3"/>
      <c r="AM332" s="3" t="s">
        <v>65</v>
      </c>
      <c r="AN332" s="3" t="s">
        <v>129</v>
      </c>
      <c r="AO332" s="3"/>
      <c r="AP332" s="4">
        <v>44279.5247337963</v>
      </c>
      <c r="AQ332" s="3"/>
      <c r="AR332" s="3" t="s">
        <v>106</v>
      </c>
      <c r="AS332" s="3"/>
      <c r="AT332" s="4">
        <v>44281.0337152778</v>
      </c>
    </row>
    <row r="333" ht="15.75" customHeight="1">
      <c r="A333" s="3"/>
      <c r="B333" s="3" t="s">
        <v>46</v>
      </c>
      <c r="C333" s="3" t="s">
        <v>47</v>
      </c>
      <c r="D333" s="3"/>
      <c r="E333" s="3" t="s">
        <v>6352</v>
      </c>
      <c r="F333" s="3"/>
      <c r="G333" s="3" t="s">
        <v>49</v>
      </c>
      <c r="H333" s="3" t="s">
        <v>72</v>
      </c>
      <c r="I333" s="3">
        <v>326531.7</v>
      </c>
      <c r="J333" s="3"/>
      <c r="K333" s="3"/>
      <c r="L333" s="3"/>
      <c r="M333" s="3" t="s">
        <v>6353</v>
      </c>
      <c r="N333" s="3" t="s">
        <v>109</v>
      </c>
      <c r="O333" s="3" t="s">
        <v>110</v>
      </c>
      <c r="P333" s="4">
        <v>44269.5703009259</v>
      </c>
      <c r="Q333" s="3" t="s">
        <v>77</v>
      </c>
      <c r="R333" s="3"/>
      <c r="S333" s="3" t="s">
        <v>148</v>
      </c>
      <c r="T333" s="3">
        <v>1100205.0</v>
      </c>
      <c r="U333" s="3" t="s">
        <v>242</v>
      </c>
      <c r="V333" s="3" t="s">
        <v>125</v>
      </c>
      <c r="W333" s="3" t="s">
        <v>100</v>
      </c>
      <c r="X333" s="3"/>
      <c r="Y333" s="3"/>
      <c r="Z333" s="3" t="s">
        <v>112</v>
      </c>
      <c r="AA333" s="3" t="s">
        <v>6350</v>
      </c>
      <c r="AB333" s="3" t="str">
        <f t="shared" si="26"/>
        <v>17755846000134</v>
      </c>
      <c r="AC333" s="3"/>
      <c r="AD333" s="3" t="s">
        <v>81</v>
      </c>
      <c r="AE333" s="3"/>
      <c r="AF333" s="3">
        <v>-65.747194</v>
      </c>
      <c r="AG333" s="3">
        <v>-9.660083</v>
      </c>
      <c r="AH333" s="3" t="s">
        <v>6351</v>
      </c>
      <c r="AI333" s="3"/>
      <c r="AJ333" s="3" t="s">
        <v>120</v>
      </c>
      <c r="AK333" s="3"/>
      <c r="AL333" s="3"/>
      <c r="AM333" s="3" t="s">
        <v>65</v>
      </c>
      <c r="AN333" s="3" t="s">
        <v>129</v>
      </c>
      <c r="AO333" s="3"/>
      <c r="AP333" s="4">
        <v>44279.5250578704</v>
      </c>
      <c r="AQ333" s="3"/>
      <c r="AR333" s="3" t="s">
        <v>177</v>
      </c>
      <c r="AS333" s="3"/>
      <c r="AT333" s="4">
        <v>44281.0337152778</v>
      </c>
    </row>
    <row r="334" ht="15.75" customHeight="1">
      <c r="A334" s="3"/>
      <c r="B334" s="3" t="s">
        <v>46</v>
      </c>
      <c r="C334" s="3" t="s">
        <v>47</v>
      </c>
      <c r="D334" s="3"/>
      <c r="E334" s="3" t="s">
        <v>6354</v>
      </c>
      <c r="F334" s="3"/>
      <c r="G334" s="3" t="s">
        <v>49</v>
      </c>
      <c r="H334" s="3" t="s">
        <v>50</v>
      </c>
      <c r="I334" s="3">
        <v>111500.0</v>
      </c>
      <c r="J334" s="3"/>
      <c r="K334" s="3" t="s">
        <v>92</v>
      </c>
      <c r="L334" s="3"/>
      <c r="M334" s="3" t="s">
        <v>6355</v>
      </c>
      <c r="N334" s="3" t="s">
        <v>109</v>
      </c>
      <c r="O334" s="3" t="s">
        <v>110</v>
      </c>
      <c r="P334" s="4">
        <v>44269.5405787037</v>
      </c>
      <c r="Q334" s="3" t="s">
        <v>77</v>
      </c>
      <c r="R334" s="3"/>
      <c r="S334" s="3" t="s">
        <v>148</v>
      </c>
      <c r="T334" s="3">
        <v>1100205.0</v>
      </c>
      <c r="U334" s="3" t="s">
        <v>242</v>
      </c>
      <c r="V334" s="3" t="s">
        <v>125</v>
      </c>
      <c r="W334" s="3" t="s">
        <v>100</v>
      </c>
      <c r="X334" s="3"/>
      <c r="Y334" s="3"/>
      <c r="Z334" s="3" t="s">
        <v>112</v>
      </c>
      <c r="AA334" s="3" t="s">
        <v>6350</v>
      </c>
      <c r="AB334" s="3" t="str">
        <f t="shared" si="26"/>
        <v>17755846000134</v>
      </c>
      <c r="AC334" s="3"/>
      <c r="AD334" s="3" t="s">
        <v>81</v>
      </c>
      <c r="AE334" s="3"/>
      <c r="AF334" s="3">
        <v>-65.747194</v>
      </c>
      <c r="AG334" s="3">
        <v>-9.660083</v>
      </c>
      <c r="AH334" s="3" t="s">
        <v>6351</v>
      </c>
      <c r="AI334" s="3"/>
      <c r="AJ334" s="3" t="s">
        <v>120</v>
      </c>
      <c r="AK334" s="3"/>
      <c r="AL334" s="3"/>
      <c r="AM334" s="3" t="s">
        <v>65</v>
      </c>
      <c r="AN334" s="3" t="s">
        <v>129</v>
      </c>
      <c r="AO334" s="3"/>
      <c r="AP334" s="4">
        <v>44279.5267013889</v>
      </c>
      <c r="AQ334" s="3"/>
      <c r="AR334" s="3" t="s">
        <v>603</v>
      </c>
      <c r="AS334" s="3"/>
      <c r="AT334" s="4">
        <v>44281.0337152778</v>
      </c>
    </row>
    <row r="335" ht="15.75" customHeight="1">
      <c r="A335" s="3"/>
      <c r="B335" s="3" t="s">
        <v>46</v>
      </c>
      <c r="C335" s="3" t="s">
        <v>47</v>
      </c>
      <c r="D335" s="3"/>
      <c r="E335" s="3" t="s">
        <v>6356</v>
      </c>
      <c r="F335" s="3"/>
      <c r="G335" s="3"/>
      <c r="H335" s="3" t="s">
        <v>50</v>
      </c>
      <c r="I335" s="3"/>
      <c r="J335" s="3"/>
      <c r="K335" s="3"/>
      <c r="L335" s="3"/>
      <c r="M335" s="3"/>
      <c r="N335" s="3" t="s">
        <v>186</v>
      </c>
      <c r="O335" s="3" t="s">
        <v>187</v>
      </c>
      <c r="P335" s="4">
        <v>44269.5391319444</v>
      </c>
      <c r="Q335" s="3"/>
      <c r="R335" s="3"/>
      <c r="S335" s="3"/>
      <c r="T335" s="3">
        <v>1100205.0</v>
      </c>
      <c r="U335" s="3" t="s">
        <v>242</v>
      </c>
      <c r="V335" s="3" t="s">
        <v>125</v>
      </c>
      <c r="W335" s="3"/>
      <c r="X335" s="3"/>
      <c r="Y335" s="3"/>
      <c r="Z335" s="3"/>
      <c r="AA335" s="3"/>
      <c r="AB335" s="3"/>
      <c r="AC335" s="3"/>
      <c r="AD335" s="3"/>
      <c r="AE335" s="3"/>
      <c r="AF335" s="3">
        <v>-65.747417</v>
      </c>
      <c r="AG335" s="3">
        <v>-9.660833</v>
      </c>
      <c r="AH335" s="3" t="s">
        <v>6357</v>
      </c>
      <c r="AI335" s="3"/>
      <c r="AJ335" s="3" t="s">
        <v>120</v>
      </c>
      <c r="AK335" s="3"/>
      <c r="AL335" s="3"/>
      <c r="AM335" s="3" t="s">
        <v>65</v>
      </c>
      <c r="AN335" s="3" t="s">
        <v>129</v>
      </c>
      <c r="AO335" s="3"/>
      <c r="AP335" s="4">
        <v>44269.5392361111</v>
      </c>
      <c r="AQ335" s="3"/>
      <c r="AR335" s="3" t="s">
        <v>6358</v>
      </c>
      <c r="AS335" s="3"/>
      <c r="AT335" s="4">
        <v>44281.0337152778</v>
      </c>
    </row>
    <row r="336" ht="15.75" customHeight="1">
      <c r="A336" s="3"/>
      <c r="B336" s="3" t="s">
        <v>46</v>
      </c>
      <c r="C336" s="3" t="s">
        <v>47</v>
      </c>
      <c r="D336" s="3"/>
      <c r="E336" s="3" t="s">
        <v>6359</v>
      </c>
      <c r="F336" s="3"/>
      <c r="G336" s="3" t="s">
        <v>49</v>
      </c>
      <c r="H336" s="3" t="s">
        <v>72</v>
      </c>
      <c r="I336" s="3">
        <v>423210.0</v>
      </c>
      <c r="J336" s="3"/>
      <c r="K336" s="3"/>
      <c r="L336" s="3"/>
      <c r="M336" s="3" t="s">
        <v>6360</v>
      </c>
      <c r="N336" s="3" t="s">
        <v>109</v>
      </c>
      <c r="O336" s="3" t="s">
        <v>110</v>
      </c>
      <c r="P336" s="4">
        <v>44269.0491435185</v>
      </c>
      <c r="Q336" s="3" t="s">
        <v>137</v>
      </c>
      <c r="R336" s="3"/>
      <c r="S336" s="3" t="s">
        <v>97</v>
      </c>
      <c r="T336" s="3">
        <v>1302405.0</v>
      </c>
      <c r="U336" s="3" t="s">
        <v>5187</v>
      </c>
      <c r="V336" s="3" t="s">
        <v>99</v>
      </c>
      <c r="W336" s="3" t="s">
        <v>100</v>
      </c>
      <c r="X336" s="3"/>
      <c r="Y336" s="3"/>
      <c r="Z336" s="3" t="s">
        <v>112</v>
      </c>
      <c r="AA336" s="3" t="s">
        <v>6361</v>
      </c>
      <c r="AB336" s="3" t="str">
        <f t="shared" ref="AB336:AB338" si="27">"25235075000182"</f>
        <v>25235075000182</v>
      </c>
      <c r="AC336" s="3"/>
      <c r="AD336" s="3" t="s">
        <v>62</v>
      </c>
      <c r="AE336" s="3"/>
      <c r="AF336" s="3">
        <v>-66.113611</v>
      </c>
      <c r="AG336" s="3">
        <v>-9.198889</v>
      </c>
      <c r="AH336" s="3" t="s">
        <v>6362</v>
      </c>
      <c r="AI336" s="3"/>
      <c r="AJ336" s="3" t="s">
        <v>120</v>
      </c>
      <c r="AK336" s="3"/>
      <c r="AL336" s="3"/>
      <c r="AM336" s="3" t="s">
        <v>65</v>
      </c>
      <c r="AN336" s="3" t="s">
        <v>129</v>
      </c>
      <c r="AO336" s="3"/>
      <c r="AP336" s="4">
        <v>44269.4448263889</v>
      </c>
      <c r="AQ336" s="3"/>
      <c r="AR336" s="3" t="s">
        <v>177</v>
      </c>
      <c r="AS336" s="3"/>
      <c r="AT336" s="4">
        <v>44281.0337152778</v>
      </c>
    </row>
    <row r="337" ht="15.75" customHeight="1">
      <c r="A337" s="3"/>
      <c r="B337" s="3" t="s">
        <v>46</v>
      </c>
      <c r="C337" s="3" t="s">
        <v>47</v>
      </c>
      <c r="D337" s="3"/>
      <c r="E337" s="3" t="s">
        <v>6363</v>
      </c>
      <c r="F337" s="3"/>
      <c r="G337" s="3" t="s">
        <v>49</v>
      </c>
      <c r="H337" s="3" t="s">
        <v>50</v>
      </c>
      <c r="I337" s="3">
        <v>161500.0</v>
      </c>
      <c r="J337" s="3"/>
      <c r="K337" s="3" t="s">
        <v>51</v>
      </c>
      <c r="L337" s="3"/>
      <c r="M337" s="3" t="s">
        <v>6364</v>
      </c>
      <c r="N337" s="3" t="s">
        <v>94</v>
      </c>
      <c r="O337" s="3" t="s">
        <v>95</v>
      </c>
      <c r="P337" s="4">
        <v>44269.0316203704</v>
      </c>
      <c r="Q337" s="3" t="s">
        <v>137</v>
      </c>
      <c r="R337" s="3"/>
      <c r="S337" s="3" t="s">
        <v>97</v>
      </c>
      <c r="T337" s="3">
        <v>1302405.0</v>
      </c>
      <c r="U337" s="3" t="s">
        <v>5187</v>
      </c>
      <c r="V337" s="3" t="s">
        <v>99</v>
      </c>
      <c r="W337" s="3" t="s">
        <v>100</v>
      </c>
      <c r="X337" s="3"/>
      <c r="Y337" s="3"/>
      <c r="Z337" s="3" t="s">
        <v>101</v>
      </c>
      <c r="AA337" s="3" t="s">
        <v>6361</v>
      </c>
      <c r="AB337" s="3" t="str">
        <f t="shared" si="27"/>
        <v>25235075000182</v>
      </c>
      <c r="AC337" s="3"/>
      <c r="AD337" s="3" t="s">
        <v>325</v>
      </c>
      <c r="AE337" s="3"/>
      <c r="AF337" s="3">
        <v>-66.113611</v>
      </c>
      <c r="AG337" s="3">
        <v>-9.198889</v>
      </c>
      <c r="AH337" s="3" t="s">
        <v>6365</v>
      </c>
      <c r="AI337" s="3"/>
      <c r="AJ337" s="3" t="s">
        <v>120</v>
      </c>
      <c r="AK337" s="3"/>
      <c r="AL337" s="3"/>
      <c r="AM337" s="3" t="s">
        <v>65</v>
      </c>
      <c r="AN337" s="3" t="s">
        <v>129</v>
      </c>
      <c r="AO337" s="3"/>
      <c r="AP337" s="4">
        <v>44269.4405787037</v>
      </c>
      <c r="AQ337" s="3"/>
      <c r="AR337" s="3" t="s">
        <v>603</v>
      </c>
      <c r="AS337" s="3"/>
      <c r="AT337" s="4">
        <v>44281.0337152778</v>
      </c>
    </row>
    <row r="338" ht="15.75" customHeight="1">
      <c r="A338" s="3"/>
      <c r="B338" s="3" t="s">
        <v>46</v>
      </c>
      <c r="C338" s="3" t="s">
        <v>47</v>
      </c>
      <c r="D338" s="3"/>
      <c r="E338" s="3" t="s">
        <v>6366</v>
      </c>
      <c r="F338" s="3"/>
      <c r="G338" s="3" t="s">
        <v>49</v>
      </c>
      <c r="H338" s="3" t="s">
        <v>50</v>
      </c>
      <c r="I338" s="3">
        <v>1010500.0</v>
      </c>
      <c r="J338" s="3"/>
      <c r="K338" s="3" t="s">
        <v>51</v>
      </c>
      <c r="L338" s="3"/>
      <c r="M338" s="3" t="s">
        <v>6367</v>
      </c>
      <c r="N338" s="3" t="s">
        <v>301</v>
      </c>
      <c r="O338" s="3" t="s">
        <v>302</v>
      </c>
      <c r="P338" s="4">
        <v>44269.014537037</v>
      </c>
      <c r="Q338" s="3" t="s">
        <v>137</v>
      </c>
      <c r="R338" s="3"/>
      <c r="S338" s="3" t="s">
        <v>241</v>
      </c>
      <c r="T338" s="3">
        <v>1302405.0</v>
      </c>
      <c r="U338" s="3" t="s">
        <v>5187</v>
      </c>
      <c r="V338" s="3" t="s">
        <v>99</v>
      </c>
      <c r="W338" s="3" t="s">
        <v>100</v>
      </c>
      <c r="X338" s="3"/>
      <c r="Y338" s="3"/>
      <c r="Z338" s="3" t="s">
        <v>306</v>
      </c>
      <c r="AA338" s="3" t="s">
        <v>6361</v>
      </c>
      <c r="AB338" s="3" t="str">
        <f t="shared" si="27"/>
        <v>25235075000182</v>
      </c>
      <c r="AC338" s="3"/>
      <c r="AD338" s="3" t="s">
        <v>62</v>
      </c>
      <c r="AE338" s="3"/>
      <c r="AF338" s="3">
        <v>-66.114167</v>
      </c>
      <c r="AG338" s="3">
        <v>-9.2</v>
      </c>
      <c r="AH338" s="3" t="s">
        <v>6368</v>
      </c>
      <c r="AI338" s="3"/>
      <c r="AJ338" s="3" t="s">
        <v>120</v>
      </c>
      <c r="AK338" s="3"/>
      <c r="AL338" s="3"/>
      <c r="AM338" s="3" t="s">
        <v>65</v>
      </c>
      <c r="AN338" s="3" t="s">
        <v>129</v>
      </c>
      <c r="AO338" s="3"/>
      <c r="AP338" s="4">
        <v>44269.4333101852</v>
      </c>
      <c r="AQ338" s="3"/>
      <c r="AR338" s="3" t="s">
        <v>6369</v>
      </c>
      <c r="AS338" s="3"/>
      <c r="AT338" s="4">
        <v>44281.0337152778</v>
      </c>
    </row>
    <row r="339" ht="15.75" customHeight="1">
      <c r="A339" s="3"/>
      <c r="B339" s="3" t="s">
        <v>46</v>
      </c>
      <c r="C339" s="3" t="s">
        <v>47</v>
      </c>
      <c r="D339" s="3"/>
      <c r="E339" s="3" t="s">
        <v>6370</v>
      </c>
      <c r="F339" s="3"/>
      <c r="G339" s="3" t="s">
        <v>49</v>
      </c>
      <c r="H339" s="3" t="s">
        <v>50</v>
      </c>
      <c r="I339" s="3">
        <v>111500.0</v>
      </c>
      <c r="J339" s="3"/>
      <c r="K339" s="3" t="s">
        <v>92</v>
      </c>
      <c r="L339" s="3"/>
      <c r="M339" s="3" t="s">
        <v>6371</v>
      </c>
      <c r="N339" s="3" t="s">
        <v>53</v>
      </c>
      <c r="O339" s="3" t="s">
        <v>333</v>
      </c>
      <c r="P339" s="4">
        <v>44268.9751041667</v>
      </c>
      <c r="Q339" s="3" t="s">
        <v>77</v>
      </c>
      <c r="R339" s="3"/>
      <c r="S339" s="3" t="s">
        <v>123</v>
      </c>
      <c r="T339" s="3">
        <v>1100205.0</v>
      </c>
      <c r="U339" s="3" t="s">
        <v>242</v>
      </c>
      <c r="V339" s="3" t="s">
        <v>125</v>
      </c>
      <c r="W339" s="3" t="s">
        <v>100</v>
      </c>
      <c r="X339" s="3"/>
      <c r="Y339" s="3"/>
      <c r="Z339" s="3" t="s">
        <v>223</v>
      </c>
      <c r="AA339" s="3" t="s">
        <v>6372</v>
      </c>
      <c r="AB339" s="3" t="str">
        <f t="shared" ref="AB339:AB340" si="28">"26051691000146"</f>
        <v>26051691000146</v>
      </c>
      <c r="AC339" s="3"/>
      <c r="AD339" s="3" t="s">
        <v>81</v>
      </c>
      <c r="AE339" s="3"/>
      <c r="AF339" s="3">
        <v>-65.747778</v>
      </c>
      <c r="AG339" s="3">
        <v>-9.661389</v>
      </c>
      <c r="AH339" s="3" t="s">
        <v>6373</v>
      </c>
      <c r="AI339" s="3"/>
      <c r="AJ339" s="3" t="s">
        <v>120</v>
      </c>
      <c r="AK339" s="3"/>
      <c r="AL339" s="3"/>
      <c r="AM339" s="3" t="s">
        <v>65</v>
      </c>
      <c r="AN339" s="3" t="s">
        <v>129</v>
      </c>
      <c r="AO339" s="3"/>
      <c r="AP339" s="4">
        <v>44268.9808101852</v>
      </c>
      <c r="AQ339" s="3"/>
      <c r="AR339" s="3" t="s">
        <v>106</v>
      </c>
      <c r="AS339" s="3" t="s">
        <v>2310</v>
      </c>
      <c r="AT339" s="4">
        <v>44281.0337152778</v>
      </c>
    </row>
    <row r="340" ht="15.75" customHeight="1">
      <c r="A340" s="3"/>
      <c r="B340" s="3" t="s">
        <v>46</v>
      </c>
      <c r="C340" s="3" t="s">
        <v>47</v>
      </c>
      <c r="D340" s="3"/>
      <c r="E340" s="3" t="s">
        <v>6374</v>
      </c>
      <c r="F340" s="3"/>
      <c r="G340" s="3" t="s">
        <v>49</v>
      </c>
      <c r="H340" s="3" t="s">
        <v>72</v>
      </c>
      <c r="I340" s="3">
        <v>128185.5</v>
      </c>
      <c r="J340" s="3"/>
      <c r="K340" s="3"/>
      <c r="L340" s="3"/>
      <c r="M340" s="3" t="s">
        <v>6375</v>
      </c>
      <c r="N340" s="3" t="s">
        <v>109</v>
      </c>
      <c r="O340" s="3" t="s">
        <v>110</v>
      </c>
      <c r="P340" s="4">
        <v>44268.9322106481</v>
      </c>
      <c r="Q340" s="3" t="s">
        <v>77</v>
      </c>
      <c r="R340" s="3"/>
      <c r="S340" s="3" t="s">
        <v>123</v>
      </c>
      <c r="T340" s="3">
        <v>1100205.0</v>
      </c>
      <c r="U340" s="3" t="s">
        <v>242</v>
      </c>
      <c r="V340" s="3" t="s">
        <v>125</v>
      </c>
      <c r="W340" s="3" t="s">
        <v>100</v>
      </c>
      <c r="X340" s="3"/>
      <c r="Y340" s="3"/>
      <c r="Z340" s="3" t="s">
        <v>112</v>
      </c>
      <c r="AA340" s="3" t="s">
        <v>6372</v>
      </c>
      <c r="AB340" s="3" t="str">
        <f t="shared" si="28"/>
        <v>26051691000146</v>
      </c>
      <c r="AC340" s="3"/>
      <c r="AD340" s="3" t="s">
        <v>81</v>
      </c>
      <c r="AE340" s="3"/>
      <c r="AF340" s="3">
        <v>-65.747778</v>
      </c>
      <c r="AG340" s="3">
        <v>-9.661389</v>
      </c>
      <c r="AH340" s="3" t="s">
        <v>6376</v>
      </c>
      <c r="AI340" s="3"/>
      <c r="AJ340" s="3" t="s">
        <v>120</v>
      </c>
      <c r="AK340" s="3"/>
      <c r="AL340" s="3"/>
      <c r="AM340" s="3" t="s">
        <v>65</v>
      </c>
      <c r="AN340" s="3" t="s">
        <v>129</v>
      </c>
      <c r="AO340" s="3"/>
      <c r="AP340" s="4">
        <v>44268.9396643519</v>
      </c>
      <c r="AQ340" s="3"/>
      <c r="AR340" s="3" t="s">
        <v>177</v>
      </c>
      <c r="AS340" s="3"/>
      <c r="AT340" s="4">
        <v>44281.0337152778</v>
      </c>
    </row>
    <row r="341" ht="15.75" customHeight="1">
      <c r="A341" s="3"/>
      <c r="B341" s="3" t="s">
        <v>46</v>
      </c>
      <c r="C341" s="3" t="s">
        <v>47</v>
      </c>
      <c r="D341" s="3"/>
      <c r="E341" s="3" t="s">
        <v>6377</v>
      </c>
      <c r="F341" s="3"/>
      <c r="G341" s="3" t="s">
        <v>49</v>
      </c>
      <c r="H341" s="3" t="s">
        <v>50</v>
      </c>
      <c r="I341" s="3">
        <v>2000.0</v>
      </c>
      <c r="J341" s="3"/>
      <c r="K341" s="3" t="s">
        <v>92</v>
      </c>
      <c r="L341" s="3"/>
      <c r="M341" s="3" t="s">
        <v>6378</v>
      </c>
      <c r="N341" s="3" t="s">
        <v>94</v>
      </c>
      <c r="O341" s="3" t="s">
        <v>95</v>
      </c>
      <c r="P341" s="4">
        <v>44268.7355787037</v>
      </c>
      <c r="Q341" s="3" t="s">
        <v>56</v>
      </c>
      <c r="R341" s="3"/>
      <c r="S341" s="3" t="s">
        <v>784</v>
      </c>
      <c r="T341" s="3">
        <v>4205407.0</v>
      </c>
      <c r="U341" s="3" t="s">
        <v>2497</v>
      </c>
      <c r="V341" s="3" t="s">
        <v>222</v>
      </c>
      <c r="W341" s="3" t="s">
        <v>60</v>
      </c>
      <c r="X341" s="3"/>
      <c r="Y341" s="3"/>
      <c r="Z341" s="3" t="s">
        <v>101</v>
      </c>
      <c r="AA341" s="3" t="s">
        <v>6379</v>
      </c>
      <c r="AB341" s="3" t="str">
        <f>"***166189**"</f>
        <v>***166189**</v>
      </c>
      <c r="AC341" s="3"/>
      <c r="AD341" s="3" t="s">
        <v>81</v>
      </c>
      <c r="AE341" s="3"/>
      <c r="AF341" s="3">
        <v>-48.492778</v>
      </c>
      <c r="AG341" s="3">
        <v>-27.700561</v>
      </c>
      <c r="AH341" s="3" t="s">
        <v>6380</v>
      </c>
      <c r="AI341" s="3"/>
      <c r="AJ341" s="3" t="s">
        <v>226</v>
      </c>
      <c r="AK341" s="3"/>
      <c r="AL341" s="3"/>
      <c r="AM341" s="3" t="s">
        <v>65</v>
      </c>
      <c r="AN341" s="3" t="s">
        <v>788</v>
      </c>
      <c r="AO341" s="3"/>
      <c r="AP341" s="4">
        <v>44268.7396412037</v>
      </c>
      <c r="AQ341" s="3"/>
      <c r="AR341" s="3" t="s">
        <v>318</v>
      </c>
      <c r="AS341" s="3"/>
      <c r="AT341" s="4">
        <v>44281.0337152778</v>
      </c>
    </row>
    <row r="342" ht="15.75" customHeight="1">
      <c r="A342" s="3"/>
      <c r="B342" s="3" t="s">
        <v>46</v>
      </c>
      <c r="C342" s="3" t="s">
        <v>47</v>
      </c>
      <c r="D342" s="3"/>
      <c r="E342" s="3" t="s">
        <v>6381</v>
      </c>
      <c r="F342" s="3"/>
      <c r="G342" s="3" t="s">
        <v>49</v>
      </c>
      <c r="H342" s="3" t="s">
        <v>50</v>
      </c>
      <c r="I342" s="3">
        <v>201500.0</v>
      </c>
      <c r="J342" s="3"/>
      <c r="K342" s="3" t="s">
        <v>92</v>
      </c>
      <c r="L342" s="3"/>
      <c r="M342" s="3" t="s">
        <v>6382</v>
      </c>
      <c r="N342" s="3" t="s">
        <v>94</v>
      </c>
      <c r="O342" s="3" t="s">
        <v>95</v>
      </c>
      <c r="P342" s="4">
        <v>44268.7180324074</v>
      </c>
      <c r="Q342" s="3" t="s">
        <v>77</v>
      </c>
      <c r="R342" s="3"/>
      <c r="S342" s="3" t="s">
        <v>148</v>
      </c>
      <c r="T342" s="3">
        <v>1100205.0</v>
      </c>
      <c r="U342" s="3" t="s">
        <v>242</v>
      </c>
      <c r="V342" s="3" t="s">
        <v>125</v>
      </c>
      <c r="W342" s="3" t="s">
        <v>100</v>
      </c>
      <c r="X342" s="3"/>
      <c r="Y342" s="3"/>
      <c r="Z342" s="3" t="s">
        <v>101</v>
      </c>
      <c r="AA342" s="3" t="s">
        <v>6383</v>
      </c>
      <c r="AB342" s="3" t="str">
        <f>"36544947000100"</f>
        <v>36544947000100</v>
      </c>
      <c r="AC342" s="3"/>
      <c r="AD342" s="3" t="s">
        <v>62</v>
      </c>
      <c r="AE342" s="3"/>
      <c r="AF342" s="3">
        <v>-63.890833</v>
      </c>
      <c r="AG342" s="3">
        <v>-8.738333</v>
      </c>
      <c r="AH342" s="3" t="s">
        <v>6384</v>
      </c>
      <c r="AI342" s="3"/>
      <c r="AJ342" s="3" t="s">
        <v>120</v>
      </c>
      <c r="AK342" s="3"/>
      <c r="AL342" s="3"/>
      <c r="AM342" s="3" t="s">
        <v>65</v>
      </c>
      <c r="AN342" s="3" t="s">
        <v>129</v>
      </c>
      <c r="AO342" s="3"/>
      <c r="AP342" s="4">
        <v>44268.7241087963</v>
      </c>
      <c r="AQ342" s="3"/>
      <c r="AR342" s="3" t="s">
        <v>106</v>
      </c>
      <c r="AS342" s="3"/>
      <c r="AT342" s="4">
        <v>44281.0337152778</v>
      </c>
    </row>
    <row r="343" ht="15.75" customHeight="1">
      <c r="A343" s="3"/>
      <c r="B343" s="3" t="s">
        <v>46</v>
      </c>
      <c r="C343" s="3" t="s">
        <v>47</v>
      </c>
      <c r="D343" s="3"/>
      <c r="E343" s="3" t="s">
        <v>6385</v>
      </c>
      <c r="F343" s="3"/>
      <c r="G343" s="3" t="s">
        <v>49</v>
      </c>
      <c r="H343" s="3" t="s">
        <v>50</v>
      </c>
      <c r="I343" s="3">
        <v>10500.0</v>
      </c>
      <c r="J343" s="3"/>
      <c r="K343" s="3" t="s">
        <v>92</v>
      </c>
      <c r="L343" s="3"/>
      <c r="M343" s="3" t="s">
        <v>6386</v>
      </c>
      <c r="N343" s="3" t="s">
        <v>301</v>
      </c>
      <c r="O343" s="3" t="s">
        <v>302</v>
      </c>
      <c r="P343" s="4">
        <v>44268.7159259259</v>
      </c>
      <c r="Q343" s="3" t="s">
        <v>56</v>
      </c>
      <c r="R343" s="5">
        <v>44280.0</v>
      </c>
      <c r="S343" s="3" t="s">
        <v>784</v>
      </c>
      <c r="T343" s="3">
        <v>4205407.0</v>
      </c>
      <c r="U343" s="3" t="s">
        <v>2497</v>
      </c>
      <c r="V343" s="3" t="s">
        <v>222</v>
      </c>
      <c r="W343" s="3" t="s">
        <v>60</v>
      </c>
      <c r="X343" s="3"/>
      <c r="Y343" s="3"/>
      <c r="Z343" s="3" t="s">
        <v>306</v>
      </c>
      <c r="AA343" s="3" t="s">
        <v>6387</v>
      </c>
      <c r="AB343" s="3" t="str">
        <f>"***166189**"</f>
        <v>***166189**</v>
      </c>
      <c r="AC343" s="3"/>
      <c r="AD343" s="3" t="s">
        <v>81</v>
      </c>
      <c r="AE343" s="3"/>
      <c r="AF343" s="3">
        <v>-48.555556</v>
      </c>
      <c r="AG343" s="3">
        <v>-27.593889</v>
      </c>
      <c r="AH343" s="3" t="s">
        <v>6388</v>
      </c>
      <c r="AI343" s="3"/>
      <c r="AJ343" s="3" t="s">
        <v>226</v>
      </c>
      <c r="AK343" s="3"/>
      <c r="AL343" s="3"/>
      <c r="AM343" s="3" t="s">
        <v>65</v>
      </c>
      <c r="AN343" s="3" t="s">
        <v>788</v>
      </c>
      <c r="AO343" s="3"/>
      <c r="AP343" s="4">
        <v>44268.7292013889</v>
      </c>
      <c r="AQ343" s="3"/>
      <c r="AR343" s="3" t="s">
        <v>463</v>
      </c>
      <c r="AS343" s="3"/>
      <c r="AT343" s="4">
        <v>44281.0337152778</v>
      </c>
    </row>
    <row r="344" ht="15.75" customHeight="1">
      <c r="A344" s="3"/>
      <c r="B344" s="3" t="s">
        <v>46</v>
      </c>
      <c r="C344" s="3" t="s">
        <v>47</v>
      </c>
      <c r="D344" s="3"/>
      <c r="E344" s="3" t="s">
        <v>6389</v>
      </c>
      <c r="F344" s="3"/>
      <c r="G344" s="3" t="s">
        <v>49</v>
      </c>
      <c r="H344" s="3" t="s">
        <v>72</v>
      </c>
      <c r="I344" s="3">
        <v>129654.48</v>
      </c>
      <c r="J344" s="3"/>
      <c r="K344" s="3"/>
      <c r="L344" s="3"/>
      <c r="M344" s="3" t="s">
        <v>6390</v>
      </c>
      <c r="N344" s="3" t="s">
        <v>109</v>
      </c>
      <c r="O344" s="3" t="s">
        <v>110</v>
      </c>
      <c r="P344" s="4">
        <v>44268.6633680556</v>
      </c>
      <c r="Q344" s="3" t="s">
        <v>77</v>
      </c>
      <c r="R344" s="3"/>
      <c r="S344" s="3" t="s">
        <v>123</v>
      </c>
      <c r="T344" s="3">
        <v>1100205.0</v>
      </c>
      <c r="U344" s="3" t="s">
        <v>242</v>
      </c>
      <c r="V344" s="3" t="s">
        <v>125</v>
      </c>
      <c r="W344" s="3" t="s">
        <v>100</v>
      </c>
      <c r="X344" s="3"/>
      <c r="Y344" s="3"/>
      <c r="Z344" s="3" t="s">
        <v>112</v>
      </c>
      <c r="AA344" s="3" t="s">
        <v>6383</v>
      </c>
      <c r="AB344" s="3" t="str">
        <f>"36544947000100"</f>
        <v>36544947000100</v>
      </c>
      <c r="AC344" s="3"/>
      <c r="AD344" s="3" t="s">
        <v>62</v>
      </c>
      <c r="AE344" s="3"/>
      <c r="AF344" s="3">
        <v>-63.890556</v>
      </c>
      <c r="AG344" s="3">
        <v>-8.738333</v>
      </c>
      <c r="AH344" s="3" t="s">
        <v>6384</v>
      </c>
      <c r="AI344" s="3"/>
      <c r="AJ344" s="3" t="s">
        <v>120</v>
      </c>
      <c r="AK344" s="3"/>
      <c r="AL344" s="3"/>
      <c r="AM344" s="3" t="s">
        <v>65</v>
      </c>
      <c r="AN344" s="3" t="s">
        <v>129</v>
      </c>
      <c r="AO344" s="3"/>
      <c r="AP344" s="4">
        <v>44268.7119097222</v>
      </c>
      <c r="AQ344" s="3"/>
      <c r="AR344" s="3" t="s">
        <v>177</v>
      </c>
      <c r="AS344" s="3"/>
      <c r="AT344" s="4">
        <v>44281.0337152778</v>
      </c>
    </row>
    <row r="345" ht="15.75" customHeight="1">
      <c r="A345" s="3">
        <v>2044628.0</v>
      </c>
      <c r="B345" s="3" t="s">
        <v>116</v>
      </c>
      <c r="C345" s="3" t="s">
        <v>117</v>
      </c>
      <c r="D345" s="3" t="s">
        <v>46</v>
      </c>
      <c r="E345" s="3" t="s">
        <v>6391</v>
      </c>
      <c r="F345" s="3"/>
      <c r="G345" s="3" t="s">
        <v>119</v>
      </c>
      <c r="H345" s="3" t="s">
        <v>72</v>
      </c>
      <c r="I345" s="3">
        <v>12800.0</v>
      </c>
      <c r="J345" s="3"/>
      <c r="K345" s="3"/>
      <c r="L345" s="3" t="s">
        <v>1473</v>
      </c>
      <c r="M345" s="3" t="s">
        <v>6392</v>
      </c>
      <c r="N345" s="3" t="s">
        <v>109</v>
      </c>
      <c r="O345" s="3" t="s">
        <v>110</v>
      </c>
      <c r="P345" s="4">
        <v>44267.75</v>
      </c>
      <c r="Q345" s="3" t="s">
        <v>56</v>
      </c>
      <c r="R345" s="5">
        <v>44272.0</v>
      </c>
      <c r="S345" s="3" t="s">
        <v>1468</v>
      </c>
      <c r="T345" s="3">
        <v>5003207.0</v>
      </c>
      <c r="U345" s="3" t="s">
        <v>2929</v>
      </c>
      <c r="V345" s="3" t="s">
        <v>1470</v>
      </c>
      <c r="W345" s="3" t="s">
        <v>1658</v>
      </c>
      <c r="X345" s="3"/>
      <c r="Y345" s="3"/>
      <c r="Z345" s="3" t="s">
        <v>112</v>
      </c>
      <c r="AA345" s="3" t="s">
        <v>3554</v>
      </c>
      <c r="AB345" s="3" t="str">
        <f>"***175501**"</f>
        <v>***175501**</v>
      </c>
      <c r="AC345" s="3"/>
      <c r="AD345" s="3"/>
      <c r="AE345" s="3"/>
      <c r="AF345" s="3">
        <v>-57.118056</v>
      </c>
      <c r="AG345" s="3">
        <v>-19.084722</v>
      </c>
      <c r="AH345" s="3" t="s">
        <v>6393</v>
      </c>
      <c r="AI345" s="3"/>
      <c r="AJ345" s="3" t="s">
        <v>1473</v>
      </c>
      <c r="AK345" s="3"/>
      <c r="AL345" s="3" t="s">
        <v>128</v>
      </c>
      <c r="AM345" s="3" t="s">
        <v>65</v>
      </c>
      <c r="AN345" s="3"/>
      <c r="AO345" s="4">
        <v>44278.0</v>
      </c>
      <c r="AP345" s="4">
        <v>44278.7058333333</v>
      </c>
      <c r="AQ345" s="3" t="s">
        <v>132</v>
      </c>
      <c r="AR345" s="3" t="s">
        <v>3557</v>
      </c>
      <c r="AS345" s="3"/>
      <c r="AT345" s="4">
        <v>44281.0337152778</v>
      </c>
    </row>
    <row r="346" ht="15.75" customHeight="1">
      <c r="A346" s="3"/>
      <c r="B346" s="3" t="s">
        <v>46</v>
      </c>
      <c r="C346" s="3" t="s">
        <v>47</v>
      </c>
      <c r="D346" s="3"/>
      <c r="E346" s="3" t="s">
        <v>6394</v>
      </c>
      <c r="F346" s="3"/>
      <c r="G346" s="3" t="s">
        <v>49</v>
      </c>
      <c r="H346" s="3" t="s">
        <v>50</v>
      </c>
      <c r="I346" s="3">
        <v>2000.0</v>
      </c>
      <c r="J346" s="3"/>
      <c r="K346" s="3" t="s">
        <v>92</v>
      </c>
      <c r="L346" s="3"/>
      <c r="M346" s="3" t="s">
        <v>6395</v>
      </c>
      <c r="N346" s="3" t="s">
        <v>53</v>
      </c>
      <c r="O346" s="3" t="s">
        <v>333</v>
      </c>
      <c r="P346" s="4">
        <v>44267.7188078704</v>
      </c>
      <c r="Q346" s="3" t="s">
        <v>56</v>
      </c>
      <c r="R346" s="5">
        <v>44311.0</v>
      </c>
      <c r="S346" s="3" t="s">
        <v>784</v>
      </c>
      <c r="T346" s="3">
        <v>4205407.0</v>
      </c>
      <c r="U346" s="3" t="s">
        <v>2497</v>
      </c>
      <c r="V346" s="3" t="s">
        <v>222</v>
      </c>
      <c r="W346" s="3" t="s">
        <v>60</v>
      </c>
      <c r="X346" s="3"/>
      <c r="Y346" s="3"/>
      <c r="Z346" s="3" t="s">
        <v>223</v>
      </c>
      <c r="AA346" s="3" t="s">
        <v>6396</v>
      </c>
      <c r="AB346" s="3" t="str">
        <f>"***933579**"</f>
        <v>***933579**</v>
      </c>
      <c r="AC346" s="3"/>
      <c r="AD346" s="3" t="s">
        <v>81</v>
      </c>
      <c r="AE346" s="3"/>
      <c r="AF346" s="3">
        <v>-48.555</v>
      </c>
      <c r="AG346" s="3">
        <v>-27.593611</v>
      </c>
      <c r="AH346" s="3" t="s">
        <v>6397</v>
      </c>
      <c r="AI346" s="3"/>
      <c r="AJ346" s="3" t="s">
        <v>226</v>
      </c>
      <c r="AK346" s="3"/>
      <c r="AL346" s="3"/>
      <c r="AM346" s="3" t="s">
        <v>65</v>
      </c>
      <c r="AN346" s="3" t="s">
        <v>788</v>
      </c>
      <c r="AO346" s="3"/>
      <c r="AP346" s="4">
        <v>44267.7230439815</v>
      </c>
      <c r="AQ346" s="3"/>
      <c r="AR346" s="3" t="s">
        <v>318</v>
      </c>
      <c r="AS346" s="3"/>
      <c r="AT346" s="4">
        <v>44281.0337152778</v>
      </c>
    </row>
    <row r="347" ht="15.75" customHeight="1">
      <c r="A347" s="3"/>
      <c r="B347" s="3" t="s">
        <v>46</v>
      </c>
      <c r="C347" s="3" t="s">
        <v>47</v>
      </c>
      <c r="D347" s="3"/>
      <c r="E347" s="3" t="s">
        <v>6398</v>
      </c>
      <c r="F347" s="3"/>
      <c r="G347" s="3" t="s">
        <v>49</v>
      </c>
      <c r="H347" s="3" t="s">
        <v>50</v>
      </c>
      <c r="I347" s="3">
        <v>7600.0</v>
      </c>
      <c r="J347" s="3"/>
      <c r="K347" s="3" t="s">
        <v>92</v>
      </c>
      <c r="L347" s="3"/>
      <c r="M347" s="3" t="s">
        <v>6399</v>
      </c>
      <c r="N347" s="3" t="s">
        <v>74</v>
      </c>
      <c r="O347" s="3" t="s">
        <v>75</v>
      </c>
      <c r="P347" s="4">
        <v>44267.7033680556</v>
      </c>
      <c r="Q347" s="3" t="s">
        <v>56</v>
      </c>
      <c r="R347" s="3"/>
      <c r="S347" s="3" t="s">
        <v>57</v>
      </c>
      <c r="T347" s="3">
        <v>3205309.0</v>
      </c>
      <c r="U347" s="3" t="s">
        <v>2037</v>
      </c>
      <c r="V347" s="3" t="s">
        <v>59</v>
      </c>
      <c r="W347" s="3" t="s">
        <v>60</v>
      </c>
      <c r="X347" s="3"/>
      <c r="Y347" s="3"/>
      <c r="Z347" s="3" t="s">
        <v>79</v>
      </c>
      <c r="AA347" s="3" t="s">
        <v>6400</v>
      </c>
      <c r="AB347" s="3" t="str">
        <f>"07277611000120"</f>
        <v>07277611000120</v>
      </c>
      <c r="AC347" s="3"/>
      <c r="AD347" s="3" t="s">
        <v>62</v>
      </c>
      <c r="AE347" s="3"/>
      <c r="AF347" s="3">
        <v>-40.292778</v>
      </c>
      <c r="AG347" s="3">
        <v>-20.310278</v>
      </c>
      <c r="AH347" s="3" t="s">
        <v>6401</v>
      </c>
      <c r="AI347" s="3"/>
      <c r="AJ347" s="3" t="s">
        <v>64</v>
      </c>
      <c r="AK347" s="3"/>
      <c r="AL347" s="3"/>
      <c r="AM347" s="3" t="s">
        <v>65</v>
      </c>
      <c r="AN347" s="3" t="s">
        <v>83</v>
      </c>
      <c r="AO347" s="3"/>
      <c r="AP347" s="4">
        <v>44267.7105787037</v>
      </c>
      <c r="AQ347" s="3"/>
      <c r="AR347" s="3" t="s">
        <v>407</v>
      </c>
      <c r="AS347" s="3"/>
      <c r="AT347" s="4">
        <v>44281.0337152778</v>
      </c>
    </row>
    <row r="348" ht="15.75" customHeight="1">
      <c r="A348" s="3"/>
      <c r="B348" s="3" t="s">
        <v>46</v>
      </c>
      <c r="C348" s="3" t="s">
        <v>47</v>
      </c>
      <c r="D348" s="3"/>
      <c r="E348" s="3" t="s">
        <v>6402</v>
      </c>
      <c r="F348" s="3"/>
      <c r="G348" s="3" t="s">
        <v>49</v>
      </c>
      <c r="H348" s="3" t="s">
        <v>50</v>
      </c>
      <c r="I348" s="3">
        <v>10500.0</v>
      </c>
      <c r="J348" s="3"/>
      <c r="K348" s="3" t="s">
        <v>92</v>
      </c>
      <c r="L348" s="3"/>
      <c r="M348" s="3" t="s">
        <v>6403</v>
      </c>
      <c r="N348" s="3" t="s">
        <v>301</v>
      </c>
      <c r="O348" s="3" t="s">
        <v>302</v>
      </c>
      <c r="P348" s="4">
        <v>44267.6997222222</v>
      </c>
      <c r="Q348" s="3" t="s">
        <v>56</v>
      </c>
      <c r="R348" s="5">
        <v>44268.0</v>
      </c>
      <c r="S348" s="3" t="s">
        <v>784</v>
      </c>
      <c r="T348" s="3">
        <v>4205407.0</v>
      </c>
      <c r="U348" s="3" t="s">
        <v>2497</v>
      </c>
      <c r="V348" s="3" t="s">
        <v>222</v>
      </c>
      <c r="W348" s="3" t="s">
        <v>60</v>
      </c>
      <c r="X348" s="3"/>
      <c r="Y348" s="3"/>
      <c r="Z348" s="3" t="s">
        <v>306</v>
      </c>
      <c r="AA348" s="3" t="s">
        <v>6396</v>
      </c>
      <c r="AB348" s="3" t="str">
        <f>"***933579**"</f>
        <v>***933579**</v>
      </c>
      <c r="AC348" s="3"/>
      <c r="AD348" s="3" t="s">
        <v>81</v>
      </c>
      <c r="AE348" s="3"/>
      <c r="AF348" s="3">
        <v>-48.492778</v>
      </c>
      <c r="AG348" s="3">
        <v>-27.700278</v>
      </c>
      <c r="AH348" s="3" t="s">
        <v>6404</v>
      </c>
      <c r="AI348" s="3"/>
      <c r="AJ348" s="3" t="s">
        <v>226</v>
      </c>
      <c r="AK348" s="3"/>
      <c r="AL348" s="3"/>
      <c r="AM348" s="3" t="s">
        <v>65</v>
      </c>
      <c r="AN348" s="3" t="s">
        <v>788</v>
      </c>
      <c r="AO348" s="3"/>
      <c r="AP348" s="4">
        <v>44267.7124768519</v>
      </c>
      <c r="AQ348" s="3"/>
      <c r="AR348" s="3" t="s">
        <v>463</v>
      </c>
      <c r="AS348" s="3"/>
      <c r="AT348" s="4">
        <v>44281.0337152778</v>
      </c>
    </row>
    <row r="349" ht="15.75" customHeight="1">
      <c r="A349" s="3"/>
      <c r="B349" s="3" t="s">
        <v>46</v>
      </c>
      <c r="C349" s="3" t="s">
        <v>47</v>
      </c>
      <c r="D349" s="3"/>
      <c r="E349" s="3" t="s">
        <v>6405</v>
      </c>
      <c r="F349" s="3"/>
      <c r="G349" s="3" t="s">
        <v>49</v>
      </c>
      <c r="H349" s="3" t="s">
        <v>50</v>
      </c>
      <c r="I349" s="3">
        <v>7220.0</v>
      </c>
      <c r="J349" s="3"/>
      <c r="K349" s="3" t="s">
        <v>92</v>
      </c>
      <c r="L349" s="3"/>
      <c r="M349" s="3" t="s">
        <v>6406</v>
      </c>
      <c r="N349" s="3" t="s">
        <v>74</v>
      </c>
      <c r="O349" s="3" t="s">
        <v>75</v>
      </c>
      <c r="P349" s="4">
        <v>44267.6978587963</v>
      </c>
      <c r="Q349" s="3" t="s">
        <v>56</v>
      </c>
      <c r="R349" s="3"/>
      <c r="S349" s="3" t="s">
        <v>57</v>
      </c>
      <c r="T349" s="3">
        <v>3205309.0</v>
      </c>
      <c r="U349" s="3" t="s">
        <v>2037</v>
      </c>
      <c r="V349" s="3" t="s">
        <v>59</v>
      </c>
      <c r="W349" s="3" t="s">
        <v>60</v>
      </c>
      <c r="X349" s="3"/>
      <c r="Y349" s="3"/>
      <c r="Z349" s="3" t="s">
        <v>79</v>
      </c>
      <c r="AA349" s="3" t="s">
        <v>6407</v>
      </c>
      <c r="AB349" s="3" t="str">
        <f>"09582668000169"</f>
        <v>09582668000169</v>
      </c>
      <c r="AC349" s="3"/>
      <c r="AD349" s="3" t="s">
        <v>62</v>
      </c>
      <c r="AE349" s="3"/>
      <c r="AF349" s="3">
        <v>-40.292778</v>
      </c>
      <c r="AG349" s="3">
        <v>-20.310278</v>
      </c>
      <c r="AH349" s="3" t="s">
        <v>6401</v>
      </c>
      <c r="AI349" s="3"/>
      <c r="AJ349" s="3" t="s">
        <v>64</v>
      </c>
      <c r="AK349" s="3"/>
      <c r="AL349" s="3"/>
      <c r="AM349" s="3" t="s">
        <v>65</v>
      </c>
      <c r="AN349" s="3" t="s">
        <v>83</v>
      </c>
      <c r="AO349" s="3"/>
      <c r="AP349" s="4">
        <v>44267.7009722222</v>
      </c>
      <c r="AQ349" s="3"/>
      <c r="AR349" s="3" t="s">
        <v>407</v>
      </c>
      <c r="AS349" s="3"/>
      <c r="AT349" s="4">
        <v>44281.0337152778</v>
      </c>
    </row>
    <row r="350" ht="15.75" customHeight="1">
      <c r="A350" s="3"/>
      <c r="B350" s="3" t="s">
        <v>46</v>
      </c>
      <c r="C350" s="3" t="s">
        <v>47</v>
      </c>
      <c r="D350" s="3"/>
      <c r="E350" s="3" t="s">
        <v>6408</v>
      </c>
      <c r="F350" s="3"/>
      <c r="G350" s="3" t="s">
        <v>49</v>
      </c>
      <c r="H350" s="3" t="s">
        <v>50</v>
      </c>
      <c r="I350" s="3">
        <v>10360.0</v>
      </c>
      <c r="J350" s="3"/>
      <c r="K350" s="3" t="s">
        <v>92</v>
      </c>
      <c r="L350" s="3"/>
      <c r="M350" s="3" t="s">
        <v>6409</v>
      </c>
      <c r="N350" s="3" t="s">
        <v>74</v>
      </c>
      <c r="O350" s="3" t="s">
        <v>75</v>
      </c>
      <c r="P350" s="4">
        <v>44267.6899305556</v>
      </c>
      <c r="Q350" s="3" t="s">
        <v>56</v>
      </c>
      <c r="R350" s="3"/>
      <c r="S350" s="3" t="s">
        <v>57</v>
      </c>
      <c r="T350" s="3">
        <v>3205309.0</v>
      </c>
      <c r="U350" s="3" t="s">
        <v>2037</v>
      </c>
      <c r="V350" s="3" t="s">
        <v>59</v>
      </c>
      <c r="W350" s="3" t="s">
        <v>60</v>
      </c>
      <c r="X350" s="3"/>
      <c r="Y350" s="3"/>
      <c r="Z350" s="3" t="s">
        <v>79</v>
      </c>
      <c r="AA350" s="3" t="s">
        <v>6410</v>
      </c>
      <c r="AB350" s="3" t="str">
        <f t="shared" ref="AB350:AB351" si="29">"***913997**"</f>
        <v>***913997**</v>
      </c>
      <c r="AC350" s="3"/>
      <c r="AD350" s="3" t="s">
        <v>62</v>
      </c>
      <c r="AE350" s="3"/>
      <c r="AF350" s="3">
        <v>-40.292778</v>
      </c>
      <c r="AG350" s="3">
        <v>-20.310278</v>
      </c>
      <c r="AH350" s="3" t="s">
        <v>6401</v>
      </c>
      <c r="AI350" s="3"/>
      <c r="AJ350" s="3" t="s">
        <v>64</v>
      </c>
      <c r="AK350" s="3"/>
      <c r="AL350" s="3"/>
      <c r="AM350" s="3" t="s">
        <v>65</v>
      </c>
      <c r="AN350" s="3" t="s">
        <v>83</v>
      </c>
      <c r="AO350" s="3"/>
      <c r="AP350" s="4">
        <v>44267.6955092593</v>
      </c>
      <c r="AQ350" s="3"/>
      <c r="AR350" s="3" t="s">
        <v>407</v>
      </c>
      <c r="AS350" s="3"/>
      <c r="AT350" s="4">
        <v>44281.0337152778</v>
      </c>
    </row>
    <row r="351" ht="15.75" customHeight="1">
      <c r="A351" s="3"/>
      <c r="B351" s="3" t="s">
        <v>46</v>
      </c>
      <c r="C351" s="3" t="s">
        <v>47</v>
      </c>
      <c r="D351" s="3"/>
      <c r="E351" s="3" t="s">
        <v>6411</v>
      </c>
      <c r="F351" s="3"/>
      <c r="G351" s="3" t="s">
        <v>49</v>
      </c>
      <c r="H351" s="3" t="s">
        <v>50</v>
      </c>
      <c r="I351" s="3">
        <v>5370.0</v>
      </c>
      <c r="J351" s="3"/>
      <c r="K351" s="3" t="s">
        <v>92</v>
      </c>
      <c r="L351" s="3"/>
      <c r="M351" s="3" t="s">
        <v>6412</v>
      </c>
      <c r="N351" s="3" t="s">
        <v>74</v>
      </c>
      <c r="O351" s="3" t="s">
        <v>75</v>
      </c>
      <c r="P351" s="4">
        <v>44267.6774305556</v>
      </c>
      <c r="Q351" s="3" t="s">
        <v>56</v>
      </c>
      <c r="R351" s="3"/>
      <c r="S351" s="3" t="s">
        <v>57</v>
      </c>
      <c r="T351" s="3">
        <v>3205309.0</v>
      </c>
      <c r="U351" s="3" t="s">
        <v>2037</v>
      </c>
      <c r="V351" s="3" t="s">
        <v>59</v>
      </c>
      <c r="W351" s="3" t="s">
        <v>60</v>
      </c>
      <c r="X351" s="3"/>
      <c r="Y351" s="3"/>
      <c r="Z351" s="3" t="s">
        <v>79</v>
      </c>
      <c r="AA351" s="3" t="s">
        <v>6410</v>
      </c>
      <c r="AB351" s="3" t="str">
        <f t="shared" si="29"/>
        <v>***913997**</v>
      </c>
      <c r="AC351" s="3"/>
      <c r="AD351" s="3" t="s">
        <v>62</v>
      </c>
      <c r="AE351" s="3"/>
      <c r="AF351" s="3">
        <v>-40.292778</v>
      </c>
      <c r="AG351" s="3">
        <v>-20.310278</v>
      </c>
      <c r="AH351" s="3" t="s">
        <v>6401</v>
      </c>
      <c r="AI351" s="3"/>
      <c r="AJ351" s="3" t="s">
        <v>64</v>
      </c>
      <c r="AK351" s="3"/>
      <c r="AL351" s="3"/>
      <c r="AM351" s="3" t="s">
        <v>65</v>
      </c>
      <c r="AN351" s="3" t="s">
        <v>83</v>
      </c>
      <c r="AO351" s="3"/>
      <c r="AP351" s="4">
        <v>44267.6830787037</v>
      </c>
      <c r="AQ351" s="3"/>
      <c r="AR351" s="3" t="s">
        <v>1653</v>
      </c>
      <c r="AS351" s="3"/>
      <c r="AT351" s="4">
        <v>44281.0337152778</v>
      </c>
    </row>
    <row r="352" ht="15.75" customHeight="1">
      <c r="A352" s="3"/>
      <c r="B352" s="3" t="s">
        <v>46</v>
      </c>
      <c r="C352" s="3" t="s">
        <v>47</v>
      </c>
      <c r="D352" s="3"/>
      <c r="E352" s="3" t="s">
        <v>6413</v>
      </c>
      <c r="F352" s="3"/>
      <c r="G352" s="3" t="s">
        <v>49</v>
      </c>
      <c r="H352" s="3" t="s">
        <v>50</v>
      </c>
      <c r="I352" s="3">
        <v>27700.0</v>
      </c>
      <c r="J352" s="3"/>
      <c r="K352" s="3" t="s">
        <v>92</v>
      </c>
      <c r="L352" s="3"/>
      <c r="M352" s="3" t="s">
        <v>6414</v>
      </c>
      <c r="N352" s="3" t="s">
        <v>74</v>
      </c>
      <c r="O352" s="3" t="s">
        <v>75</v>
      </c>
      <c r="P352" s="4">
        <v>44267.6707986111</v>
      </c>
      <c r="Q352" s="3" t="s">
        <v>56</v>
      </c>
      <c r="R352" s="3"/>
      <c r="S352" s="3" t="s">
        <v>57</v>
      </c>
      <c r="T352" s="3">
        <v>3205309.0</v>
      </c>
      <c r="U352" s="3" t="s">
        <v>2037</v>
      </c>
      <c r="V352" s="3" t="s">
        <v>59</v>
      </c>
      <c r="W352" s="3" t="s">
        <v>60</v>
      </c>
      <c r="X352" s="3"/>
      <c r="Y352" s="3"/>
      <c r="Z352" s="3" t="s">
        <v>79</v>
      </c>
      <c r="AA352" s="3" t="s">
        <v>6415</v>
      </c>
      <c r="AB352" s="3" t="str">
        <f>"10590992000108"</f>
        <v>10590992000108</v>
      </c>
      <c r="AC352" s="3"/>
      <c r="AD352" s="3" t="s">
        <v>62</v>
      </c>
      <c r="AE352" s="3"/>
      <c r="AF352" s="3">
        <v>-40.292778</v>
      </c>
      <c r="AG352" s="3">
        <v>-20.310278</v>
      </c>
      <c r="AH352" s="3" t="s">
        <v>6401</v>
      </c>
      <c r="AI352" s="3"/>
      <c r="AJ352" s="3" t="s">
        <v>64</v>
      </c>
      <c r="AK352" s="3"/>
      <c r="AL352" s="3"/>
      <c r="AM352" s="3" t="s">
        <v>65</v>
      </c>
      <c r="AN352" s="3" t="s">
        <v>83</v>
      </c>
      <c r="AO352" s="3"/>
      <c r="AP352" s="4">
        <v>44267.6747685185</v>
      </c>
      <c r="AQ352" s="3"/>
      <c r="AR352" s="3" t="s">
        <v>407</v>
      </c>
      <c r="AS352" s="3"/>
      <c r="AT352" s="4">
        <v>44281.0337152778</v>
      </c>
    </row>
    <row r="353" ht="15.75" customHeight="1">
      <c r="A353" s="3">
        <v>2044692.0</v>
      </c>
      <c r="B353" s="3" t="s">
        <v>116</v>
      </c>
      <c r="C353" s="3" t="s">
        <v>117</v>
      </c>
      <c r="D353" s="3" t="s">
        <v>46</v>
      </c>
      <c r="E353" s="3" t="s">
        <v>6416</v>
      </c>
      <c r="F353" s="3"/>
      <c r="G353" s="3" t="s">
        <v>119</v>
      </c>
      <c r="H353" s="3" t="s">
        <v>50</v>
      </c>
      <c r="I353" s="3">
        <v>10000.0</v>
      </c>
      <c r="J353" s="3"/>
      <c r="K353" s="3"/>
      <c r="L353" s="3" t="s">
        <v>405</v>
      </c>
      <c r="M353" s="3" t="s">
        <v>6417</v>
      </c>
      <c r="N353" s="3" t="s">
        <v>186</v>
      </c>
      <c r="O353" s="3" t="s">
        <v>95</v>
      </c>
      <c r="P353" s="4">
        <v>44267.6666666667</v>
      </c>
      <c r="Q353" s="3" t="s">
        <v>56</v>
      </c>
      <c r="R353" s="3"/>
      <c r="S353" s="3" t="s">
        <v>400</v>
      </c>
      <c r="T353" s="3">
        <v>4306106.0</v>
      </c>
      <c r="U353" s="3" t="s">
        <v>6418</v>
      </c>
      <c r="V353" s="3" t="s">
        <v>402</v>
      </c>
      <c r="W353" s="3" t="s">
        <v>78</v>
      </c>
      <c r="X353" s="3"/>
      <c r="Y353" s="3" t="str">
        <f>"02023000634202162"</f>
        <v>02023000634202162</v>
      </c>
      <c r="Z353" s="3" t="s">
        <v>101</v>
      </c>
      <c r="AA353" s="3" t="s">
        <v>6419</v>
      </c>
      <c r="AB353" s="3" t="str">
        <f>"***743370**"</f>
        <v>***743370**</v>
      </c>
      <c r="AC353" s="3"/>
      <c r="AD353" s="3"/>
      <c r="AE353" s="3"/>
      <c r="AF353" s="3">
        <v>-53.338056</v>
      </c>
      <c r="AG353" s="3">
        <v>-28.679722</v>
      </c>
      <c r="AH353" s="3" t="s">
        <v>6420</v>
      </c>
      <c r="AI353" s="3"/>
      <c r="AJ353" s="3" t="s">
        <v>405</v>
      </c>
      <c r="AK353" s="3"/>
      <c r="AL353" s="3" t="s">
        <v>128</v>
      </c>
      <c r="AM353" s="3" t="s">
        <v>65</v>
      </c>
      <c r="AN353" s="3" t="s">
        <v>83</v>
      </c>
      <c r="AO353" s="4">
        <v>44280.0</v>
      </c>
      <c r="AP353" s="4">
        <v>44280.4500810185</v>
      </c>
      <c r="AQ353" s="3" t="s">
        <v>132</v>
      </c>
      <c r="AR353" s="3" t="s">
        <v>693</v>
      </c>
      <c r="AS353" s="3" t="s">
        <v>6421</v>
      </c>
      <c r="AT353" s="4">
        <v>44281.0337152778</v>
      </c>
    </row>
    <row r="354" ht="15.75" customHeight="1">
      <c r="A354" s="3"/>
      <c r="B354" s="3" t="s">
        <v>46</v>
      </c>
      <c r="C354" s="3" t="s">
        <v>47</v>
      </c>
      <c r="D354" s="3"/>
      <c r="E354" s="3" t="s">
        <v>6422</v>
      </c>
      <c r="F354" s="3"/>
      <c r="G354" s="3" t="s">
        <v>49</v>
      </c>
      <c r="H354" s="3" t="s">
        <v>50</v>
      </c>
      <c r="I354" s="3">
        <v>7220.0</v>
      </c>
      <c r="J354" s="3"/>
      <c r="K354" s="3" t="s">
        <v>92</v>
      </c>
      <c r="L354" s="3"/>
      <c r="M354" s="3" t="s">
        <v>6423</v>
      </c>
      <c r="N354" s="3" t="s">
        <v>74</v>
      </c>
      <c r="O354" s="3" t="s">
        <v>75</v>
      </c>
      <c r="P354" s="4">
        <v>44267.6648842593</v>
      </c>
      <c r="Q354" s="3" t="s">
        <v>56</v>
      </c>
      <c r="R354" s="3"/>
      <c r="S354" s="3" t="s">
        <v>550</v>
      </c>
      <c r="T354" s="3">
        <v>2927804.0</v>
      </c>
      <c r="U354" s="3" t="s">
        <v>6424</v>
      </c>
      <c r="V354" s="3" t="s">
        <v>552</v>
      </c>
      <c r="W354" s="3" t="s">
        <v>60</v>
      </c>
      <c r="X354" s="3"/>
      <c r="Y354" s="3"/>
      <c r="Z354" s="3" t="s">
        <v>79</v>
      </c>
      <c r="AA354" s="3" t="s">
        <v>6407</v>
      </c>
      <c r="AB354" s="3" t="str">
        <f>"09582668000169"</f>
        <v>09582668000169</v>
      </c>
      <c r="AC354" s="3"/>
      <c r="AD354" s="3" t="s">
        <v>62</v>
      </c>
      <c r="AE354" s="3"/>
      <c r="AF354" s="3">
        <v>-40.292778</v>
      </c>
      <c r="AG354" s="3">
        <v>-20.310278</v>
      </c>
      <c r="AH354" s="3" t="s">
        <v>6401</v>
      </c>
      <c r="AI354" s="3"/>
      <c r="AJ354" s="3" t="s">
        <v>64</v>
      </c>
      <c r="AK354" s="3"/>
      <c r="AL354" s="3"/>
      <c r="AM354" s="3" t="s">
        <v>65</v>
      </c>
      <c r="AN354" s="3" t="s">
        <v>83</v>
      </c>
      <c r="AO354" s="3"/>
      <c r="AP354" s="4">
        <v>44267.6687037037</v>
      </c>
      <c r="AQ354" s="3"/>
      <c r="AR354" s="3" t="s">
        <v>407</v>
      </c>
      <c r="AS354" s="3"/>
      <c r="AT354" s="4">
        <v>44281.0337152778</v>
      </c>
    </row>
    <row r="355" ht="15.75" customHeight="1">
      <c r="A355" s="3"/>
      <c r="B355" s="3" t="s">
        <v>46</v>
      </c>
      <c r="C355" s="3" t="s">
        <v>47</v>
      </c>
      <c r="D355" s="3"/>
      <c r="E355" s="3" t="s">
        <v>6425</v>
      </c>
      <c r="F355" s="3"/>
      <c r="G355" s="3" t="s">
        <v>49</v>
      </c>
      <c r="H355" s="3" t="s">
        <v>50</v>
      </c>
      <c r="I355" s="3">
        <v>8400.0</v>
      </c>
      <c r="J355" s="3"/>
      <c r="K355" s="3" t="s">
        <v>92</v>
      </c>
      <c r="L355" s="3"/>
      <c r="M355" s="3" t="s">
        <v>6426</v>
      </c>
      <c r="N355" s="3" t="s">
        <v>74</v>
      </c>
      <c r="O355" s="3" t="s">
        <v>75</v>
      </c>
      <c r="P355" s="4">
        <v>44267.6564930556</v>
      </c>
      <c r="Q355" s="3" t="s">
        <v>56</v>
      </c>
      <c r="R355" s="3"/>
      <c r="S355" s="3" t="s">
        <v>57</v>
      </c>
      <c r="T355" s="3">
        <v>3205309.0</v>
      </c>
      <c r="U355" s="3" t="s">
        <v>2037</v>
      </c>
      <c r="V355" s="3" t="s">
        <v>59</v>
      </c>
      <c r="W355" s="3" t="s">
        <v>60</v>
      </c>
      <c r="X355" s="3"/>
      <c r="Y355" s="3"/>
      <c r="Z355" s="3" t="s">
        <v>79</v>
      </c>
      <c r="AA355" s="3" t="s">
        <v>6415</v>
      </c>
      <c r="AB355" s="3" t="str">
        <f>"10590992000108"</f>
        <v>10590992000108</v>
      </c>
      <c r="AC355" s="3"/>
      <c r="AD355" s="3" t="s">
        <v>62</v>
      </c>
      <c r="AE355" s="3"/>
      <c r="AF355" s="3">
        <v>-40.292778</v>
      </c>
      <c r="AG355" s="3">
        <v>-20.310278</v>
      </c>
      <c r="AH355" s="3" t="s">
        <v>6401</v>
      </c>
      <c r="AI355" s="3"/>
      <c r="AJ355" s="3" t="s">
        <v>64</v>
      </c>
      <c r="AK355" s="3"/>
      <c r="AL355" s="3"/>
      <c r="AM355" s="3" t="s">
        <v>65</v>
      </c>
      <c r="AN355" s="3" t="s">
        <v>83</v>
      </c>
      <c r="AO355" s="3"/>
      <c r="AP355" s="4">
        <v>44267.6604050926</v>
      </c>
      <c r="AQ355" s="3"/>
      <c r="AR355" s="3" t="s">
        <v>1653</v>
      </c>
      <c r="AS355" s="3"/>
      <c r="AT355" s="4">
        <v>44281.0337152778</v>
      </c>
    </row>
    <row r="356" ht="15.75" customHeight="1">
      <c r="A356" s="3"/>
      <c r="B356" s="3" t="s">
        <v>46</v>
      </c>
      <c r="C356" s="3" t="s">
        <v>47</v>
      </c>
      <c r="D356" s="3"/>
      <c r="E356" s="3" t="s">
        <v>6427</v>
      </c>
      <c r="F356" s="3"/>
      <c r="G356" s="3" t="s">
        <v>49</v>
      </c>
      <c r="H356" s="3" t="s">
        <v>50</v>
      </c>
      <c r="I356" s="3">
        <v>2230.0</v>
      </c>
      <c r="J356" s="3"/>
      <c r="K356" s="3" t="s">
        <v>51</v>
      </c>
      <c r="L356" s="3"/>
      <c r="M356" s="3" t="s">
        <v>6428</v>
      </c>
      <c r="N356" s="3" t="s">
        <v>74</v>
      </c>
      <c r="O356" s="3" t="s">
        <v>75</v>
      </c>
      <c r="P356" s="4">
        <v>44267.6471064815</v>
      </c>
      <c r="Q356" s="3" t="s">
        <v>56</v>
      </c>
      <c r="R356" s="3"/>
      <c r="S356" s="3" t="s">
        <v>57</v>
      </c>
      <c r="T356" s="3">
        <v>3205309.0</v>
      </c>
      <c r="U356" s="3" t="s">
        <v>2037</v>
      </c>
      <c r="V356" s="3" t="s">
        <v>59</v>
      </c>
      <c r="W356" s="3" t="s">
        <v>60</v>
      </c>
      <c r="X356" s="3"/>
      <c r="Y356" s="3"/>
      <c r="Z356" s="3" t="s">
        <v>79</v>
      </c>
      <c r="AA356" s="3" t="s">
        <v>6407</v>
      </c>
      <c r="AB356" s="3" t="str">
        <f t="shared" ref="AB356:AB357" si="30">"09582668000169"</f>
        <v>09582668000169</v>
      </c>
      <c r="AC356" s="3"/>
      <c r="AD356" s="3" t="s">
        <v>62</v>
      </c>
      <c r="AE356" s="3"/>
      <c r="AF356" s="3">
        <v>-40.292778</v>
      </c>
      <c r="AG356" s="3">
        <v>-20.310278</v>
      </c>
      <c r="AH356" s="3" t="s">
        <v>6401</v>
      </c>
      <c r="AI356" s="3"/>
      <c r="AJ356" s="3" t="s">
        <v>64</v>
      </c>
      <c r="AK356" s="3"/>
      <c r="AL356" s="3"/>
      <c r="AM356" s="3" t="s">
        <v>65</v>
      </c>
      <c r="AN356" s="3" t="s">
        <v>83</v>
      </c>
      <c r="AO356" s="3"/>
      <c r="AP356" s="4">
        <v>44267.6520023148</v>
      </c>
      <c r="AQ356" s="3"/>
      <c r="AR356" s="3" t="s">
        <v>6429</v>
      </c>
      <c r="AS356" s="3"/>
      <c r="AT356" s="4">
        <v>44281.0337152778</v>
      </c>
    </row>
    <row r="357" ht="15.75" customHeight="1">
      <c r="A357" s="3"/>
      <c r="B357" s="3" t="s">
        <v>46</v>
      </c>
      <c r="C357" s="3" t="s">
        <v>47</v>
      </c>
      <c r="D357" s="3"/>
      <c r="E357" s="3" t="s">
        <v>6430</v>
      </c>
      <c r="F357" s="3"/>
      <c r="G357" s="3" t="s">
        <v>49</v>
      </c>
      <c r="H357" s="3" t="s">
        <v>50</v>
      </c>
      <c r="I357" s="3">
        <v>1500.0</v>
      </c>
      <c r="J357" s="3"/>
      <c r="K357" s="3" t="s">
        <v>51</v>
      </c>
      <c r="L357" s="3"/>
      <c r="M357" s="3" t="s">
        <v>6431</v>
      </c>
      <c r="N357" s="3" t="s">
        <v>74</v>
      </c>
      <c r="O357" s="3" t="s">
        <v>75</v>
      </c>
      <c r="P357" s="4">
        <v>44267.6401157407</v>
      </c>
      <c r="Q357" s="3" t="s">
        <v>56</v>
      </c>
      <c r="R357" s="3"/>
      <c r="S357" s="3" t="s">
        <v>57</v>
      </c>
      <c r="T357" s="3">
        <v>3205309.0</v>
      </c>
      <c r="U357" s="3" t="s">
        <v>2037</v>
      </c>
      <c r="V357" s="3" t="s">
        <v>59</v>
      </c>
      <c r="W357" s="3" t="s">
        <v>60</v>
      </c>
      <c r="X357" s="3"/>
      <c r="Y357" s="3"/>
      <c r="Z357" s="3" t="s">
        <v>79</v>
      </c>
      <c r="AA357" s="3" t="s">
        <v>6407</v>
      </c>
      <c r="AB357" s="3" t="str">
        <f t="shared" si="30"/>
        <v>09582668000169</v>
      </c>
      <c r="AC357" s="3"/>
      <c r="AD357" s="3" t="s">
        <v>81</v>
      </c>
      <c r="AE357" s="3"/>
      <c r="AF357" s="3">
        <v>-40.292778</v>
      </c>
      <c r="AG357" s="3">
        <v>-20.310278</v>
      </c>
      <c r="AH357" s="3" t="s">
        <v>6432</v>
      </c>
      <c r="AI357" s="3"/>
      <c r="AJ357" s="3" t="s">
        <v>64</v>
      </c>
      <c r="AK357" s="3"/>
      <c r="AL357" s="3"/>
      <c r="AM357" s="3" t="s">
        <v>65</v>
      </c>
      <c r="AN357" s="3" t="s">
        <v>83</v>
      </c>
      <c r="AO357" s="3"/>
      <c r="AP357" s="4">
        <v>44267.6450347222</v>
      </c>
      <c r="AQ357" s="3"/>
      <c r="AR357" s="3" t="s">
        <v>106</v>
      </c>
      <c r="AS357" s="3"/>
      <c r="AT357" s="4">
        <v>44281.0337152778</v>
      </c>
    </row>
    <row r="358" ht="15.75" customHeight="1">
      <c r="A358" s="3">
        <v>2044630.0</v>
      </c>
      <c r="B358" s="3" t="s">
        <v>116</v>
      </c>
      <c r="C358" s="3" t="s">
        <v>117</v>
      </c>
      <c r="D358" s="3" t="s">
        <v>46</v>
      </c>
      <c r="E358" s="3" t="s">
        <v>6433</v>
      </c>
      <c r="F358" s="3"/>
      <c r="G358" s="3" t="s">
        <v>119</v>
      </c>
      <c r="H358" s="3" t="s">
        <v>72</v>
      </c>
      <c r="I358" s="3">
        <v>41200.0</v>
      </c>
      <c r="J358" s="3"/>
      <c r="K358" s="3"/>
      <c r="L358" s="3" t="s">
        <v>1473</v>
      </c>
      <c r="M358" s="3" t="s">
        <v>6434</v>
      </c>
      <c r="N358" s="3" t="s">
        <v>109</v>
      </c>
      <c r="O358" s="3" t="s">
        <v>110</v>
      </c>
      <c r="P358" s="4">
        <v>44267.625</v>
      </c>
      <c r="Q358" s="3" t="s">
        <v>56</v>
      </c>
      <c r="R358" s="5">
        <v>44273.0</v>
      </c>
      <c r="S358" s="3" t="s">
        <v>1468</v>
      </c>
      <c r="T358" s="3">
        <v>5003207.0</v>
      </c>
      <c r="U358" s="3" t="s">
        <v>2929</v>
      </c>
      <c r="V358" s="3" t="s">
        <v>1470</v>
      </c>
      <c r="W358" s="3" t="s">
        <v>1658</v>
      </c>
      <c r="X358" s="3"/>
      <c r="Y358" s="3"/>
      <c r="Z358" s="3" t="s">
        <v>112</v>
      </c>
      <c r="AA358" s="3" t="s">
        <v>6435</v>
      </c>
      <c r="AB358" s="3" t="str">
        <f>"***427911**"</f>
        <v>***427911**</v>
      </c>
      <c r="AC358" s="3"/>
      <c r="AD358" s="3"/>
      <c r="AE358" s="3"/>
      <c r="AF358" s="3">
        <v>-57.12</v>
      </c>
      <c r="AG358" s="3">
        <v>-19.097778</v>
      </c>
      <c r="AH358" s="3" t="s">
        <v>6436</v>
      </c>
      <c r="AI358" s="3"/>
      <c r="AJ358" s="3" t="s">
        <v>1473</v>
      </c>
      <c r="AK358" s="3"/>
      <c r="AL358" s="3" t="s">
        <v>128</v>
      </c>
      <c r="AM358" s="3" t="s">
        <v>65</v>
      </c>
      <c r="AN358" s="3"/>
      <c r="AO358" s="4">
        <v>44278.0</v>
      </c>
      <c r="AP358" s="4">
        <v>44278.7222453704</v>
      </c>
      <c r="AQ358" s="3" t="s">
        <v>132</v>
      </c>
      <c r="AR358" s="3" t="s">
        <v>3557</v>
      </c>
      <c r="AS358" s="3"/>
      <c r="AT358" s="4">
        <v>44281.0337152778</v>
      </c>
    </row>
    <row r="359" ht="15.75" customHeight="1">
      <c r="A359" s="3">
        <v>2044691.0</v>
      </c>
      <c r="B359" s="3" t="s">
        <v>116</v>
      </c>
      <c r="C359" s="3" t="s">
        <v>117</v>
      </c>
      <c r="D359" s="3" t="s">
        <v>46</v>
      </c>
      <c r="E359" s="3" t="s">
        <v>6437</v>
      </c>
      <c r="F359" s="3"/>
      <c r="G359" s="3" t="s">
        <v>119</v>
      </c>
      <c r="H359" s="3" t="s">
        <v>50</v>
      </c>
      <c r="I359" s="3">
        <v>10000.0</v>
      </c>
      <c r="J359" s="3"/>
      <c r="K359" s="3"/>
      <c r="L359" s="3" t="s">
        <v>405</v>
      </c>
      <c r="M359" s="3" t="s">
        <v>6438</v>
      </c>
      <c r="N359" s="3" t="s">
        <v>186</v>
      </c>
      <c r="O359" s="3" t="s">
        <v>95</v>
      </c>
      <c r="P359" s="4">
        <v>44267.625</v>
      </c>
      <c r="Q359" s="3" t="s">
        <v>56</v>
      </c>
      <c r="R359" s="3"/>
      <c r="S359" s="3" t="s">
        <v>400</v>
      </c>
      <c r="T359" s="3">
        <v>4306106.0</v>
      </c>
      <c r="U359" s="3" t="s">
        <v>6418</v>
      </c>
      <c r="V359" s="3" t="s">
        <v>402</v>
      </c>
      <c r="W359" s="3" t="s">
        <v>78</v>
      </c>
      <c r="X359" s="3"/>
      <c r="Y359" s="3" t="str">
        <f>"02023000633202118"</f>
        <v>02023000633202118</v>
      </c>
      <c r="Z359" s="3" t="s">
        <v>101</v>
      </c>
      <c r="AA359" s="3" t="s">
        <v>6419</v>
      </c>
      <c r="AB359" s="3" t="str">
        <f>"***743370**"</f>
        <v>***743370**</v>
      </c>
      <c r="AC359" s="3"/>
      <c r="AD359" s="3"/>
      <c r="AE359" s="3"/>
      <c r="AF359" s="3">
        <v>-53.338056</v>
      </c>
      <c r="AG359" s="3">
        <v>-28.679722</v>
      </c>
      <c r="AH359" s="3" t="s">
        <v>6420</v>
      </c>
      <c r="AI359" s="3"/>
      <c r="AJ359" s="3" t="s">
        <v>405</v>
      </c>
      <c r="AK359" s="3"/>
      <c r="AL359" s="3" t="s">
        <v>128</v>
      </c>
      <c r="AM359" s="3" t="s">
        <v>65</v>
      </c>
      <c r="AN359" s="3" t="s">
        <v>83</v>
      </c>
      <c r="AO359" s="4">
        <v>44280.0</v>
      </c>
      <c r="AP359" s="4">
        <v>44280.4490625</v>
      </c>
      <c r="AQ359" s="3" t="s">
        <v>132</v>
      </c>
      <c r="AR359" s="3" t="s">
        <v>693</v>
      </c>
      <c r="AS359" s="3" t="s">
        <v>6439</v>
      </c>
      <c r="AT359" s="4">
        <v>44281.0337152778</v>
      </c>
    </row>
    <row r="360" ht="15.75" customHeight="1">
      <c r="A360" s="3">
        <v>2044705.0</v>
      </c>
      <c r="B360" s="3" t="s">
        <v>116</v>
      </c>
      <c r="C360" s="3" t="s">
        <v>117</v>
      </c>
      <c r="D360" s="3" t="s">
        <v>46</v>
      </c>
      <c r="E360" s="3" t="s">
        <v>6440</v>
      </c>
      <c r="F360" s="3"/>
      <c r="G360" s="3" t="s">
        <v>119</v>
      </c>
      <c r="H360" s="3" t="s">
        <v>72</v>
      </c>
      <c r="I360" s="3">
        <v>7485.3</v>
      </c>
      <c r="J360" s="3"/>
      <c r="K360" s="3"/>
      <c r="L360" s="3" t="s">
        <v>2062</v>
      </c>
      <c r="M360" s="3" t="s">
        <v>6441</v>
      </c>
      <c r="N360" s="3" t="s">
        <v>109</v>
      </c>
      <c r="O360" s="3" t="s">
        <v>110</v>
      </c>
      <c r="P360" s="4">
        <v>44267.625</v>
      </c>
      <c r="Q360" s="3" t="s">
        <v>77</v>
      </c>
      <c r="R360" s="5">
        <v>44267.0</v>
      </c>
      <c r="S360" s="3" t="s">
        <v>148</v>
      </c>
      <c r="T360" s="3">
        <v>1100205.0</v>
      </c>
      <c r="U360" s="3" t="s">
        <v>242</v>
      </c>
      <c r="V360" s="3" t="s">
        <v>125</v>
      </c>
      <c r="W360" s="3" t="s">
        <v>100</v>
      </c>
      <c r="X360" s="3"/>
      <c r="Y360" s="3" t="str">
        <f>"02024000911202127"</f>
        <v>02024000911202127</v>
      </c>
      <c r="Z360" s="3" t="s">
        <v>112</v>
      </c>
      <c r="AA360" s="3" t="s">
        <v>6442</v>
      </c>
      <c r="AB360" s="3" t="str">
        <f>"09305676000168"</f>
        <v>09305676000168</v>
      </c>
      <c r="AC360" s="3"/>
      <c r="AD360" s="3"/>
      <c r="AE360" s="3"/>
      <c r="AF360" s="3">
        <v>-63.890556</v>
      </c>
      <c r="AG360" s="3">
        <v>-8.737778</v>
      </c>
      <c r="AH360" s="3" t="s">
        <v>6443</v>
      </c>
      <c r="AI360" s="3"/>
      <c r="AJ360" s="3" t="s">
        <v>2062</v>
      </c>
      <c r="AK360" s="3"/>
      <c r="AL360" s="3" t="s">
        <v>128</v>
      </c>
      <c r="AM360" s="3" t="s">
        <v>65</v>
      </c>
      <c r="AN360" s="3"/>
      <c r="AO360" s="4">
        <v>44280.0</v>
      </c>
      <c r="AP360" s="4">
        <v>44280.5508217593</v>
      </c>
      <c r="AQ360" s="3" t="s">
        <v>132</v>
      </c>
      <c r="AR360" s="3" t="s">
        <v>133</v>
      </c>
      <c r="AS360" s="3"/>
      <c r="AT360" s="4">
        <v>44281.0337152778</v>
      </c>
    </row>
    <row r="361" ht="15.75" customHeight="1">
      <c r="A361" s="3">
        <v>2044706.0</v>
      </c>
      <c r="B361" s="3" t="s">
        <v>116</v>
      </c>
      <c r="C361" s="3" t="s">
        <v>117</v>
      </c>
      <c r="D361" s="3" t="s">
        <v>46</v>
      </c>
      <c r="E361" s="3" t="s">
        <v>6444</v>
      </c>
      <c r="F361" s="3"/>
      <c r="G361" s="3" t="s">
        <v>119</v>
      </c>
      <c r="H361" s="3" t="s">
        <v>72</v>
      </c>
      <c r="I361" s="3">
        <v>9014.43</v>
      </c>
      <c r="J361" s="3"/>
      <c r="K361" s="3"/>
      <c r="L361" s="3" t="s">
        <v>2062</v>
      </c>
      <c r="M361" s="3" t="s">
        <v>6445</v>
      </c>
      <c r="N361" s="3" t="s">
        <v>109</v>
      </c>
      <c r="O361" s="3" t="s">
        <v>110</v>
      </c>
      <c r="P361" s="4">
        <v>44267.625</v>
      </c>
      <c r="Q361" s="3" t="s">
        <v>77</v>
      </c>
      <c r="R361" s="5">
        <v>44267.0</v>
      </c>
      <c r="S361" s="3" t="s">
        <v>123</v>
      </c>
      <c r="T361" s="3">
        <v>1100205.0</v>
      </c>
      <c r="U361" s="3" t="s">
        <v>242</v>
      </c>
      <c r="V361" s="3" t="s">
        <v>125</v>
      </c>
      <c r="W361" s="3" t="s">
        <v>100</v>
      </c>
      <c r="X361" s="3"/>
      <c r="Y361" s="3" t="str">
        <f>"02024000912202171"</f>
        <v>02024000912202171</v>
      </c>
      <c r="Z361" s="3" t="s">
        <v>112</v>
      </c>
      <c r="AA361" s="3" t="s">
        <v>6446</v>
      </c>
      <c r="AB361" s="3" t="str">
        <f>"07665333000189"</f>
        <v>07665333000189</v>
      </c>
      <c r="AC361" s="3"/>
      <c r="AD361" s="3"/>
      <c r="AE361" s="3"/>
      <c r="AF361" s="3">
        <v>-63.890556</v>
      </c>
      <c r="AG361" s="3">
        <v>-8.739722</v>
      </c>
      <c r="AH361" s="3" t="s">
        <v>6443</v>
      </c>
      <c r="AI361" s="3"/>
      <c r="AJ361" s="3" t="s">
        <v>2062</v>
      </c>
      <c r="AK361" s="3"/>
      <c r="AL361" s="3" t="s">
        <v>128</v>
      </c>
      <c r="AM361" s="3" t="s">
        <v>65</v>
      </c>
      <c r="AN361" s="3"/>
      <c r="AO361" s="4">
        <v>44280.0</v>
      </c>
      <c r="AP361" s="4">
        <v>44280.5541203704</v>
      </c>
      <c r="AQ361" s="3" t="s">
        <v>132</v>
      </c>
      <c r="AR361" s="3" t="s">
        <v>133</v>
      </c>
      <c r="AS361" s="3"/>
      <c r="AT361" s="4">
        <v>44281.0337152778</v>
      </c>
    </row>
    <row r="362" ht="15.75" customHeight="1">
      <c r="A362" s="3"/>
      <c r="B362" s="3" t="s">
        <v>46</v>
      </c>
      <c r="C362" s="3" t="s">
        <v>47</v>
      </c>
      <c r="D362" s="3"/>
      <c r="E362" s="3" t="s">
        <v>6447</v>
      </c>
      <c r="F362" s="3"/>
      <c r="G362" s="3" t="s">
        <v>49</v>
      </c>
      <c r="H362" s="3" t="s">
        <v>72</v>
      </c>
      <c r="I362" s="3">
        <v>12000.0</v>
      </c>
      <c r="J362" s="3"/>
      <c r="K362" s="3"/>
      <c r="L362" s="3"/>
      <c r="M362" s="3" t="s">
        <v>6448</v>
      </c>
      <c r="N362" s="3" t="s">
        <v>109</v>
      </c>
      <c r="O362" s="3" t="s">
        <v>110</v>
      </c>
      <c r="P362" s="4">
        <v>44267.6073611111</v>
      </c>
      <c r="Q362" s="3" t="s">
        <v>56</v>
      </c>
      <c r="R362" s="5">
        <v>44267.0</v>
      </c>
      <c r="S362" s="3" t="s">
        <v>1694</v>
      </c>
      <c r="T362" s="3">
        <v>1600204.0</v>
      </c>
      <c r="U362" s="3" t="s">
        <v>5678</v>
      </c>
      <c r="V362" s="3" t="s">
        <v>1138</v>
      </c>
      <c r="W362" s="3" t="s">
        <v>100</v>
      </c>
      <c r="X362" s="3"/>
      <c r="Y362" s="3"/>
      <c r="Z362" s="3" t="s">
        <v>112</v>
      </c>
      <c r="AA362" s="3" t="s">
        <v>6449</v>
      </c>
      <c r="AB362" s="3" t="str">
        <f>"***622612**"</f>
        <v>***622612**</v>
      </c>
      <c r="AC362" s="3"/>
      <c r="AD362" s="3" t="s">
        <v>325</v>
      </c>
      <c r="AE362" s="3"/>
      <c r="AF362" s="3">
        <v>-51.344028</v>
      </c>
      <c r="AG362" s="3">
        <v>2.738361</v>
      </c>
      <c r="AH362" s="3" t="s">
        <v>6450</v>
      </c>
      <c r="AI362" s="3"/>
      <c r="AJ362" s="3" t="s">
        <v>1141</v>
      </c>
      <c r="AK362" s="3"/>
      <c r="AL362" s="3"/>
      <c r="AM362" s="3" t="s">
        <v>65</v>
      </c>
      <c r="AN362" s="3"/>
      <c r="AO362" s="3"/>
      <c r="AP362" s="4">
        <v>44270.4269560185</v>
      </c>
      <c r="AQ362" s="3"/>
      <c r="AR362" s="3" t="s">
        <v>6451</v>
      </c>
      <c r="AS362" s="3"/>
      <c r="AT362" s="4">
        <v>44281.0337152778</v>
      </c>
    </row>
    <row r="363" ht="15.75" customHeight="1">
      <c r="A363" s="3"/>
      <c r="B363" s="3" t="s">
        <v>46</v>
      </c>
      <c r="C363" s="3" t="s">
        <v>47</v>
      </c>
      <c r="D363" s="3"/>
      <c r="E363" s="3" t="s">
        <v>6452</v>
      </c>
      <c r="F363" s="3"/>
      <c r="G363" s="3" t="s">
        <v>49</v>
      </c>
      <c r="H363" s="3" t="s">
        <v>50</v>
      </c>
      <c r="I363" s="3">
        <v>1000.0</v>
      </c>
      <c r="J363" s="3"/>
      <c r="K363" s="3" t="s">
        <v>51</v>
      </c>
      <c r="L363" s="3"/>
      <c r="M363" s="3" t="s">
        <v>6453</v>
      </c>
      <c r="N363" s="3" t="s">
        <v>285</v>
      </c>
      <c r="O363" s="3" t="s">
        <v>286</v>
      </c>
      <c r="P363" s="4">
        <v>44267.5408796296</v>
      </c>
      <c r="Q363" s="3" t="s">
        <v>56</v>
      </c>
      <c r="R363" s="3"/>
      <c r="S363" s="3" t="s">
        <v>169</v>
      </c>
      <c r="T363" s="3">
        <v>5203939.0</v>
      </c>
      <c r="U363" s="3" t="s">
        <v>6454</v>
      </c>
      <c r="V363" s="3" t="s">
        <v>171</v>
      </c>
      <c r="W363" s="3" t="s">
        <v>172</v>
      </c>
      <c r="X363" s="3"/>
      <c r="Y363" s="3"/>
      <c r="Z363" s="3" t="s">
        <v>292</v>
      </c>
      <c r="AA363" s="3" t="s">
        <v>6455</v>
      </c>
      <c r="AB363" s="3" t="str">
        <f>"02161500000130"</f>
        <v>02161500000130</v>
      </c>
      <c r="AC363" s="3"/>
      <c r="AD363" s="3" t="s">
        <v>81</v>
      </c>
      <c r="AE363" s="3"/>
      <c r="AF363" s="3">
        <v>-49.246389</v>
      </c>
      <c r="AG363" s="3">
        <v>-16.672778</v>
      </c>
      <c r="AH363" s="3" t="s">
        <v>6456</v>
      </c>
      <c r="AI363" s="3"/>
      <c r="AJ363" s="3" t="s">
        <v>175</v>
      </c>
      <c r="AK363" s="3"/>
      <c r="AL363" s="3"/>
      <c r="AM363" s="3" t="s">
        <v>65</v>
      </c>
      <c r="AN363" s="3" t="s">
        <v>296</v>
      </c>
      <c r="AO363" s="3"/>
      <c r="AP363" s="4">
        <v>44267.5815856481</v>
      </c>
      <c r="AQ363" s="3"/>
      <c r="AR363" s="3" t="s">
        <v>298</v>
      </c>
      <c r="AS363" s="3"/>
      <c r="AT363" s="4">
        <v>44281.0337152778</v>
      </c>
    </row>
    <row r="364" ht="15.75" customHeight="1">
      <c r="A364" s="3"/>
      <c r="B364" s="3" t="s">
        <v>46</v>
      </c>
      <c r="C364" s="3" t="s">
        <v>47</v>
      </c>
      <c r="D364" s="3"/>
      <c r="E364" s="3" t="s">
        <v>6457</v>
      </c>
      <c r="F364" s="3"/>
      <c r="G364" s="3" t="s">
        <v>49</v>
      </c>
      <c r="H364" s="3" t="s">
        <v>50</v>
      </c>
      <c r="I364" s="3">
        <v>1000.0</v>
      </c>
      <c r="J364" s="3"/>
      <c r="K364" s="3" t="s">
        <v>51</v>
      </c>
      <c r="L364" s="3"/>
      <c r="M364" s="3" t="s">
        <v>6458</v>
      </c>
      <c r="N364" s="3" t="s">
        <v>285</v>
      </c>
      <c r="O364" s="3" t="s">
        <v>286</v>
      </c>
      <c r="P364" s="4">
        <v>44267.5183217593</v>
      </c>
      <c r="Q364" s="3" t="s">
        <v>56</v>
      </c>
      <c r="R364" s="5">
        <v>44267.0</v>
      </c>
      <c r="S364" s="3" t="s">
        <v>288</v>
      </c>
      <c r="T364" s="3">
        <v>2211001.0</v>
      </c>
      <c r="U364" s="3" t="s">
        <v>527</v>
      </c>
      <c r="V364" s="3" t="s">
        <v>290</v>
      </c>
      <c r="W364" s="3" t="s">
        <v>291</v>
      </c>
      <c r="X364" s="3"/>
      <c r="Y364" s="3"/>
      <c r="Z364" s="3" t="s">
        <v>292</v>
      </c>
      <c r="AA364" s="3" t="s">
        <v>6459</v>
      </c>
      <c r="AB364" s="3" t="str">
        <f>"69599975000184"</f>
        <v>69599975000184</v>
      </c>
      <c r="AC364" s="3"/>
      <c r="AD364" s="3" t="s">
        <v>62</v>
      </c>
      <c r="AE364" s="3"/>
      <c r="AF364" s="3">
        <v>-42.783889</v>
      </c>
      <c r="AG364" s="3">
        <v>-5.065278</v>
      </c>
      <c r="AH364" s="3" t="s">
        <v>6460</v>
      </c>
      <c r="AI364" s="3"/>
      <c r="AJ364" s="3" t="s">
        <v>295</v>
      </c>
      <c r="AK364" s="3"/>
      <c r="AL364" s="3"/>
      <c r="AM364" s="3" t="s">
        <v>65</v>
      </c>
      <c r="AN364" s="3" t="s">
        <v>296</v>
      </c>
      <c r="AO364" s="3"/>
      <c r="AP364" s="4">
        <v>44267.5357175926</v>
      </c>
      <c r="AQ364" s="3"/>
      <c r="AR364" s="3" t="s">
        <v>298</v>
      </c>
      <c r="AS364" s="3"/>
      <c r="AT364" s="4">
        <v>44281.0337152778</v>
      </c>
    </row>
    <row r="365" ht="15.75" customHeight="1">
      <c r="A365" s="3">
        <v>2044707.0</v>
      </c>
      <c r="B365" s="3" t="s">
        <v>116</v>
      </c>
      <c r="C365" s="3" t="s">
        <v>117</v>
      </c>
      <c r="D365" s="3" t="s">
        <v>46</v>
      </c>
      <c r="E365" s="3" t="s">
        <v>6461</v>
      </c>
      <c r="F365" s="3"/>
      <c r="G365" s="3" t="s">
        <v>119</v>
      </c>
      <c r="H365" s="3" t="s">
        <v>72</v>
      </c>
      <c r="I365" s="3">
        <v>3300.36</v>
      </c>
      <c r="J365" s="3"/>
      <c r="K365" s="3"/>
      <c r="L365" s="3" t="s">
        <v>2062</v>
      </c>
      <c r="M365" s="3" t="s">
        <v>6462</v>
      </c>
      <c r="N365" s="3" t="s">
        <v>109</v>
      </c>
      <c r="O365" s="3" t="s">
        <v>110</v>
      </c>
      <c r="P365" s="4">
        <v>44267.5</v>
      </c>
      <c r="Q365" s="3" t="s">
        <v>77</v>
      </c>
      <c r="R365" s="5">
        <v>44267.0</v>
      </c>
      <c r="S365" s="3" t="s">
        <v>148</v>
      </c>
      <c r="T365" s="3">
        <v>1100205.0</v>
      </c>
      <c r="U365" s="3" t="s">
        <v>242</v>
      </c>
      <c r="V365" s="3" t="s">
        <v>125</v>
      </c>
      <c r="W365" s="3" t="s">
        <v>100</v>
      </c>
      <c r="X365" s="3"/>
      <c r="Y365" s="3" t="str">
        <f>"02024000913202116"</f>
        <v>02024000913202116</v>
      </c>
      <c r="Z365" s="3" t="s">
        <v>112</v>
      </c>
      <c r="AA365" s="3" t="s">
        <v>6463</v>
      </c>
      <c r="AB365" s="3" t="str">
        <f>"14108253000198"</f>
        <v>14108253000198</v>
      </c>
      <c r="AC365" s="3"/>
      <c r="AD365" s="3"/>
      <c r="AE365" s="3"/>
      <c r="AF365" s="3">
        <v>-63.890556</v>
      </c>
      <c r="AG365" s="3">
        <v>-8.737778</v>
      </c>
      <c r="AH365" s="3" t="s">
        <v>6443</v>
      </c>
      <c r="AI365" s="3"/>
      <c r="AJ365" s="3" t="s">
        <v>2062</v>
      </c>
      <c r="AK365" s="3"/>
      <c r="AL365" s="3" t="s">
        <v>128</v>
      </c>
      <c r="AM365" s="3" t="s">
        <v>65</v>
      </c>
      <c r="AN365" s="3"/>
      <c r="AO365" s="4">
        <v>44280.0</v>
      </c>
      <c r="AP365" s="4">
        <v>44280.5578356482</v>
      </c>
      <c r="AQ365" s="3" t="s">
        <v>132</v>
      </c>
      <c r="AR365" s="3" t="s">
        <v>133</v>
      </c>
      <c r="AS365" s="3"/>
      <c r="AT365" s="4">
        <v>44281.0337152778</v>
      </c>
    </row>
    <row r="366" ht="15.75" customHeight="1">
      <c r="A366" s="3">
        <v>2044708.0</v>
      </c>
      <c r="B366" s="3" t="s">
        <v>116</v>
      </c>
      <c r="C366" s="3" t="s">
        <v>117</v>
      </c>
      <c r="D366" s="3" t="s">
        <v>46</v>
      </c>
      <c r="E366" s="3" t="s">
        <v>6464</v>
      </c>
      <c r="F366" s="3"/>
      <c r="G366" s="3" t="s">
        <v>119</v>
      </c>
      <c r="H366" s="3" t="s">
        <v>72</v>
      </c>
      <c r="I366" s="3">
        <v>3002.49</v>
      </c>
      <c r="J366" s="3"/>
      <c r="K366" s="3"/>
      <c r="L366" s="3" t="s">
        <v>2062</v>
      </c>
      <c r="M366" s="3" t="s">
        <v>6465</v>
      </c>
      <c r="N366" s="3" t="s">
        <v>109</v>
      </c>
      <c r="O366" s="3" t="s">
        <v>110</v>
      </c>
      <c r="P366" s="4">
        <v>44267.5</v>
      </c>
      <c r="Q366" s="3" t="s">
        <v>77</v>
      </c>
      <c r="R366" s="5">
        <v>44267.0</v>
      </c>
      <c r="S366" s="3" t="s">
        <v>123</v>
      </c>
      <c r="T366" s="3">
        <v>1100205.0</v>
      </c>
      <c r="U366" s="3" t="s">
        <v>242</v>
      </c>
      <c r="V366" s="3" t="s">
        <v>125</v>
      </c>
      <c r="W366" s="3" t="s">
        <v>100</v>
      </c>
      <c r="X366" s="3"/>
      <c r="Y366" s="3" t="str">
        <f>"02024000914202161"</f>
        <v>02024000914202161</v>
      </c>
      <c r="Z366" s="3" t="s">
        <v>112</v>
      </c>
      <c r="AA366" s="3" t="s">
        <v>6446</v>
      </c>
      <c r="AB366" s="3" t="str">
        <f>"07665333000189"</f>
        <v>07665333000189</v>
      </c>
      <c r="AC366" s="3"/>
      <c r="AD366" s="3"/>
      <c r="AE366" s="3"/>
      <c r="AF366" s="3">
        <v>-63.890556</v>
      </c>
      <c r="AG366" s="3">
        <v>-8.737778</v>
      </c>
      <c r="AH366" s="3" t="s">
        <v>6443</v>
      </c>
      <c r="AI366" s="3"/>
      <c r="AJ366" s="3" t="s">
        <v>2062</v>
      </c>
      <c r="AK366" s="3"/>
      <c r="AL366" s="3" t="s">
        <v>128</v>
      </c>
      <c r="AM366" s="3" t="s">
        <v>65</v>
      </c>
      <c r="AN366" s="3"/>
      <c r="AO366" s="4">
        <v>44280.0</v>
      </c>
      <c r="AP366" s="4">
        <v>44280.5608333333</v>
      </c>
      <c r="AQ366" s="3" t="s">
        <v>132</v>
      </c>
      <c r="AR366" s="3" t="s">
        <v>133</v>
      </c>
      <c r="AS366" s="3"/>
      <c r="AT366" s="4">
        <v>44281.0337152778</v>
      </c>
    </row>
    <row r="367" ht="15.75" customHeight="1">
      <c r="A367" s="3"/>
      <c r="B367" s="3" t="s">
        <v>46</v>
      </c>
      <c r="C367" s="3" t="s">
        <v>47</v>
      </c>
      <c r="D367" s="3"/>
      <c r="E367" s="3" t="s">
        <v>6466</v>
      </c>
      <c r="F367" s="3"/>
      <c r="G367" s="3" t="s">
        <v>49</v>
      </c>
      <c r="H367" s="3" t="s">
        <v>50</v>
      </c>
      <c r="I367" s="3">
        <v>1000.0</v>
      </c>
      <c r="J367" s="3"/>
      <c r="K367" s="3" t="s">
        <v>51</v>
      </c>
      <c r="L367" s="3"/>
      <c r="M367" s="3" t="s">
        <v>6467</v>
      </c>
      <c r="N367" s="3" t="s">
        <v>285</v>
      </c>
      <c r="O367" s="3" t="s">
        <v>286</v>
      </c>
      <c r="P367" s="4">
        <v>44267.4879050926</v>
      </c>
      <c r="Q367" s="3" t="s">
        <v>56</v>
      </c>
      <c r="R367" s="5">
        <v>44267.0</v>
      </c>
      <c r="S367" s="3" t="s">
        <v>288</v>
      </c>
      <c r="T367" s="3">
        <v>2203602.0</v>
      </c>
      <c r="U367" s="3" t="s">
        <v>6468</v>
      </c>
      <c r="V367" s="3" t="s">
        <v>290</v>
      </c>
      <c r="W367" s="3" t="s">
        <v>291</v>
      </c>
      <c r="X367" s="3"/>
      <c r="Y367" s="3"/>
      <c r="Z367" s="3" t="s">
        <v>292</v>
      </c>
      <c r="AA367" s="3" t="s">
        <v>6469</v>
      </c>
      <c r="AB367" s="3" t="str">
        <f>"07803841000175"</f>
        <v>07803841000175</v>
      </c>
      <c r="AC367" s="3"/>
      <c r="AD367" s="3" t="s">
        <v>62</v>
      </c>
      <c r="AE367" s="3"/>
      <c r="AF367" s="3">
        <v>-42.783889</v>
      </c>
      <c r="AG367" s="3">
        <v>-5.065278</v>
      </c>
      <c r="AH367" s="3" t="s">
        <v>6470</v>
      </c>
      <c r="AI367" s="3"/>
      <c r="AJ367" s="3" t="s">
        <v>295</v>
      </c>
      <c r="AK367" s="3"/>
      <c r="AL367" s="3"/>
      <c r="AM367" s="3" t="s">
        <v>65</v>
      </c>
      <c r="AN367" s="3" t="s">
        <v>296</v>
      </c>
      <c r="AO367" s="3"/>
      <c r="AP367" s="4">
        <v>44267.5070138889</v>
      </c>
      <c r="AQ367" s="3"/>
      <c r="AR367" s="3" t="s">
        <v>298</v>
      </c>
      <c r="AS367" s="3"/>
      <c r="AT367" s="4">
        <v>44281.0337152778</v>
      </c>
    </row>
    <row r="368" ht="15.75" customHeight="1">
      <c r="A368" s="3">
        <v>2044300.0</v>
      </c>
      <c r="B368" s="3" t="s">
        <v>116</v>
      </c>
      <c r="C368" s="3" t="s">
        <v>117</v>
      </c>
      <c r="D368" s="3" t="s">
        <v>46</v>
      </c>
      <c r="E368" s="3" t="s">
        <v>6471</v>
      </c>
      <c r="F368" s="3"/>
      <c r="G368" s="3" t="s">
        <v>119</v>
      </c>
      <c r="H368" s="3" t="s">
        <v>50</v>
      </c>
      <c r="I368" s="3">
        <v>2500.0</v>
      </c>
      <c r="J368" s="3"/>
      <c r="K368" s="3"/>
      <c r="L368" s="3" t="s">
        <v>226</v>
      </c>
      <c r="M368" s="3" t="s">
        <v>6472</v>
      </c>
      <c r="N368" s="3" t="s">
        <v>186</v>
      </c>
      <c r="O368" s="3" t="s">
        <v>95</v>
      </c>
      <c r="P368" s="4">
        <v>44267.4583333333</v>
      </c>
      <c r="Q368" s="3" t="s">
        <v>56</v>
      </c>
      <c r="R368" s="5">
        <v>44267.0</v>
      </c>
      <c r="S368" s="3" t="s">
        <v>784</v>
      </c>
      <c r="T368" s="3">
        <v>4201307.0</v>
      </c>
      <c r="U368" s="3" t="s">
        <v>1416</v>
      </c>
      <c r="V368" s="3" t="s">
        <v>222</v>
      </c>
      <c r="W368" s="3" t="s">
        <v>78</v>
      </c>
      <c r="X368" s="3"/>
      <c r="Y368" s="3" t="str">
        <f>"02026000714202198"</f>
        <v>02026000714202198</v>
      </c>
      <c r="Z368" s="3" t="s">
        <v>101</v>
      </c>
      <c r="AA368" s="3" t="s">
        <v>1417</v>
      </c>
      <c r="AB368" s="3" t="str">
        <f t="shared" ref="AB368:AB369" si="31">"02900946000130"</f>
        <v>02900946000130</v>
      </c>
      <c r="AC368" s="3"/>
      <c r="AD368" s="3"/>
      <c r="AE368" s="3"/>
      <c r="AF368" s="3">
        <v>-48.790278</v>
      </c>
      <c r="AG368" s="3">
        <v>-28.451389</v>
      </c>
      <c r="AH368" s="3" t="s">
        <v>6473</v>
      </c>
      <c r="AI368" s="3"/>
      <c r="AJ368" s="3" t="s">
        <v>226</v>
      </c>
      <c r="AK368" s="3"/>
      <c r="AL368" s="3" t="s">
        <v>128</v>
      </c>
      <c r="AM368" s="3" t="s">
        <v>65</v>
      </c>
      <c r="AN368" s="3" t="s">
        <v>1419</v>
      </c>
      <c r="AO368" s="4">
        <v>44267.0</v>
      </c>
      <c r="AP368" s="4">
        <v>44267.6800925926</v>
      </c>
      <c r="AQ368" s="3" t="s">
        <v>132</v>
      </c>
      <c r="AR368" s="3" t="s">
        <v>1001</v>
      </c>
      <c r="AS368" s="3"/>
      <c r="AT368" s="4">
        <v>44281.0337152778</v>
      </c>
    </row>
    <row r="369" ht="15.75" customHeight="1">
      <c r="A369" s="3">
        <v>2044301.0</v>
      </c>
      <c r="B369" s="3" t="s">
        <v>116</v>
      </c>
      <c r="C369" s="3" t="s">
        <v>117</v>
      </c>
      <c r="D369" s="3" t="s">
        <v>46</v>
      </c>
      <c r="E369" s="3" t="s">
        <v>6474</v>
      </c>
      <c r="F369" s="3"/>
      <c r="G369" s="3" t="s">
        <v>119</v>
      </c>
      <c r="H369" s="3" t="s">
        <v>50</v>
      </c>
      <c r="I369" s="3">
        <v>10500.0</v>
      </c>
      <c r="J369" s="3"/>
      <c r="K369" s="3"/>
      <c r="L369" s="3" t="s">
        <v>226</v>
      </c>
      <c r="M369" s="3" t="s">
        <v>6475</v>
      </c>
      <c r="N369" s="3" t="s">
        <v>186</v>
      </c>
      <c r="O369" s="3" t="s">
        <v>302</v>
      </c>
      <c r="P369" s="4">
        <v>44267.4583333333</v>
      </c>
      <c r="Q369" s="3" t="s">
        <v>56</v>
      </c>
      <c r="R369" s="3"/>
      <c r="S369" s="3" t="s">
        <v>784</v>
      </c>
      <c r="T369" s="3">
        <v>4201307.0</v>
      </c>
      <c r="U369" s="3" t="s">
        <v>1416</v>
      </c>
      <c r="V369" s="3" t="s">
        <v>222</v>
      </c>
      <c r="W369" s="3" t="s">
        <v>78</v>
      </c>
      <c r="X369" s="3"/>
      <c r="Y369" s="3" t="str">
        <f>"02026000715202132"</f>
        <v>02026000715202132</v>
      </c>
      <c r="Z369" s="3" t="s">
        <v>306</v>
      </c>
      <c r="AA369" s="3" t="s">
        <v>1417</v>
      </c>
      <c r="AB369" s="3" t="str">
        <f t="shared" si="31"/>
        <v>02900946000130</v>
      </c>
      <c r="AC369" s="3"/>
      <c r="AD369" s="3"/>
      <c r="AE369" s="3"/>
      <c r="AF369" s="3">
        <v>-48.790278</v>
      </c>
      <c r="AG369" s="3">
        <v>-26.451389</v>
      </c>
      <c r="AH369" s="3" t="s">
        <v>6473</v>
      </c>
      <c r="AI369" s="3"/>
      <c r="AJ369" s="3" t="s">
        <v>226</v>
      </c>
      <c r="AK369" s="3"/>
      <c r="AL369" s="3" t="s">
        <v>128</v>
      </c>
      <c r="AM369" s="3" t="s">
        <v>65</v>
      </c>
      <c r="AN369" s="3" t="s">
        <v>1419</v>
      </c>
      <c r="AO369" s="4">
        <v>44267.0</v>
      </c>
      <c r="AP369" s="4">
        <v>44267.6811111111</v>
      </c>
      <c r="AQ369" s="3" t="s">
        <v>132</v>
      </c>
      <c r="AR369" s="3" t="s">
        <v>3080</v>
      </c>
      <c r="AS369" s="3"/>
      <c r="AT369" s="4">
        <v>44281.0337152778</v>
      </c>
    </row>
    <row r="370" ht="15.75" customHeight="1">
      <c r="A370" s="3"/>
      <c r="B370" s="3" t="s">
        <v>46</v>
      </c>
      <c r="C370" s="3" t="s">
        <v>47</v>
      </c>
      <c r="D370" s="3"/>
      <c r="E370" s="3" t="s">
        <v>6476</v>
      </c>
      <c r="F370" s="3"/>
      <c r="G370" s="3" t="s">
        <v>49</v>
      </c>
      <c r="H370" s="3" t="s">
        <v>50</v>
      </c>
      <c r="I370" s="3">
        <v>245000.0</v>
      </c>
      <c r="J370" s="3"/>
      <c r="K370" s="3" t="s">
        <v>92</v>
      </c>
      <c r="L370" s="3"/>
      <c r="M370" s="3" t="s">
        <v>6477</v>
      </c>
      <c r="N370" s="3" t="s">
        <v>109</v>
      </c>
      <c r="O370" s="3" t="s">
        <v>110</v>
      </c>
      <c r="P370" s="4">
        <v>44267.3993981482</v>
      </c>
      <c r="Q370" s="3" t="s">
        <v>56</v>
      </c>
      <c r="R370" s="5">
        <v>44280.0</v>
      </c>
      <c r="S370" s="3" t="s">
        <v>784</v>
      </c>
      <c r="T370" s="3">
        <v>4215505.0</v>
      </c>
      <c r="U370" s="3" t="s">
        <v>6478</v>
      </c>
      <c r="V370" s="3" t="s">
        <v>222</v>
      </c>
      <c r="W370" s="3" t="s">
        <v>78</v>
      </c>
      <c r="X370" s="3"/>
      <c r="Y370" s="3"/>
      <c r="Z370" s="3" t="s">
        <v>112</v>
      </c>
      <c r="AA370" s="3" t="s">
        <v>6479</v>
      </c>
      <c r="AB370" s="3" t="str">
        <f>"***830929**"</f>
        <v>***830929**</v>
      </c>
      <c r="AC370" s="3"/>
      <c r="AD370" s="3" t="s">
        <v>325</v>
      </c>
      <c r="AE370" s="3"/>
      <c r="AF370" s="3">
        <v>-50.299722</v>
      </c>
      <c r="AG370" s="3">
        <v>-26.107222</v>
      </c>
      <c r="AH370" s="3" t="s">
        <v>6480</v>
      </c>
      <c r="AI370" s="3"/>
      <c r="AJ370" s="3" t="s">
        <v>226</v>
      </c>
      <c r="AK370" s="3"/>
      <c r="AL370" s="3"/>
      <c r="AM370" s="3" t="s">
        <v>65</v>
      </c>
      <c r="AN370" s="3" t="s">
        <v>788</v>
      </c>
      <c r="AO370" s="3"/>
      <c r="AP370" s="4">
        <v>44267.4223726852</v>
      </c>
      <c r="AQ370" s="3"/>
      <c r="AR370" s="3" t="s">
        <v>636</v>
      </c>
      <c r="AS370" s="3"/>
      <c r="AT370" s="4">
        <v>44281.0337152778</v>
      </c>
    </row>
    <row r="371" ht="15.75" customHeight="1">
      <c r="A371" s="3">
        <v>2044299.0</v>
      </c>
      <c r="B371" s="3" t="s">
        <v>116</v>
      </c>
      <c r="C371" s="3" t="s">
        <v>117</v>
      </c>
      <c r="D371" s="3" t="s">
        <v>46</v>
      </c>
      <c r="E371" s="3" t="s">
        <v>6481</v>
      </c>
      <c r="F371" s="3"/>
      <c r="G371" s="3" t="s">
        <v>119</v>
      </c>
      <c r="H371" s="3" t="s">
        <v>50</v>
      </c>
      <c r="I371" s="3">
        <v>2000.0</v>
      </c>
      <c r="J371" s="3"/>
      <c r="K371" s="3"/>
      <c r="L371" s="3" t="s">
        <v>295</v>
      </c>
      <c r="M371" s="3" t="s">
        <v>350</v>
      </c>
      <c r="N371" s="3" t="s">
        <v>186</v>
      </c>
      <c r="O371" s="3" t="s">
        <v>95</v>
      </c>
      <c r="P371" s="4">
        <v>44267.375</v>
      </c>
      <c r="Q371" s="3" t="s">
        <v>56</v>
      </c>
      <c r="R371" s="5">
        <v>44267.0</v>
      </c>
      <c r="S371" s="3" t="s">
        <v>288</v>
      </c>
      <c r="T371" s="3">
        <v>2201606.0</v>
      </c>
      <c r="U371" s="3" t="s">
        <v>6482</v>
      </c>
      <c r="V371" s="3" t="s">
        <v>290</v>
      </c>
      <c r="W371" s="3" t="s">
        <v>172</v>
      </c>
      <c r="X371" s="3"/>
      <c r="Y371" s="3" t="str">
        <f>"02020000424202102"</f>
        <v>02020000424202102</v>
      </c>
      <c r="Z371" s="3" t="s">
        <v>101</v>
      </c>
      <c r="AA371" s="3" t="s">
        <v>6483</v>
      </c>
      <c r="AB371" s="3" t="str">
        <f>"07625519000104"</f>
        <v>07625519000104</v>
      </c>
      <c r="AC371" s="3"/>
      <c r="AD371" s="3"/>
      <c r="AE371" s="3"/>
      <c r="AF371" s="3">
        <v>-42.783611</v>
      </c>
      <c r="AG371" s="3">
        <v>-5.064722</v>
      </c>
      <c r="AH371" s="3" t="s">
        <v>354</v>
      </c>
      <c r="AI371" s="3"/>
      <c r="AJ371" s="3" t="s">
        <v>295</v>
      </c>
      <c r="AK371" s="3"/>
      <c r="AL371" s="3" t="s">
        <v>128</v>
      </c>
      <c r="AM371" s="3" t="s">
        <v>65</v>
      </c>
      <c r="AN371" s="3" t="s">
        <v>296</v>
      </c>
      <c r="AO371" s="4">
        <v>44267.0</v>
      </c>
      <c r="AP371" s="4">
        <v>44267.6677314815</v>
      </c>
      <c r="AQ371" s="3" t="s">
        <v>132</v>
      </c>
      <c r="AR371" s="3" t="s">
        <v>531</v>
      </c>
      <c r="AS371" s="3"/>
      <c r="AT371" s="4">
        <v>44281.0337152778</v>
      </c>
    </row>
    <row r="372" ht="15.75" customHeight="1">
      <c r="A372" s="3">
        <v>2044535.0</v>
      </c>
      <c r="B372" s="3" t="s">
        <v>116</v>
      </c>
      <c r="C372" s="3" t="s">
        <v>117</v>
      </c>
      <c r="D372" s="3" t="s">
        <v>46</v>
      </c>
      <c r="E372" s="3" t="s">
        <v>6484</v>
      </c>
      <c r="F372" s="3"/>
      <c r="G372" s="3" t="s">
        <v>119</v>
      </c>
      <c r="H372" s="3" t="s">
        <v>72</v>
      </c>
      <c r="I372" s="3">
        <v>5000.0</v>
      </c>
      <c r="J372" s="3"/>
      <c r="K372" s="3"/>
      <c r="L372" s="3" t="s">
        <v>226</v>
      </c>
      <c r="M372" s="3" t="s">
        <v>6485</v>
      </c>
      <c r="N372" s="3" t="s">
        <v>109</v>
      </c>
      <c r="O372" s="3" t="s">
        <v>110</v>
      </c>
      <c r="P372" s="4">
        <v>44267.3333333333</v>
      </c>
      <c r="Q372" s="3" t="s">
        <v>77</v>
      </c>
      <c r="R372" s="5">
        <v>44267.0</v>
      </c>
      <c r="S372" s="3" t="s">
        <v>784</v>
      </c>
      <c r="T372" s="3">
        <v>4204202.0</v>
      </c>
      <c r="U372" s="3" t="s">
        <v>1492</v>
      </c>
      <c r="V372" s="3" t="s">
        <v>222</v>
      </c>
      <c r="W372" s="3" t="s">
        <v>78</v>
      </c>
      <c r="X372" s="3"/>
      <c r="Y372" s="3" t="str">
        <f>"02026000806202178"</f>
        <v>02026000806202178</v>
      </c>
      <c r="Z372" s="3" t="s">
        <v>112</v>
      </c>
      <c r="AA372" s="3" t="s">
        <v>6486</v>
      </c>
      <c r="AB372" s="3" t="str">
        <f>"***226499**"</f>
        <v>***226499**</v>
      </c>
      <c r="AC372" s="3"/>
      <c r="AD372" s="3"/>
      <c r="AE372" s="3"/>
      <c r="AF372" s="3">
        <v>-52.518611</v>
      </c>
      <c r="AG372" s="3">
        <v>-27.165278</v>
      </c>
      <c r="AH372" s="3" t="s">
        <v>6487</v>
      </c>
      <c r="AI372" s="3"/>
      <c r="AJ372" s="3" t="s">
        <v>226</v>
      </c>
      <c r="AK372" s="3"/>
      <c r="AL372" s="3" t="s">
        <v>128</v>
      </c>
      <c r="AM372" s="3" t="s">
        <v>65</v>
      </c>
      <c r="AN372" s="3" t="s">
        <v>227</v>
      </c>
      <c r="AO372" s="4">
        <v>44274.0</v>
      </c>
      <c r="AP372" s="4">
        <v>44274.4654282407</v>
      </c>
      <c r="AQ372" s="3" t="s">
        <v>132</v>
      </c>
      <c r="AR372" s="3" t="s">
        <v>2564</v>
      </c>
      <c r="AS372" s="3" t="s">
        <v>6488</v>
      </c>
      <c r="AT372" s="4">
        <v>44281.0337152778</v>
      </c>
    </row>
    <row r="373" ht="15.75" customHeight="1">
      <c r="A373" s="3">
        <v>2044697.0</v>
      </c>
      <c r="B373" s="3" t="s">
        <v>116</v>
      </c>
      <c r="C373" s="3" t="s">
        <v>117</v>
      </c>
      <c r="D373" s="3" t="s">
        <v>46</v>
      </c>
      <c r="E373" s="3" t="s">
        <v>6489</v>
      </c>
      <c r="F373" s="3"/>
      <c r="G373" s="3" t="s">
        <v>119</v>
      </c>
      <c r="H373" s="3" t="s">
        <v>50</v>
      </c>
      <c r="I373" s="3">
        <v>1000.0</v>
      </c>
      <c r="J373" s="3"/>
      <c r="K373" s="3"/>
      <c r="L373" s="3" t="s">
        <v>405</v>
      </c>
      <c r="M373" s="3" t="s">
        <v>6490</v>
      </c>
      <c r="N373" s="3" t="s">
        <v>53</v>
      </c>
      <c r="O373" s="3" t="s">
        <v>333</v>
      </c>
      <c r="P373" s="4">
        <v>44267.3333333333</v>
      </c>
      <c r="Q373" s="3" t="s">
        <v>56</v>
      </c>
      <c r="R373" s="3"/>
      <c r="S373" s="3" t="s">
        <v>400</v>
      </c>
      <c r="T373" s="3">
        <v>4309001.0</v>
      </c>
      <c r="U373" s="3" t="s">
        <v>6491</v>
      </c>
      <c r="V373" s="3" t="s">
        <v>402</v>
      </c>
      <c r="W373" s="3" t="s">
        <v>78</v>
      </c>
      <c r="X373" s="3"/>
      <c r="Y373" s="3" t="str">
        <f>"02023000638202141"</f>
        <v>02023000638202141</v>
      </c>
      <c r="Z373" s="3" t="s">
        <v>223</v>
      </c>
      <c r="AA373" s="3" t="s">
        <v>6492</v>
      </c>
      <c r="AB373" s="3" t="str">
        <f>"***466780**"</f>
        <v>***466780**</v>
      </c>
      <c r="AC373" s="3"/>
      <c r="AD373" s="3"/>
      <c r="AE373" s="3"/>
      <c r="AF373" s="3">
        <v>-54.495556</v>
      </c>
      <c r="AG373" s="3">
        <v>-28.064444</v>
      </c>
      <c r="AH373" s="3" t="s">
        <v>6493</v>
      </c>
      <c r="AI373" s="3"/>
      <c r="AJ373" s="3" t="s">
        <v>405</v>
      </c>
      <c r="AK373" s="3"/>
      <c r="AL373" s="3" t="s">
        <v>128</v>
      </c>
      <c r="AM373" s="3" t="s">
        <v>65</v>
      </c>
      <c r="AN373" s="3" t="s">
        <v>83</v>
      </c>
      <c r="AO373" s="4">
        <v>44280.0</v>
      </c>
      <c r="AP373" s="4">
        <v>44280.458912037</v>
      </c>
      <c r="AQ373" s="3" t="s">
        <v>132</v>
      </c>
      <c r="AR373" s="3" t="s">
        <v>2761</v>
      </c>
      <c r="AS373" s="3" t="s">
        <v>5675</v>
      </c>
      <c r="AT373" s="4">
        <v>44281.0337152778</v>
      </c>
    </row>
    <row r="374" ht="15.75" customHeight="1">
      <c r="A374" s="3">
        <v>2044378.0</v>
      </c>
      <c r="B374" s="3" t="s">
        <v>116</v>
      </c>
      <c r="C374" s="3" t="s">
        <v>117</v>
      </c>
      <c r="D374" s="3" t="s">
        <v>46</v>
      </c>
      <c r="E374" s="3" t="s">
        <v>6494</v>
      </c>
      <c r="F374" s="3"/>
      <c r="G374" s="3" t="s">
        <v>119</v>
      </c>
      <c r="H374" s="3" t="s">
        <v>50</v>
      </c>
      <c r="I374" s="3">
        <v>1200.0</v>
      </c>
      <c r="J374" s="3"/>
      <c r="K374" s="3"/>
      <c r="L374" s="3" t="s">
        <v>485</v>
      </c>
      <c r="M374" s="3" t="s">
        <v>6495</v>
      </c>
      <c r="N374" s="3" t="s">
        <v>53</v>
      </c>
      <c r="O374" s="3" t="s">
        <v>187</v>
      </c>
      <c r="P374" s="4">
        <v>44267.2916666667</v>
      </c>
      <c r="Q374" s="3" t="s">
        <v>56</v>
      </c>
      <c r="R374" s="5">
        <v>44270.0</v>
      </c>
      <c r="S374" s="3" t="s">
        <v>488</v>
      </c>
      <c r="T374" s="3">
        <v>1721000.0</v>
      </c>
      <c r="U374" s="3" t="s">
        <v>886</v>
      </c>
      <c r="V374" s="3" t="s">
        <v>490</v>
      </c>
      <c r="W374" s="3" t="s">
        <v>172</v>
      </c>
      <c r="X374" s="3"/>
      <c r="Y374" s="3" t="str">
        <f>"02029000292202121"</f>
        <v>02029000292202121</v>
      </c>
      <c r="Z374" s="3" t="s">
        <v>223</v>
      </c>
      <c r="AA374" s="3" t="s">
        <v>6496</v>
      </c>
      <c r="AB374" s="3" t="str">
        <f>"18130797000107"</f>
        <v>18130797000107</v>
      </c>
      <c r="AC374" s="3"/>
      <c r="AD374" s="3"/>
      <c r="AE374" s="3"/>
      <c r="AF374" s="3">
        <v>-48.332778</v>
      </c>
      <c r="AG374" s="3">
        <v>-10.208611</v>
      </c>
      <c r="AH374" s="3" t="s">
        <v>6497</v>
      </c>
      <c r="AI374" s="3"/>
      <c r="AJ374" s="3" t="s">
        <v>485</v>
      </c>
      <c r="AK374" s="3"/>
      <c r="AL374" s="3" t="s">
        <v>128</v>
      </c>
      <c r="AM374" s="3" t="s">
        <v>65</v>
      </c>
      <c r="AN374" s="3" t="s">
        <v>296</v>
      </c>
      <c r="AO374" s="4">
        <v>44271.0</v>
      </c>
      <c r="AP374" s="4">
        <v>44271.3428125</v>
      </c>
      <c r="AQ374" s="3" t="s">
        <v>132</v>
      </c>
      <c r="AR374" s="3" t="s">
        <v>531</v>
      </c>
      <c r="AS374" s="3"/>
      <c r="AT374" s="4">
        <v>44281.0337152778</v>
      </c>
    </row>
    <row r="375" ht="15.75" customHeight="1">
      <c r="A375" s="3">
        <v>2044379.0</v>
      </c>
      <c r="B375" s="3" t="s">
        <v>116</v>
      </c>
      <c r="C375" s="3" t="s">
        <v>117</v>
      </c>
      <c r="D375" s="3" t="s">
        <v>46</v>
      </c>
      <c r="E375" s="3" t="s">
        <v>6498</v>
      </c>
      <c r="F375" s="3"/>
      <c r="G375" s="3" t="s">
        <v>119</v>
      </c>
      <c r="H375" s="3" t="s">
        <v>50</v>
      </c>
      <c r="I375" s="3">
        <v>1200.0</v>
      </c>
      <c r="J375" s="3"/>
      <c r="K375" s="3"/>
      <c r="L375" s="3" t="s">
        <v>485</v>
      </c>
      <c r="M375" s="3" t="s">
        <v>6499</v>
      </c>
      <c r="N375" s="3" t="s">
        <v>53</v>
      </c>
      <c r="O375" s="3" t="s">
        <v>187</v>
      </c>
      <c r="P375" s="4">
        <v>44267.2916666667</v>
      </c>
      <c r="Q375" s="3" t="s">
        <v>56</v>
      </c>
      <c r="R375" s="5">
        <v>44270.0</v>
      </c>
      <c r="S375" s="3" t="s">
        <v>488</v>
      </c>
      <c r="T375" s="3">
        <v>1709500.0</v>
      </c>
      <c r="U375" s="3" t="s">
        <v>1323</v>
      </c>
      <c r="V375" s="3" t="s">
        <v>490</v>
      </c>
      <c r="W375" s="3" t="s">
        <v>172</v>
      </c>
      <c r="X375" s="3"/>
      <c r="Y375" s="3" t="str">
        <f>"02029000293202175"</f>
        <v>02029000293202175</v>
      </c>
      <c r="Z375" s="3" t="s">
        <v>223</v>
      </c>
      <c r="AA375" s="3" t="s">
        <v>5700</v>
      </c>
      <c r="AB375" s="3" t="str">
        <f>"06265712000119"</f>
        <v>06265712000119</v>
      </c>
      <c r="AC375" s="3"/>
      <c r="AD375" s="3"/>
      <c r="AE375" s="3"/>
      <c r="AF375" s="3">
        <v>-48.332778</v>
      </c>
      <c r="AG375" s="3">
        <v>-10.208611</v>
      </c>
      <c r="AH375" s="3" t="s">
        <v>6500</v>
      </c>
      <c r="AI375" s="3"/>
      <c r="AJ375" s="3" t="s">
        <v>485</v>
      </c>
      <c r="AK375" s="3"/>
      <c r="AL375" s="3" t="s">
        <v>128</v>
      </c>
      <c r="AM375" s="3" t="s">
        <v>65</v>
      </c>
      <c r="AN375" s="3" t="s">
        <v>296</v>
      </c>
      <c r="AO375" s="4">
        <v>44271.0</v>
      </c>
      <c r="AP375" s="4">
        <v>44271.3433333333</v>
      </c>
      <c r="AQ375" s="3" t="s">
        <v>132</v>
      </c>
      <c r="AR375" s="3" t="s">
        <v>693</v>
      </c>
      <c r="AS375" s="3"/>
      <c r="AT375" s="4">
        <v>44281.0337152778</v>
      </c>
    </row>
    <row r="376" ht="15.75" customHeight="1">
      <c r="A376" s="3"/>
      <c r="B376" s="3" t="s">
        <v>46</v>
      </c>
      <c r="C376" s="3" t="s">
        <v>47</v>
      </c>
      <c r="D376" s="3"/>
      <c r="E376" s="3" t="s">
        <v>6501</v>
      </c>
      <c r="F376" s="3"/>
      <c r="G376" s="3" t="s">
        <v>49</v>
      </c>
      <c r="H376" s="3" t="s">
        <v>72</v>
      </c>
      <c r="I376" s="3">
        <v>5400.0</v>
      </c>
      <c r="J376" s="3"/>
      <c r="K376" s="3"/>
      <c r="L376" s="3"/>
      <c r="M376" s="3" t="s">
        <v>6502</v>
      </c>
      <c r="N376" s="3" t="s">
        <v>109</v>
      </c>
      <c r="O376" s="3" t="s">
        <v>110</v>
      </c>
      <c r="P376" s="4">
        <v>44267.2459953704</v>
      </c>
      <c r="Q376" s="3" t="s">
        <v>56</v>
      </c>
      <c r="R376" s="3"/>
      <c r="S376" s="3" t="s">
        <v>97</v>
      </c>
      <c r="T376" s="3">
        <v>1301852.0</v>
      </c>
      <c r="U376" s="3" t="s">
        <v>6320</v>
      </c>
      <c r="V376" s="3" t="s">
        <v>99</v>
      </c>
      <c r="W376" s="3" t="s">
        <v>100</v>
      </c>
      <c r="X376" s="3"/>
      <c r="Y376" s="3"/>
      <c r="Z376" s="3" t="s">
        <v>112</v>
      </c>
      <c r="AA376" s="3" t="s">
        <v>6503</v>
      </c>
      <c r="AB376" s="3" t="str">
        <f>"27774175000102"</f>
        <v>27774175000102</v>
      </c>
      <c r="AC376" s="3"/>
      <c r="AD376" s="3" t="s">
        <v>62</v>
      </c>
      <c r="AE376" s="3"/>
      <c r="AF376" s="3">
        <v>-59.975833</v>
      </c>
      <c r="AG376" s="3">
        <v>-3.1325</v>
      </c>
      <c r="AH376" s="3" t="s">
        <v>6504</v>
      </c>
      <c r="AI376" s="3"/>
      <c r="AJ376" s="3" t="s">
        <v>104</v>
      </c>
      <c r="AK376" s="3"/>
      <c r="AL376" s="3"/>
      <c r="AM376" s="3" t="s">
        <v>65</v>
      </c>
      <c r="AN376" s="3"/>
      <c r="AO376" s="3"/>
      <c r="AP376" s="4">
        <v>44270.2757523148</v>
      </c>
      <c r="AQ376" s="3"/>
      <c r="AR376" s="3" t="s">
        <v>1143</v>
      </c>
      <c r="AS376" s="3"/>
      <c r="AT376" s="4">
        <v>44281.0337152778</v>
      </c>
    </row>
    <row r="377" ht="15.75" customHeight="1">
      <c r="A377" s="3"/>
      <c r="B377" s="3" t="s">
        <v>46</v>
      </c>
      <c r="C377" s="3" t="s">
        <v>47</v>
      </c>
      <c r="D377" s="3"/>
      <c r="E377" s="3" t="s">
        <v>6505</v>
      </c>
      <c r="F377" s="3"/>
      <c r="G377" s="3" t="s">
        <v>49</v>
      </c>
      <c r="H377" s="3" t="s">
        <v>50</v>
      </c>
      <c r="I377" s="3">
        <v>1500.0</v>
      </c>
      <c r="J377" s="3"/>
      <c r="K377" s="3" t="s">
        <v>51</v>
      </c>
      <c r="L377" s="3"/>
      <c r="M377" s="3" t="s">
        <v>6506</v>
      </c>
      <c r="N377" s="3" t="s">
        <v>257</v>
      </c>
      <c r="O377" s="3" t="s">
        <v>258</v>
      </c>
      <c r="P377" s="4">
        <v>44266.7277199074</v>
      </c>
      <c r="Q377" s="3" t="s">
        <v>56</v>
      </c>
      <c r="R377" s="5">
        <v>44274.0</v>
      </c>
      <c r="S377" s="3" t="s">
        <v>268</v>
      </c>
      <c r="T377" s="3">
        <v>4101507.0</v>
      </c>
      <c r="U377" s="3" t="s">
        <v>6507</v>
      </c>
      <c r="V377" s="3" t="s">
        <v>270</v>
      </c>
      <c r="W377" s="3" t="s">
        <v>78</v>
      </c>
      <c r="X377" s="3"/>
      <c r="Y377" s="3"/>
      <c r="Z377" s="3" t="s">
        <v>260</v>
      </c>
      <c r="AA377" s="3" t="s">
        <v>6508</v>
      </c>
      <c r="AB377" s="3" t="str">
        <f>"***004999**"</f>
        <v>***004999**</v>
      </c>
      <c r="AC377" s="3"/>
      <c r="AD377" s="3" t="s">
        <v>81</v>
      </c>
      <c r="AE377" s="3"/>
      <c r="AF377" s="3">
        <v>-51.441389</v>
      </c>
      <c r="AG377" s="3">
        <v>-23.418611</v>
      </c>
      <c r="AH377" s="3" t="s">
        <v>6509</v>
      </c>
      <c r="AI377" s="3"/>
      <c r="AJ377" s="3" t="s">
        <v>273</v>
      </c>
      <c r="AK377" s="3"/>
      <c r="AL377" s="3"/>
      <c r="AM377" s="3" t="s">
        <v>65</v>
      </c>
      <c r="AN377" s="3" t="s">
        <v>274</v>
      </c>
      <c r="AO377" s="3"/>
      <c r="AP377" s="4">
        <v>44279.3779861111</v>
      </c>
      <c r="AQ377" s="3"/>
      <c r="AR377" s="3" t="s">
        <v>6168</v>
      </c>
      <c r="AS377" s="3"/>
      <c r="AT377" s="4">
        <v>44281.0337152778</v>
      </c>
    </row>
    <row r="378" ht="15.75" customHeight="1">
      <c r="A378" s="3">
        <v>2044373.0</v>
      </c>
      <c r="B378" s="3" t="s">
        <v>116</v>
      </c>
      <c r="C378" s="3" t="s">
        <v>117</v>
      </c>
      <c r="D378" s="3" t="s">
        <v>46</v>
      </c>
      <c r="E378" s="3" t="s">
        <v>6510</v>
      </c>
      <c r="F378" s="3"/>
      <c r="G378" s="3" t="s">
        <v>119</v>
      </c>
      <c r="H378" s="3" t="s">
        <v>50</v>
      </c>
      <c r="I378" s="3">
        <v>108455.0</v>
      </c>
      <c r="J378" s="3"/>
      <c r="K378" s="3"/>
      <c r="L378" s="3" t="s">
        <v>1737</v>
      </c>
      <c r="M378" s="3" t="s">
        <v>6511</v>
      </c>
      <c r="N378" s="3" t="s">
        <v>186</v>
      </c>
      <c r="O378" s="3" t="s">
        <v>302</v>
      </c>
      <c r="P378" s="4">
        <v>44266.7083333333</v>
      </c>
      <c r="Q378" s="3" t="s">
        <v>56</v>
      </c>
      <c r="R378" s="3"/>
      <c r="S378" s="3" t="s">
        <v>169</v>
      </c>
      <c r="T378" s="3">
        <v>5300108.0</v>
      </c>
      <c r="U378" s="3" t="s">
        <v>304</v>
      </c>
      <c r="V378" s="3" t="s">
        <v>305</v>
      </c>
      <c r="W378" s="3" t="s">
        <v>60</v>
      </c>
      <c r="X378" s="3"/>
      <c r="Y378" s="3"/>
      <c r="Z378" s="3" t="s">
        <v>306</v>
      </c>
      <c r="AA378" s="3" t="s">
        <v>61</v>
      </c>
      <c r="AB378" s="3" t="str">
        <f t="shared" ref="AB378:AB379" si="32">"33000167000101"</f>
        <v>33000167000101</v>
      </c>
      <c r="AC378" s="3"/>
      <c r="AD378" s="3"/>
      <c r="AE378" s="3"/>
      <c r="AF378" s="3">
        <v>-47.860278</v>
      </c>
      <c r="AG378" s="3">
        <v>-15.769167</v>
      </c>
      <c r="AH378" s="3" t="s">
        <v>6512</v>
      </c>
      <c r="AI378" s="3"/>
      <c r="AJ378" s="3" t="s">
        <v>1737</v>
      </c>
      <c r="AK378" s="3"/>
      <c r="AL378" s="3" t="s">
        <v>128</v>
      </c>
      <c r="AM378" s="3" t="s">
        <v>65</v>
      </c>
      <c r="AN378" s="3" t="s">
        <v>1743</v>
      </c>
      <c r="AO378" s="4">
        <v>44270.0</v>
      </c>
      <c r="AP378" s="4">
        <v>44270.8211111111</v>
      </c>
      <c r="AQ378" s="3" t="s">
        <v>132</v>
      </c>
      <c r="AR378" s="3" t="s">
        <v>1745</v>
      </c>
      <c r="AS378" s="3" t="s">
        <v>6513</v>
      </c>
      <c r="AT378" s="4">
        <v>44281.0337152778</v>
      </c>
    </row>
    <row r="379" ht="15.75" customHeight="1">
      <c r="A379" s="3">
        <v>2044374.0</v>
      </c>
      <c r="B379" s="3" t="s">
        <v>116</v>
      </c>
      <c r="C379" s="3" t="s">
        <v>117</v>
      </c>
      <c r="D379" s="3" t="s">
        <v>46</v>
      </c>
      <c r="E379" s="3" t="s">
        <v>6514</v>
      </c>
      <c r="F379" s="3"/>
      <c r="G379" s="3" t="s">
        <v>119</v>
      </c>
      <c r="H379" s="3" t="s">
        <v>50</v>
      </c>
      <c r="I379" s="3">
        <v>108835.0</v>
      </c>
      <c r="J379" s="3"/>
      <c r="K379" s="3"/>
      <c r="L379" s="3" t="s">
        <v>1737</v>
      </c>
      <c r="M379" s="3" t="s">
        <v>6515</v>
      </c>
      <c r="N379" s="3" t="s">
        <v>186</v>
      </c>
      <c r="O379" s="3" t="s">
        <v>302</v>
      </c>
      <c r="P379" s="4">
        <v>44266.7083333333</v>
      </c>
      <c r="Q379" s="3" t="s">
        <v>56</v>
      </c>
      <c r="R379" s="3"/>
      <c r="S379" s="3" t="s">
        <v>169</v>
      </c>
      <c r="T379" s="3">
        <v>5300108.0</v>
      </c>
      <c r="U379" s="3" t="s">
        <v>304</v>
      </c>
      <c r="V379" s="3" t="s">
        <v>305</v>
      </c>
      <c r="W379" s="3" t="s">
        <v>60</v>
      </c>
      <c r="X379" s="3"/>
      <c r="Y379" s="3"/>
      <c r="Z379" s="3" t="s">
        <v>306</v>
      </c>
      <c r="AA379" s="3" t="s">
        <v>61</v>
      </c>
      <c r="AB379" s="3" t="str">
        <f t="shared" si="32"/>
        <v>33000167000101</v>
      </c>
      <c r="AC379" s="3"/>
      <c r="AD379" s="3"/>
      <c r="AE379" s="3"/>
      <c r="AF379" s="3">
        <v>-47.933056</v>
      </c>
      <c r="AG379" s="3">
        <v>-15.83</v>
      </c>
      <c r="AH379" s="3" t="s">
        <v>6512</v>
      </c>
      <c r="AI379" s="3"/>
      <c r="AJ379" s="3" t="s">
        <v>1737</v>
      </c>
      <c r="AK379" s="3"/>
      <c r="AL379" s="3" t="s">
        <v>128</v>
      </c>
      <c r="AM379" s="3" t="s">
        <v>65</v>
      </c>
      <c r="AN379" s="3" t="s">
        <v>1743</v>
      </c>
      <c r="AO379" s="4">
        <v>44270.0</v>
      </c>
      <c r="AP379" s="4">
        <v>44270.8212962963</v>
      </c>
      <c r="AQ379" s="3" t="s">
        <v>132</v>
      </c>
      <c r="AR379" s="3" t="s">
        <v>1745</v>
      </c>
      <c r="AS379" s="3"/>
      <c r="AT379" s="4">
        <v>44281.0337152778</v>
      </c>
    </row>
    <row r="380" ht="15.75" customHeight="1">
      <c r="A380" s="3"/>
      <c r="B380" s="3" t="s">
        <v>46</v>
      </c>
      <c r="C380" s="3" t="s">
        <v>47</v>
      </c>
      <c r="D380" s="3"/>
      <c r="E380" s="3" t="s">
        <v>6516</v>
      </c>
      <c r="F380" s="3"/>
      <c r="G380" s="3" t="s">
        <v>49</v>
      </c>
      <c r="H380" s="3" t="s">
        <v>72</v>
      </c>
      <c r="I380" s="3">
        <v>16712.4</v>
      </c>
      <c r="J380" s="3"/>
      <c r="K380" s="3"/>
      <c r="L380" s="3"/>
      <c r="M380" s="3" t="s">
        <v>6517</v>
      </c>
      <c r="N380" s="3" t="s">
        <v>109</v>
      </c>
      <c r="O380" s="3" t="s">
        <v>110</v>
      </c>
      <c r="P380" s="4">
        <v>44266.7027430556</v>
      </c>
      <c r="Q380" s="3" t="s">
        <v>137</v>
      </c>
      <c r="R380" s="3"/>
      <c r="S380" s="3" t="s">
        <v>220</v>
      </c>
      <c r="T380" s="3">
        <v>1501402.0</v>
      </c>
      <c r="U380" s="3" t="s">
        <v>3880</v>
      </c>
      <c r="V380" s="3" t="s">
        <v>917</v>
      </c>
      <c r="W380" s="3" t="s">
        <v>100</v>
      </c>
      <c r="X380" s="3"/>
      <c r="Y380" s="3"/>
      <c r="Z380" s="3" t="s">
        <v>112</v>
      </c>
      <c r="AA380" s="3" t="s">
        <v>6518</v>
      </c>
      <c r="AB380" s="3" t="str">
        <f>"26544107000194"</f>
        <v>26544107000194</v>
      </c>
      <c r="AC380" s="3"/>
      <c r="AD380" s="3" t="s">
        <v>81</v>
      </c>
      <c r="AE380" s="3"/>
      <c r="AF380" s="3">
        <v>-48.452778</v>
      </c>
      <c r="AG380" s="3">
        <v>-1.2825</v>
      </c>
      <c r="AH380" s="3" t="s">
        <v>6519</v>
      </c>
      <c r="AI380" s="3"/>
      <c r="AJ380" s="3" t="s">
        <v>1346</v>
      </c>
      <c r="AK380" s="3"/>
      <c r="AL380" s="3"/>
      <c r="AM380" s="3" t="s">
        <v>65</v>
      </c>
      <c r="AN380" s="3"/>
      <c r="AO380" s="3"/>
      <c r="AP380" s="4">
        <v>44266.7230671296</v>
      </c>
      <c r="AQ380" s="3"/>
      <c r="AR380" s="3" t="s">
        <v>455</v>
      </c>
      <c r="AS380" s="3" t="s">
        <v>6520</v>
      </c>
      <c r="AT380" s="4">
        <v>44281.0337152778</v>
      </c>
    </row>
    <row r="381" ht="15.75" customHeight="1">
      <c r="A381" s="3"/>
      <c r="B381" s="3" t="s">
        <v>46</v>
      </c>
      <c r="C381" s="3" t="s">
        <v>47</v>
      </c>
      <c r="D381" s="3"/>
      <c r="E381" s="3" t="s">
        <v>6521</v>
      </c>
      <c r="F381" s="3"/>
      <c r="G381" s="3" t="s">
        <v>49</v>
      </c>
      <c r="H381" s="3" t="s">
        <v>72</v>
      </c>
      <c r="I381" s="3">
        <v>5531.4</v>
      </c>
      <c r="J381" s="3"/>
      <c r="K381" s="3"/>
      <c r="L381" s="3"/>
      <c r="M381" s="3" t="s">
        <v>6522</v>
      </c>
      <c r="N381" s="3" t="s">
        <v>109</v>
      </c>
      <c r="O381" s="3" t="s">
        <v>110</v>
      </c>
      <c r="P381" s="4">
        <v>44266.6923263889</v>
      </c>
      <c r="Q381" s="3" t="s">
        <v>137</v>
      </c>
      <c r="R381" s="3"/>
      <c r="S381" s="3" t="s">
        <v>97</v>
      </c>
      <c r="T381" s="3">
        <v>1302603.0</v>
      </c>
      <c r="U381" s="3" t="s">
        <v>4149</v>
      </c>
      <c r="V381" s="3" t="s">
        <v>99</v>
      </c>
      <c r="W381" s="3" t="s">
        <v>100</v>
      </c>
      <c r="X381" s="3"/>
      <c r="Y381" s="3"/>
      <c r="Z381" s="3" t="s">
        <v>112</v>
      </c>
      <c r="AA381" s="3" t="s">
        <v>6523</v>
      </c>
      <c r="AB381" s="3" t="str">
        <f>"24404771000102"</f>
        <v>24404771000102</v>
      </c>
      <c r="AC381" s="3"/>
      <c r="AD381" s="3" t="s">
        <v>62</v>
      </c>
      <c r="AE381" s="3"/>
      <c r="AF381" s="3">
        <v>-59.998139</v>
      </c>
      <c r="AG381" s="3">
        <v>-3.150861</v>
      </c>
      <c r="AH381" s="3" t="s">
        <v>6524</v>
      </c>
      <c r="AI381" s="3"/>
      <c r="AJ381" s="3" t="s">
        <v>104</v>
      </c>
      <c r="AK381" s="3"/>
      <c r="AL381" s="3"/>
      <c r="AM381" s="3" t="s">
        <v>65</v>
      </c>
      <c r="AN381" s="3"/>
      <c r="AO381" s="3"/>
      <c r="AP381" s="4">
        <v>44266.7756828704</v>
      </c>
      <c r="AQ381" s="3"/>
      <c r="AR381" s="3" t="s">
        <v>6525</v>
      </c>
      <c r="AS381" s="3"/>
      <c r="AT381" s="4">
        <v>44281.0337152778</v>
      </c>
    </row>
    <row r="382" ht="15.75" customHeight="1">
      <c r="A382" s="3">
        <v>2044375.0</v>
      </c>
      <c r="B382" s="3" t="s">
        <v>116</v>
      </c>
      <c r="C382" s="3" t="s">
        <v>117</v>
      </c>
      <c r="D382" s="3" t="s">
        <v>46</v>
      </c>
      <c r="E382" s="3" t="s">
        <v>6526</v>
      </c>
      <c r="F382" s="3"/>
      <c r="G382" s="3" t="s">
        <v>119</v>
      </c>
      <c r="H382" s="3" t="s">
        <v>50</v>
      </c>
      <c r="I382" s="3">
        <v>108965.0</v>
      </c>
      <c r="J382" s="3"/>
      <c r="K382" s="3"/>
      <c r="L382" s="3" t="s">
        <v>1737</v>
      </c>
      <c r="M382" s="3" t="s">
        <v>6527</v>
      </c>
      <c r="N382" s="3" t="s">
        <v>186</v>
      </c>
      <c r="O382" s="3" t="s">
        <v>302</v>
      </c>
      <c r="P382" s="4">
        <v>44266.6666666667</v>
      </c>
      <c r="Q382" s="3" t="s">
        <v>56</v>
      </c>
      <c r="R382" s="3"/>
      <c r="S382" s="3" t="s">
        <v>169</v>
      </c>
      <c r="T382" s="3">
        <v>5300108.0</v>
      </c>
      <c r="U382" s="3" t="s">
        <v>304</v>
      </c>
      <c r="V382" s="3" t="s">
        <v>305</v>
      </c>
      <c r="W382" s="3" t="s">
        <v>60</v>
      </c>
      <c r="X382" s="3"/>
      <c r="Y382" s="3"/>
      <c r="Z382" s="3" t="s">
        <v>306</v>
      </c>
      <c r="AA382" s="3" t="s">
        <v>61</v>
      </c>
      <c r="AB382" s="3" t="str">
        <f>"33000167000101"</f>
        <v>33000167000101</v>
      </c>
      <c r="AC382" s="3"/>
      <c r="AD382" s="3"/>
      <c r="AE382" s="3"/>
      <c r="AF382" s="3">
        <v>-47.933056</v>
      </c>
      <c r="AG382" s="3">
        <v>-15.83</v>
      </c>
      <c r="AH382" s="3" t="s">
        <v>6512</v>
      </c>
      <c r="AI382" s="3"/>
      <c r="AJ382" s="3" t="s">
        <v>1737</v>
      </c>
      <c r="AK382" s="3"/>
      <c r="AL382" s="3" t="s">
        <v>128</v>
      </c>
      <c r="AM382" s="3" t="s">
        <v>65</v>
      </c>
      <c r="AN382" s="3" t="s">
        <v>1743</v>
      </c>
      <c r="AO382" s="4">
        <v>44270.0</v>
      </c>
      <c r="AP382" s="4">
        <v>44270.8214699074</v>
      </c>
      <c r="AQ382" s="3" t="s">
        <v>132</v>
      </c>
      <c r="AR382" s="3" t="s">
        <v>1745</v>
      </c>
      <c r="AS382" s="3" t="s">
        <v>6528</v>
      </c>
      <c r="AT382" s="4">
        <v>44281.0337152778</v>
      </c>
    </row>
    <row r="383" ht="15.75" customHeight="1">
      <c r="A383" s="3">
        <v>2044510.0</v>
      </c>
      <c r="B383" s="3" t="s">
        <v>116</v>
      </c>
      <c r="C383" s="3" t="s">
        <v>117</v>
      </c>
      <c r="D383" s="3" t="s">
        <v>46</v>
      </c>
      <c r="E383" s="3" t="s">
        <v>6529</v>
      </c>
      <c r="F383" s="3"/>
      <c r="G383" s="3" t="s">
        <v>119</v>
      </c>
      <c r="H383" s="3" t="s">
        <v>72</v>
      </c>
      <c r="I383" s="3">
        <v>7596.9</v>
      </c>
      <c r="J383" s="3"/>
      <c r="K383" s="3"/>
      <c r="L383" s="3" t="s">
        <v>1346</v>
      </c>
      <c r="M383" s="3" t="s">
        <v>6530</v>
      </c>
      <c r="N383" s="3" t="s">
        <v>109</v>
      </c>
      <c r="O383" s="3" t="s">
        <v>110</v>
      </c>
      <c r="P383" s="4">
        <v>44266.6666666667</v>
      </c>
      <c r="Q383" s="3" t="s">
        <v>137</v>
      </c>
      <c r="R383" s="3"/>
      <c r="S383" s="3" t="s">
        <v>1349</v>
      </c>
      <c r="T383" s="3">
        <v>1501402.0</v>
      </c>
      <c r="U383" s="3" t="s">
        <v>3880</v>
      </c>
      <c r="V383" s="3" t="s">
        <v>917</v>
      </c>
      <c r="W383" s="3" t="s">
        <v>100</v>
      </c>
      <c r="X383" s="3"/>
      <c r="Y383" s="3" t="str">
        <f>"02018000870202158"</f>
        <v>02018000870202158</v>
      </c>
      <c r="Z383" s="3" t="s">
        <v>112</v>
      </c>
      <c r="AA383" s="3" t="s">
        <v>6531</v>
      </c>
      <c r="AB383" s="3" t="str">
        <f>"28901561000180"</f>
        <v>28901561000180</v>
      </c>
      <c r="AC383" s="3"/>
      <c r="AD383" s="3"/>
      <c r="AE383" s="3"/>
      <c r="AF383" s="3">
        <v>-48.452778</v>
      </c>
      <c r="AG383" s="3">
        <v>-1.2825</v>
      </c>
      <c r="AH383" s="3" t="s">
        <v>6532</v>
      </c>
      <c r="AI383" s="3"/>
      <c r="AJ383" s="3" t="s">
        <v>1346</v>
      </c>
      <c r="AK383" s="3"/>
      <c r="AL383" s="3" t="s">
        <v>128</v>
      </c>
      <c r="AM383" s="3" t="s">
        <v>65</v>
      </c>
      <c r="AN383" s="3"/>
      <c r="AO383" s="4">
        <v>44273.0</v>
      </c>
      <c r="AP383" s="4">
        <v>44273.5655555556</v>
      </c>
      <c r="AQ383" s="3" t="s">
        <v>132</v>
      </c>
      <c r="AR383" s="3" t="s">
        <v>6533</v>
      </c>
      <c r="AS383" s="3" t="s">
        <v>6534</v>
      </c>
      <c r="AT383" s="4">
        <v>44281.0337152778</v>
      </c>
    </row>
    <row r="384" ht="15.75" customHeight="1">
      <c r="A384" s="3">
        <v>2044566.0</v>
      </c>
      <c r="B384" s="3" t="s">
        <v>116</v>
      </c>
      <c r="C384" s="3" t="s">
        <v>117</v>
      </c>
      <c r="D384" s="3" t="s">
        <v>46</v>
      </c>
      <c r="E384" s="3" t="s">
        <v>6535</v>
      </c>
      <c r="F384" s="3"/>
      <c r="G384" s="3" t="s">
        <v>119</v>
      </c>
      <c r="H384" s="3" t="s">
        <v>50</v>
      </c>
      <c r="I384" s="3">
        <v>111465.0</v>
      </c>
      <c r="J384" s="3"/>
      <c r="K384" s="3"/>
      <c r="L384" s="3" t="s">
        <v>1737</v>
      </c>
      <c r="M384" s="3" t="s">
        <v>6536</v>
      </c>
      <c r="N384" s="3" t="s">
        <v>186</v>
      </c>
      <c r="O384" s="3" t="s">
        <v>302</v>
      </c>
      <c r="P384" s="4">
        <v>44266.6666666667</v>
      </c>
      <c r="Q384" s="3" t="s">
        <v>56</v>
      </c>
      <c r="R384" s="3"/>
      <c r="S384" s="3" t="s">
        <v>169</v>
      </c>
      <c r="T384" s="3">
        <v>5300108.0</v>
      </c>
      <c r="U384" s="3" t="s">
        <v>304</v>
      </c>
      <c r="V384" s="3" t="s">
        <v>305</v>
      </c>
      <c r="W384" s="3" t="s">
        <v>60</v>
      </c>
      <c r="X384" s="3"/>
      <c r="Y384" s="3"/>
      <c r="Z384" s="3" t="s">
        <v>306</v>
      </c>
      <c r="AA384" s="3" t="s">
        <v>61</v>
      </c>
      <c r="AB384" s="3" t="str">
        <f>"33000167000101"</f>
        <v>33000167000101</v>
      </c>
      <c r="AC384" s="3"/>
      <c r="AD384" s="3"/>
      <c r="AE384" s="3"/>
      <c r="AF384" s="3">
        <v>-47.933056</v>
      </c>
      <c r="AG384" s="3">
        <v>-15.83</v>
      </c>
      <c r="AH384" s="3" t="s">
        <v>5233</v>
      </c>
      <c r="AI384" s="3"/>
      <c r="AJ384" s="3" t="s">
        <v>1737</v>
      </c>
      <c r="AK384" s="3"/>
      <c r="AL384" s="3" t="s">
        <v>128</v>
      </c>
      <c r="AM384" s="3" t="s">
        <v>65</v>
      </c>
      <c r="AN384" s="3" t="s">
        <v>1743</v>
      </c>
      <c r="AO384" s="4">
        <v>44277.0</v>
      </c>
      <c r="AP384" s="4">
        <v>44277.4660416667</v>
      </c>
      <c r="AQ384" s="3" t="s">
        <v>132</v>
      </c>
      <c r="AR384" s="3" t="s">
        <v>1745</v>
      </c>
      <c r="AS384" s="3" t="s">
        <v>6528</v>
      </c>
      <c r="AT384" s="4">
        <v>44281.0337152778</v>
      </c>
    </row>
    <row r="385" ht="15.75" customHeight="1">
      <c r="A385" s="3">
        <v>2044636.0</v>
      </c>
      <c r="B385" s="3" t="s">
        <v>116</v>
      </c>
      <c r="C385" s="3" t="s">
        <v>117</v>
      </c>
      <c r="D385" s="3" t="s">
        <v>46</v>
      </c>
      <c r="E385" s="3" t="s">
        <v>6537</v>
      </c>
      <c r="F385" s="3"/>
      <c r="G385" s="3" t="s">
        <v>119</v>
      </c>
      <c r="H385" s="3" t="s">
        <v>72</v>
      </c>
      <c r="I385" s="3">
        <v>6950.0</v>
      </c>
      <c r="J385" s="3"/>
      <c r="K385" s="3"/>
      <c r="L385" s="3" t="s">
        <v>1473</v>
      </c>
      <c r="M385" s="3" t="s">
        <v>6538</v>
      </c>
      <c r="N385" s="3" t="s">
        <v>109</v>
      </c>
      <c r="O385" s="3" t="s">
        <v>110</v>
      </c>
      <c r="P385" s="4">
        <v>44266.6666666667</v>
      </c>
      <c r="Q385" s="3" t="s">
        <v>56</v>
      </c>
      <c r="R385" s="5">
        <v>44273.0</v>
      </c>
      <c r="S385" s="3" t="s">
        <v>1468</v>
      </c>
      <c r="T385" s="3">
        <v>5003207.0</v>
      </c>
      <c r="U385" s="3" t="s">
        <v>2929</v>
      </c>
      <c r="V385" s="3" t="s">
        <v>1470</v>
      </c>
      <c r="W385" s="3" t="s">
        <v>1658</v>
      </c>
      <c r="X385" s="3"/>
      <c r="Y385" s="3"/>
      <c r="Z385" s="3" t="s">
        <v>112</v>
      </c>
      <c r="AA385" s="3" t="s">
        <v>6539</v>
      </c>
      <c r="AB385" s="3" t="str">
        <f>"***023881**"</f>
        <v>***023881**</v>
      </c>
      <c r="AC385" s="3"/>
      <c r="AD385" s="3"/>
      <c r="AE385" s="3"/>
      <c r="AF385" s="3">
        <v>-57.659556</v>
      </c>
      <c r="AG385" s="3">
        <v>-19.157806</v>
      </c>
      <c r="AH385" s="3" t="s">
        <v>6540</v>
      </c>
      <c r="AI385" s="3"/>
      <c r="AJ385" s="3" t="s">
        <v>1473</v>
      </c>
      <c r="AK385" s="3"/>
      <c r="AL385" s="3" t="s">
        <v>128</v>
      </c>
      <c r="AM385" s="3" t="s">
        <v>65</v>
      </c>
      <c r="AN385" s="3"/>
      <c r="AO385" s="4">
        <v>44278.0</v>
      </c>
      <c r="AP385" s="4">
        <v>44278.774212963</v>
      </c>
      <c r="AQ385" s="3" t="s">
        <v>132</v>
      </c>
      <c r="AR385" s="3" t="s">
        <v>3557</v>
      </c>
      <c r="AS385" s="3"/>
      <c r="AT385" s="4">
        <v>44281.0337152778</v>
      </c>
    </row>
    <row r="386" ht="15.75" customHeight="1">
      <c r="A386" s="3"/>
      <c r="B386" s="3" t="s">
        <v>46</v>
      </c>
      <c r="C386" s="3" t="s">
        <v>47</v>
      </c>
      <c r="D386" s="3"/>
      <c r="E386" s="3" t="s">
        <v>6541</v>
      </c>
      <c r="F386" s="3"/>
      <c r="G386" s="3" t="s">
        <v>49</v>
      </c>
      <c r="H386" s="3" t="s">
        <v>50</v>
      </c>
      <c r="I386" s="3">
        <v>5200.0</v>
      </c>
      <c r="J386" s="3"/>
      <c r="K386" s="3" t="s">
        <v>92</v>
      </c>
      <c r="L386" s="3"/>
      <c r="M386" s="3" t="s">
        <v>6542</v>
      </c>
      <c r="N386" s="3" t="s">
        <v>109</v>
      </c>
      <c r="O386" s="3" t="s">
        <v>110</v>
      </c>
      <c r="P386" s="4">
        <v>44266.6367361111</v>
      </c>
      <c r="Q386" s="3" t="s">
        <v>77</v>
      </c>
      <c r="R386" s="3"/>
      <c r="S386" s="3" t="s">
        <v>220</v>
      </c>
      <c r="T386" s="3">
        <v>2301109.0</v>
      </c>
      <c r="U386" s="3" t="s">
        <v>1130</v>
      </c>
      <c r="V386" s="3" t="s">
        <v>439</v>
      </c>
      <c r="W386" s="3" t="s">
        <v>60</v>
      </c>
      <c r="X386" s="3"/>
      <c r="Y386" s="3"/>
      <c r="Z386" s="3" t="s">
        <v>112</v>
      </c>
      <c r="AA386" s="3" t="s">
        <v>6543</v>
      </c>
      <c r="AB386" s="3" t="str">
        <f>"***251183**"</f>
        <v>***251183**</v>
      </c>
      <c r="AC386" s="3"/>
      <c r="AD386" s="3" t="s">
        <v>325</v>
      </c>
      <c r="AE386" s="3"/>
      <c r="AF386" s="3">
        <v>-37.799167</v>
      </c>
      <c r="AG386" s="3">
        <v>-4.603056</v>
      </c>
      <c r="AH386" s="3" t="s">
        <v>6544</v>
      </c>
      <c r="AI386" s="3"/>
      <c r="AJ386" s="3" t="s">
        <v>442</v>
      </c>
      <c r="AK386" s="3"/>
      <c r="AL386" s="3"/>
      <c r="AM386" s="3" t="s">
        <v>65</v>
      </c>
      <c r="AN386" s="3" t="s">
        <v>159</v>
      </c>
      <c r="AO386" s="3"/>
      <c r="AP386" s="4">
        <v>44278.9099305556</v>
      </c>
      <c r="AQ386" s="3"/>
      <c r="AR386" s="3" t="s">
        <v>6545</v>
      </c>
      <c r="AS386" s="3"/>
      <c r="AT386" s="4">
        <v>44281.0337152778</v>
      </c>
    </row>
    <row r="387" ht="15.75" customHeight="1">
      <c r="A387" s="3">
        <v>2044270.0</v>
      </c>
      <c r="B387" s="3" t="s">
        <v>116</v>
      </c>
      <c r="C387" s="3" t="s">
        <v>117</v>
      </c>
      <c r="D387" s="3" t="s">
        <v>46</v>
      </c>
      <c r="E387" s="3" t="s">
        <v>6546</v>
      </c>
      <c r="F387" s="3"/>
      <c r="G387" s="3" t="s">
        <v>119</v>
      </c>
      <c r="H387" s="3" t="s">
        <v>50</v>
      </c>
      <c r="I387" s="3">
        <v>1100.0</v>
      </c>
      <c r="J387" s="3"/>
      <c r="K387" s="3"/>
      <c r="L387" s="3" t="s">
        <v>175</v>
      </c>
      <c r="M387" s="3" t="s">
        <v>6547</v>
      </c>
      <c r="N387" s="3" t="s">
        <v>186</v>
      </c>
      <c r="O387" s="3" t="s">
        <v>95</v>
      </c>
      <c r="P387" s="4">
        <v>44266.625</v>
      </c>
      <c r="Q387" s="3" t="s">
        <v>56</v>
      </c>
      <c r="R387" s="3"/>
      <c r="S387" s="3" t="s">
        <v>169</v>
      </c>
      <c r="T387" s="3">
        <v>5217302.0</v>
      </c>
      <c r="U387" s="3" t="s">
        <v>6548</v>
      </c>
      <c r="V387" s="3" t="s">
        <v>171</v>
      </c>
      <c r="W387" s="3" t="s">
        <v>172</v>
      </c>
      <c r="X387" s="3"/>
      <c r="Y387" s="3"/>
      <c r="Z387" s="3" t="s">
        <v>101</v>
      </c>
      <c r="AA387" s="3" t="s">
        <v>6549</v>
      </c>
      <c r="AB387" s="3" t="str">
        <f>"05896768000109"</f>
        <v>05896768000109</v>
      </c>
      <c r="AC387" s="3"/>
      <c r="AD387" s="3"/>
      <c r="AE387" s="3"/>
      <c r="AF387" s="3">
        <v>-48.952056</v>
      </c>
      <c r="AG387" s="3">
        <v>-15.867611</v>
      </c>
      <c r="AH387" s="3" t="s">
        <v>6550</v>
      </c>
      <c r="AI387" s="3"/>
      <c r="AJ387" s="3" t="s">
        <v>175</v>
      </c>
      <c r="AK387" s="3"/>
      <c r="AL387" s="3" t="s">
        <v>128</v>
      </c>
      <c r="AM387" s="3" t="s">
        <v>65</v>
      </c>
      <c r="AN387" s="3" t="s">
        <v>296</v>
      </c>
      <c r="AO387" s="4">
        <v>44266.0</v>
      </c>
      <c r="AP387" s="4">
        <v>44266.7291319444</v>
      </c>
      <c r="AQ387" s="3" t="s">
        <v>132</v>
      </c>
      <c r="AR387" s="3" t="s">
        <v>531</v>
      </c>
      <c r="AS387" s="3" t="s">
        <v>6551</v>
      </c>
      <c r="AT387" s="4">
        <v>44281.0337152778</v>
      </c>
    </row>
    <row r="388" ht="15.75" customHeight="1">
      <c r="A388" s="3">
        <v>2044296.0</v>
      </c>
      <c r="B388" s="3" t="s">
        <v>116</v>
      </c>
      <c r="C388" s="3" t="s">
        <v>117</v>
      </c>
      <c r="D388" s="3" t="s">
        <v>46</v>
      </c>
      <c r="E388" s="3" t="s">
        <v>6552</v>
      </c>
      <c r="F388" s="3"/>
      <c r="G388" s="3" t="s">
        <v>119</v>
      </c>
      <c r="H388" s="3" t="s">
        <v>50</v>
      </c>
      <c r="I388" s="3">
        <v>109860.0</v>
      </c>
      <c r="J388" s="3"/>
      <c r="K388" s="3"/>
      <c r="L388" s="3" t="s">
        <v>1737</v>
      </c>
      <c r="M388" s="3" t="s">
        <v>6553</v>
      </c>
      <c r="N388" s="3" t="s">
        <v>186</v>
      </c>
      <c r="O388" s="3" t="s">
        <v>302</v>
      </c>
      <c r="P388" s="4">
        <v>44266.625</v>
      </c>
      <c r="Q388" s="3" t="s">
        <v>56</v>
      </c>
      <c r="R388" s="3"/>
      <c r="S388" s="3" t="s">
        <v>169</v>
      </c>
      <c r="T388" s="3">
        <v>5300108.0</v>
      </c>
      <c r="U388" s="3" t="s">
        <v>304</v>
      </c>
      <c r="V388" s="3" t="s">
        <v>305</v>
      </c>
      <c r="W388" s="3" t="s">
        <v>60</v>
      </c>
      <c r="X388" s="3"/>
      <c r="Y388" s="3"/>
      <c r="Z388" s="3" t="s">
        <v>306</v>
      </c>
      <c r="AA388" s="3" t="s">
        <v>61</v>
      </c>
      <c r="AB388" s="3" t="str">
        <f t="shared" ref="AB388:AB389" si="33">"33000167000101"</f>
        <v>33000167000101</v>
      </c>
      <c r="AC388" s="3"/>
      <c r="AD388" s="3"/>
      <c r="AE388" s="3"/>
      <c r="AF388" s="3">
        <v>-47.933056</v>
      </c>
      <c r="AG388" s="3">
        <v>-15.83</v>
      </c>
      <c r="AH388" s="3" t="s">
        <v>5233</v>
      </c>
      <c r="AI388" s="3"/>
      <c r="AJ388" s="3" t="s">
        <v>1737</v>
      </c>
      <c r="AK388" s="3"/>
      <c r="AL388" s="3" t="s">
        <v>128</v>
      </c>
      <c r="AM388" s="3" t="s">
        <v>65</v>
      </c>
      <c r="AN388" s="3" t="s">
        <v>1743</v>
      </c>
      <c r="AO388" s="4">
        <v>44267.0</v>
      </c>
      <c r="AP388" s="4">
        <v>44267.656875</v>
      </c>
      <c r="AQ388" s="3" t="s">
        <v>132</v>
      </c>
      <c r="AR388" s="3" t="s">
        <v>1745</v>
      </c>
      <c r="AS388" s="3" t="s">
        <v>6554</v>
      </c>
      <c r="AT388" s="4">
        <v>44281.0337152778</v>
      </c>
    </row>
    <row r="389" ht="15.75" customHeight="1">
      <c r="A389" s="3">
        <v>2044297.0</v>
      </c>
      <c r="B389" s="3" t="s">
        <v>116</v>
      </c>
      <c r="C389" s="3" t="s">
        <v>117</v>
      </c>
      <c r="D389" s="3" t="s">
        <v>46</v>
      </c>
      <c r="E389" s="3" t="s">
        <v>6555</v>
      </c>
      <c r="F389" s="3"/>
      <c r="G389" s="3" t="s">
        <v>119</v>
      </c>
      <c r="H389" s="3" t="s">
        <v>50</v>
      </c>
      <c r="I389" s="3">
        <v>110390.0</v>
      </c>
      <c r="J389" s="3"/>
      <c r="K389" s="3"/>
      <c r="L389" s="3" t="s">
        <v>1737</v>
      </c>
      <c r="M389" s="3" t="s">
        <v>6556</v>
      </c>
      <c r="N389" s="3" t="s">
        <v>186</v>
      </c>
      <c r="O389" s="3" t="s">
        <v>302</v>
      </c>
      <c r="P389" s="4">
        <v>44266.625</v>
      </c>
      <c r="Q389" s="3" t="s">
        <v>56</v>
      </c>
      <c r="R389" s="3"/>
      <c r="S389" s="3" t="s">
        <v>169</v>
      </c>
      <c r="T389" s="3">
        <v>5300108.0</v>
      </c>
      <c r="U389" s="3" t="s">
        <v>304</v>
      </c>
      <c r="V389" s="3" t="s">
        <v>305</v>
      </c>
      <c r="W389" s="3" t="s">
        <v>60</v>
      </c>
      <c r="X389" s="3"/>
      <c r="Y389" s="3"/>
      <c r="Z389" s="3" t="s">
        <v>306</v>
      </c>
      <c r="AA389" s="3" t="s">
        <v>61</v>
      </c>
      <c r="AB389" s="3" t="str">
        <f t="shared" si="33"/>
        <v>33000167000101</v>
      </c>
      <c r="AC389" s="3"/>
      <c r="AD389" s="3"/>
      <c r="AE389" s="3"/>
      <c r="AF389" s="3">
        <v>-47.933056</v>
      </c>
      <c r="AG389" s="3">
        <v>-15.83</v>
      </c>
      <c r="AH389" s="3" t="s">
        <v>5233</v>
      </c>
      <c r="AI389" s="3"/>
      <c r="AJ389" s="3" t="s">
        <v>1737</v>
      </c>
      <c r="AK389" s="3"/>
      <c r="AL389" s="3" t="s">
        <v>128</v>
      </c>
      <c r="AM389" s="3" t="s">
        <v>65</v>
      </c>
      <c r="AN389" s="3" t="s">
        <v>1743</v>
      </c>
      <c r="AO389" s="4">
        <v>44267.0</v>
      </c>
      <c r="AP389" s="4">
        <v>44267.6602546296</v>
      </c>
      <c r="AQ389" s="3" t="s">
        <v>132</v>
      </c>
      <c r="AR389" s="3" t="s">
        <v>1745</v>
      </c>
      <c r="AS389" s="3" t="s">
        <v>6528</v>
      </c>
      <c r="AT389" s="4">
        <v>44281.0337152778</v>
      </c>
    </row>
    <row r="390" ht="15.75" customHeight="1">
      <c r="A390" s="3">
        <v>2044308.0</v>
      </c>
      <c r="B390" s="3" t="s">
        <v>116</v>
      </c>
      <c r="C390" s="3" t="s">
        <v>117</v>
      </c>
      <c r="D390" s="3" t="s">
        <v>46</v>
      </c>
      <c r="E390" s="3" t="s">
        <v>6557</v>
      </c>
      <c r="F390" s="3"/>
      <c r="G390" s="3" t="s">
        <v>119</v>
      </c>
      <c r="H390" s="3" t="s">
        <v>50</v>
      </c>
      <c r="I390" s="3">
        <v>111300.0</v>
      </c>
      <c r="J390" s="3"/>
      <c r="K390" s="3"/>
      <c r="L390" s="3" t="s">
        <v>1737</v>
      </c>
      <c r="M390" s="3" t="s">
        <v>6558</v>
      </c>
      <c r="N390" s="3" t="s">
        <v>186</v>
      </c>
      <c r="O390" s="3" t="s">
        <v>302</v>
      </c>
      <c r="P390" s="4">
        <v>44266.625</v>
      </c>
      <c r="Q390" s="3" t="s">
        <v>56</v>
      </c>
      <c r="R390" s="3"/>
      <c r="S390" s="3" t="s">
        <v>169</v>
      </c>
      <c r="T390" s="3">
        <v>5300108.0</v>
      </c>
      <c r="U390" s="3" t="s">
        <v>304</v>
      </c>
      <c r="V390" s="3" t="s">
        <v>305</v>
      </c>
      <c r="W390" s="3" t="s">
        <v>60</v>
      </c>
      <c r="X390" s="3"/>
      <c r="Y390" s="3"/>
      <c r="Z390" s="3" t="s">
        <v>306</v>
      </c>
      <c r="AA390" s="3" t="s">
        <v>5591</v>
      </c>
      <c r="AB390" s="3" t="str">
        <f>"10456016000167"</f>
        <v>10456016000167</v>
      </c>
      <c r="AC390" s="3"/>
      <c r="AD390" s="3"/>
      <c r="AE390" s="3"/>
      <c r="AF390" s="3">
        <v>-47.933056</v>
      </c>
      <c r="AG390" s="3">
        <v>-15.83</v>
      </c>
      <c r="AH390" s="3" t="s">
        <v>6559</v>
      </c>
      <c r="AI390" s="3"/>
      <c r="AJ390" s="3" t="s">
        <v>1737</v>
      </c>
      <c r="AK390" s="3"/>
      <c r="AL390" s="3" t="s">
        <v>128</v>
      </c>
      <c r="AM390" s="3" t="s">
        <v>65</v>
      </c>
      <c r="AN390" s="3" t="s">
        <v>1743</v>
      </c>
      <c r="AO390" s="4">
        <v>44267.0</v>
      </c>
      <c r="AP390" s="4">
        <v>44267.7232986111</v>
      </c>
      <c r="AQ390" s="3" t="s">
        <v>132</v>
      </c>
      <c r="AR390" s="3" t="s">
        <v>1745</v>
      </c>
      <c r="AS390" s="3" t="s">
        <v>6560</v>
      </c>
      <c r="AT390" s="4">
        <v>44281.0337152778</v>
      </c>
    </row>
    <row r="391" ht="15.75" customHeight="1">
      <c r="A391" s="3"/>
      <c r="B391" s="3" t="s">
        <v>46</v>
      </c>
      <c r="C391" s="3" t="s">
        <v>47</v>
      </c>
      <c r="D391" s="3"/>
      <c r="E391" s="3" t="s">
        <v>6561</v>
      </c>
      <c r="F391" s="3"/>
      <c r="G391" s="3" t="s">
        <v>49</v>
      </c>
      <c r="H391" s="3" t="s">
        <v>72</v>
      </c>
      <c r="I391" s="3">
        <v>39426.3</v>
      </c>
      <c r="J391" s="3"/>
      <c r="K391" s="3"/>
      <c r="L391" s="3"/>
      <c r="M391" s="3" t="s">
        <v>6562</v>
      </c>
      <c r="N391" s="3" t="s">
        <v>109</v>
      </c>
      <c r="O391" s="3" t="s">
        <v>110</v>
      </c>
      <c r="P391" s="4">
        <v>44266.6163657407</v>
      </c>
      <c r="Q391" s="3" t="s">
        <v>137</v>
      </c>
      <c r="R391" s="3"/>
      <c r="S391" s="3" t="s">
        <v>220</v>
      </c>
      <c r="T391" s="3">
        <v>1501402.0</v>
      </c>
      <c r="U391" s="3" t="s">
        <v>3880</v>
      </c>
      <c r="V391" s="3" t="s">
        <v>917</v>
      </c>
      <c r="W391" s="3" t="s">
        <v>100</v>
      </c>
      <c r="X391" s="3"/>
      <c r="Y391" s="3"/>
      <c r="Z391" s="3" t="s">
        <v>112</v>
      </c>
      <c r="AA391" s="3" t="s">
        <v>6563</v>
      </c>
      <c r="AB391" s="3" t="str">
        <f>"10526719000386"</f>
        <v>10526719000386</v>
      </c>
      <c r="AC391" s="3"/>
      <c r="AD391" s="3" t="s">
        <v>81</v>
      </c>
      <c r="AE391" s="3"/>
      <c r="AF391" s="3">
        <v>-48.453056</v>
      </c>
      <c r="AG391" s="3">
        <v>-1.2825</v>
      </c>
      <c r="AH391" s="3" t="s">
        <v>6564</v>
      </c>
      <c r="AI391" s="3"/>
      <c r="AJ391" s="3" t="s">
        <v>1346</v>
      </c>
      <c r="AK391" s="3"/>
      <c r="AL391" s="3"/>
      <c r="AM391" s="3" t="s">
        <v>65</v>
      </c>
      <c r="AN391" s="3"/>
      <c r="AO391" s="3"/>
      <c r="AP391" s="4">
        <v>44272.6004398148</v>
      </c>
      <c r="AQ391" s="3"/>
      <c r="AR391" s="3" t="s">
        <v>177</v>
      </c>
      <c r="AS391" s="3"/>
      <c r="AT391" s="4">
        <v>44281.0337152778</v>
      </c>
    </row>
    <row r="392" ht="15.75" customHeight="1">
      <c r="A392" s="3"/>
      <c r="B392" s="3" t="s">
        <v>46</v>
      </c>
      <c r="C392" s="3" t="s">
        <v>47</v>
      </c>
      <c r="D392" s="3"/>
      <c r="E392" s="3" t="s">
        <v>6565</v>
      </c>
      <c r="F392" s="3"/>
      <c r="G392" s="3" t="s">
        <v>49</v>
      </c>
      <c r="H392" s="3" t="s">
        <v>72</v>
      </c>
      <c r="I392" s="3">
        <v>15117.0</v>
      </c>
      <c r="J392" s="3"/>
      <c r="K392" s="3"/>
      <c r="L392" s="3"/>
      <c r="M392" s="3" t="s">
        <v>6566</v>
      </c>
      <c r="N392" s="3" t="s">
        <v>109</v>
      </c>
      <c r="O392" s="3" t="s">
        <v>110</v>
      </c>
      <c r="P392" s="4">
        <v>44266.5593287037</v>
      </c>
      <c r="Q392" s="3" t="s">
        <v>137</v>
      </c>
      <c r="R392" s="3"/>
      <c r="S392" s="3" t="s">
        <v>220</v>
      </c>
      <c r="T392" s="3">
        <v>1501402.0</v>
      </c>
      <c r="U392" s="3" t="s">
        <v>3880</v>
      </c>
      <c r="V392" s="3" t="s">
        <v>917</v>
      </c>
      <c r="W392" s="3" t="s">
        <v>100</v>
      </c>
      <c r="X392" s="3"/>
      <c r="Y392" s="3"/>
      <c r="Z392" s="3" t="s">
        <v>112</v>
      </c>
      <c r="AA392" s="3" t="s">
        <v>6567</v>
      </c>
      <c r="AB392" s="3" t="str">
        <f>"13324294000159"</f>
        <v>13324294000159</v>
      </c>
      <c r="AC392" s="3"/>
      <c r="AD392" s="3" t="s">
        <v>62</v>
      </c>
      <c r="AE392" s="3"/>
      <c r="AF392" s="3">
        <v>-48.453333</v>
      </c>
      <c r="AG392" s="3">
        <v>-1.277778</v>
      </c>
      <c r="AH392" s="3" t="s">
        <v>6568</v>
      </c>
      <c r="AI392" s="3"/>
      <c r="AJ392" s="3" t="s">
        <v>1346</v>
      </c>
      <c r="AK392" s="3"/>
      <c r="AL392" s="3"/>
      <c r="AM392" s="3" t="s">
        <v>65</v>
      </c>
      <c r="AN392" s="3"/>
      <c r="AO392" s="3"/>
      <c r="AP392" s="4">
        <v>44266.5679398148</v>
      </c>
      <c r="AQ392" s="3"/>
      <c r="AR392" s="3" t="s">
        <v>6569</v>
      </c>
      <c r="AS392" s="3" t="s">
        <v>6570</v>
      </c>
      <c r="AT392" s="4">
        <v>44281.0337152778</v>
      </c>
    </row>
    <row r="393" ht="15.75" customHeight="1">
      <c r="A393" s="3">
        <v>2044365.0</v>
      </c>
      <c r="B393" s="3" t="s">
        <v>116</v>
      </c>
      <c r="C393" s="3" t="s">
        <v>117</v>
      </c>
      <c r="D393" s="3" t="s">
        <v>46</v>
      </c>
      <c r="E393" s="3" t="s">
        <v>6571</v>
      </c>
      <c r="F393" s="3"/>
      <c r="G393" s="3" t="s">
        <v>119</v>
      </c>
      <c r="H393" s="3" t="s">
        <v>50</v>
      </c>
      <c r="I393" s="3">
        <v>310500.0</v>
      </c>
      <c r="J393" s="3"/>
      <c r="K393" s="3"/>
      <c r="L393" s="3" t="s">
        <v>327</v>
      </c>
      <c r="M393" s="3" t="s">
        <v>6572</v>
      </c>
      <c r="N393" s="3" t="s">
        <v>2737</v>
      </c>
      <c r="O393" s="3" t="s">
        <v>2738</v>
      </c>
      <c r="P393" s="4">
        <v>44266.5416666667</v>
      </c>
      <c r="Q393" s="3" t="s">
        <v>56</v>
      </c>
      <c r="R393" s="5">
        <v>44316.0</v>
      </c>
      <c r="S393" s="3" t="s">
        <v>1613</v>
      </c>
      <c r="T393" s="3">
        <v>5106752.0</v>
      </c>
      <c r="U393" s="3" t="s">
        <v>1640</v>
      </c>
      <c r="V393" s="3" t="s">
        <v>323</v>
      </c>
      <c r="W393" s="3" t="s">
        <v>100</v>
      </c>
      <c r="X393" s="3"/>
      <c r="Y393" s="3" t="str">
        <f>"02013000565202114"</f>
        <v>02013000565202114</v>
      </c>
      <c r="Z393" s="3" t="s">
        <v>2742</v>
      </c>
      <c r="AA393" s="3" t="s">
        <v>6573</v>
      </c>
      <c r="AB393" s="3" t="str">
        <f>"***768341**"</f>
        <v>***768341**</v>
      </c>
      <c r="AC393" s="3"/>
      <c r="AD393" s="3"/>
      <c r="AE393" s="3"/>
      <c r="AF393" s="3">
        <v>-59.505778</v>
      </c>
      <c r="AG393" s="3">
        <v>-14.972889</v>
      </c>
      <c r="AH393" s="3" t="s">
        <v>6574</v>
      </c>
      <c r="AI393" s="3"/>
      <c r="AJ393" s="3" t="s">
        <v>327</v>
      </c>
      <c r="AK393" s="3"/>
      <c r="AL393" s="3" t="s">
        <v>128</v>
      </c>
      <c r="AM393" s="3" t="s">
        <v>65</v>
      </c>
      <c r="AN393" s="3" t="s">
        <v>274</v>
      </c>
      <c r="AO393" s="4">
        <v>44270.0</v>
      </c>
      <c r="AP393" s="4">
        <v>44270.6570949074</v>
      </c>
      <c r="AQ393" s="3" t="s">
        <v>132</v>
      </c>
      <c r="AR393" s="3" t="s">
        <v>1242</v>
      </c>
      <c r="AS393" s="3"/>
      <c r="AT393" s="4">
        <v>44281.0337152778</v>
      </c>
    </row>
    <row r="394" ht="15.75" customHeight="1">
      <c r="A394" s="3">
        <v>2044401.0</v>
      </c>
      <c r="B394" s="3" t="s">
        <v>116</v>
      </c>
      <c r="C394" s="3" t="s">
        <v>117</v>
      </c>
      <c r="D394" s="3" t="s">
        <v>46</v>
      </c>
      <c r="E394" s="3" t="s">
        <v>6575</v>
      </c>
      <c r="F394" s="3"/>
      <c r="G394" s="3" t="s">
        <v>119</v>
      </c>
      <c r="H394" s="3" t="s">
        <v>50</v>
      </c>
      <c r="I394" s="3">
        <v>83800.0</v>
      </c>
      <c r="J394" s="3"/>
      <c r="K394" s="3"/>
      <c r="L394" s="3" t="s">
        <v>142</v>
      </c>
      <c r="M394" s="3" t="s">
        <v>6576</v>
      </c>
      <c r="N394" s="3" t="s">
        <v>74</v>
      </c>
      <c r="O394" s="3" t="s">
        <v>75</v>
      </c>
      <c r="P394" s="4">
        <v>44266.5416666667</v>
      </c>
      <c r="Q394" s="3" t="s">
        <v>56</v>
      </c>
      <c r="R394" s="5">
        <v>44266.0</v>
      </c>
      <c r="S394" s="3" t="s">
        <v>220</v>
      </c>
      <c r="T394" s="3">
        <v>3518701.0</v>
      </c>
      <c r="U394" s="3" t="s">
        <v>6577</v>
      </c>
      <c r="V394" s="3" t="s">
        <v>139</v>
      </c>
      <c r="W394" s="3" t="s">
        <v>60</v>
      </c>
      <c r="X394" s="3"/>
      <c r="Y394" s="3"/>
      <c r="Z394" s="3" t="s">
        <v>79</v>
      </c>
      <c r="AA394" s="3" t="s">
        <v>6578</v>
      </c>
      <c r="AB394" s="3" t="str">
        <f>"***140318**"</f>
        <v>***140318**</v>
      </c>
      <c r="AC394" s="3"/>
      <c r="AD394" s="3"/>
      <c r="AE394" s="3"/>
      <c r="AF394" s="3">
        <v>-46.281111</v>
      </c>
      <c r="AG394" s="3">
        <v>-23.983056</v>
      </c>
      <c r="AH394" s="3" t="s">
        <v>6579</v>
      </c>
      <c r="AI394" s="3"/>
      <c r="AJ394" s="3" t="s">
        <v>142</v>
      </c>
      <c r="AK394" s="3"/>
      <c r="AL394" s="3" t="s">
        <v>128</v>
      </c>
      <c r="AM394" s="3" t="s">
        <v>65</v>
      </c>
      <c r="AN394" s="3" t="s">
        <v>5559</v>
      </c>
      <c r="AO394" s="4">
        <v>44271.0</v>
      </c>
      <c r="AP394" s="4">
        <v>44271.4445138889</v>
      </c>
      <c r="AQ394" s="3" t="s">
        <v>132</v>
      </c>
      <c r="AR394" s="3" t="s">
        <v>6112</v>
      </c>
      <c r="AS394" s="3"/>
      <c r="AT394" s="4">
        <v>44281.0337152778</v>
      </c>
    </row>
    <row r="395" ht="15.75" customHeight="1">
      <c r="A395" s="3"/>
      <c r="B395" s="3" t="s">
        <v>46</v>
      </c>
      <c r="C395" s="3" t="s">
        <v>571</v>
      </c>
      <c r="D395" s="3" t="s">
        <v>116</v>
      </c>
      <c r="E395" s="3" t="s">
        <v>6580</v>
      </c>
      <c r="F395" s="3"/>
      <c r="G395" s="3" t="s">
        <v>49</v>
      </c>
      <c r="H395" s="3" t="s">
        <v>72</v>
      </c>
      <c r="I395" s="3">
        <v>151170.0</v>
      </c>
      <c r="J395" s="3"/>
      <c r="K395" s="3"/>
      <c r="L395" s="3"/>
      <c r="M395" s="3" t="s">
        <v>6581</v>
      </c>
      <c r="N395" s="3" t="s">
        <v>109</v>
      </c>
      <c r="O395" s="3" t="s">
        <v>110</v>
      </c>
      <c r="P395" s="4">
        <v>44266.5353935185</v>
      </c>
      <c r="Q395" s="3" t="s">
        <v>137</v>
      </c>
      <c r="R395" s="3"/>
      <c r="S395" s="3" t="s">
        <v>220</v>
      </c>
      <c r="T395" s="3">
        <v>1501402.0</v>
      </c>
      <c r="U395" s="3" t="s">
        <v>3880</v>
      </c>
      <c r="V395" s="3" t="s">
        <v>917</v>
      </c>
      <c r="W395" s="3" t="s">
        <v>100</v>
      </c>
      <c r="X395" s="3"/>
      <c r="Y395" s="3"/>
      <c r="Z395" s="3" t="s">
        <v>112</v>
      </c>
      <c r="AA395" s="3" t="s">
        <v>6582</v>
      </c>
      <c r="AB395" s="3" t="str">
        <f>"13324294000159"</f>
        <v>13324294000159</v>
      </c>
      <c r="AC395" s="3"/>
      <c r="AD395" s="3" t="s">
        <v>62</v>
      </c>
      <c r="AE395" s="3"/>
      <c r="AF395" s="3">
        <v>-48.453333</v>
      </c>
      <c r="AG395" s="3">
        <v>-1.277778</v>
      </c>
      <c r="AH395" s="3" t="s">
        <v>6583</v>
      </c>
      <c r="AI395" s="3"/>
      <c r="AJ395" s="3" t="s">
        <v>1346</v>
      </c>
      <c r="AK395" s="3"/>
      <c r="AL395" s="3"/>
      <c r="AM395" s="3" t="s">
        <v>65</v>
      </c>
      <c r="AN395" s="3"/>
      <c r="AO395" s="3"/>
      <c r="AP395" s="4">
        <v>44266.5545601852</v>
      </c>
      <c r="AQ395" s="3"/>
      <c r="AR395" s="3" t="s">
        <v>6569</v>
      </c>
      <c r="AS395" s="3" t="s">
        <v>6584</v>
      </c>
      <c r="AT395" s="4">
        <v>44281.0337152778</v>
      </c>
    </row>
    <row r="396" ht="15.75" customHeight="1">
      <c r="A396" s="3"/>
      <c r="B396" s="3" t="s">
        <v>46</v>
      </c>
      <c r="C396" s="3" t="s">
        <v>571</v>
      </c>
      <c r="D396" s="3" t="s">
        <v>116</v>
      </c>
      <c r="E396" s="3" t="s">
        <v>6585</v>
      </c>
      <c r="F396" s="3"/>
      <c r="G396" s="3" t="s">
        <v>49</v>
      </c>
      <c r="H396" s="3" t="s">
        <v>50</v>
      </c>
      <c r="I396" s="3">
        <v>310500.0</v>
      </c>
      <c r="J396" s="3"/>
      <c r="K396" s="3" t="s">
        <v>92</v>
      </c>
      <c r="L396" s="3"/>
      <c r="M396" s="3"/>
      <c r="N396" s="3" t="s">
        <v>2737</v>
      </c>
      <c r="O396" s="3" t="s">
        <v>2738</v>
      </c>
      <c r="P396" s="4">
        <v>44266.5222916667</v>
      </c>
      <c r="Q396" s="3" t="s">
        <v>56</v>
      </c>
      <c r="R396" s="3"/>
      <c r="S396" s="3" t="s">
        <v>1613</v>
      </c>
      <c r="T396" s="3">
        <v>5106752.0</v>
      </c>
      <c r="U396" s="3" t="s">
        <v>1640</v>
      </c>
      <c r="V396" s="3" t="s">
        <v>323</v>
      </c>
      <c r="W396" s="3" t="s">
        <v>100</v>
      </c>
      <c r="X396" s="3"/>
      <c r="Y396" s="3"/>
      <c r="Z396" s="3" t="s">
        <v>2742</v>
      </c>
      <c r="AA396" s="3" t="s">
        <v>6573</v>
      </c>
      <c r="AB396" s="3" t="str">
        <f>"***768341**"</f>
        <v>***768341**</v>
      </c>
      <c r="AC396" s="3"/>
      <c r="AD396" s="3" t="s">
        <v>62</v>
      </c>
      <c r="AE396" s="3"/>
      <c r="AF396" s="3">
        <v>-59.505778</v>
      </c>
      <c r="AG396" s="3">
        <v>-14.972889</v>
      </c>
      <c r="AH396" s="3" t="s">
        <v>6586</v>
      </c>
      <c r="AI396" s="3"/>
      <c r="AJ396" s="3" t="s">
        <v>327</v>
      </c>
      <c r="AK396" s="3"/>
      <c r="AL396" s="3"/>
      <c r="AM396" s="3" t="s">
        <v>65</v>
      </c>
      <c r="AN396" s="3" t="s">
        <v>274</v>
      </c>
      <c r="AO396" s="3"/>
      <c r="AP396" s="4">
        <v>44266.5304050926</v>
      </c>
      <c r="AQ396" s="3"/>
      <c r="AR396" s="3" t="s">
        <v>339</v>
      </c>
      <c r="AS396" s="3"/>
      <c r="AT396" s="4">
        <v>44281.0337152778</v>
      </c>
    </row>
    <row r="397" ht="15.75" customHeight="1">
      <c r="A397" s="3"/>
      <c r="B397" s="3" t="s">
        <v>46</v>
      </c>
      <c r="C397" s="3" t="s">
        <v>571</v>
      </c>
      <c r="D397" s="3" t="s">
        <v>116</v>
      </c>
      <c r="E397" s="3" t="s">
        <v>6587</v>
      </c>
      <c r="F397" s="3"/>
      <c r="G397" s="3" t="s">
        <v>49</v>
      </c>
      <c r="H397" s="3" t="s">
        <v>50</v>
      </c>
      <c r="I397" s="3">
        <v>1100.0</v>
      </c>
      <c r="J397" s="3"/>
      <c r="K397" s="3" t="s">
        <v>51</v>
      </c>
      <c r="L397" s="3"/>
      <c r="M397" s="3" t="s">
        <v>6588</v>
      </c>
      <c r="N397" s="3" t="s">
        <v>285</v>
      </c>
      <c r="O397" s="3" t="s">
        <v>286</v>
      </c>
      <c r="P397" s="4">
        <v>44266.5146180556</v>
      </c>
      <c r="Q397" s="3" t="s">
        <v>56</v>
      </c>
      <c r="R397" s="5">
        <v>44270.0</v>
      </c>
      <c r="S397" s="3" t="s">
        <v>488</v>
      </c>
      <c r="T397" s="3">
        <v>1707009.0</v>
      </c>
      <c r="U397" s="3" t="s">
        <v>5306</v>
      </c>
      <c r="V397" s="3" t="s">
        <v>490</v>
      </c>
      <c r="W397" s="3" t="s">
        <v>172</v>
      </c>
      <c r="X397" s="3"/>
      <c r="Y397" s="3"/>
      <c r="Z397" s="3" t="s">
        <v>292</v>
      </c>
      <c r="AA397" s="3" t="s">
        <v>5307</v>
      </c>
      <c r="AB397" s="3" t="str">
        <f>"03613579000156"</f>
        <v>03613579000156</v>
      </c>
      <c r="AC397" s="3"/>
      <c r="AD397" s="3" t="s">
        <v>81</v>
      </c>
      <c r="AE397" s="3"/>
      <c r="AF397" s="3">
        <v>-48.332778</v>
      </c>
      <c r="AG397" s="3">
        <v>-10.208611</v>
      </c>
      <c r="AH397" s="3" t="s">
        <v>6589</v>
      </c>
      <c r="AI397" s="3"/>
      <c r="AJ397" s="3" t="s">
        <v>485</v>
      </c>
      <c r="AK397" s="3"/>
      <c r="AL397" s="3"/>
      <c r="AM397" s="3" t="s">
        <v>65</v>
      </c>
      <c r="AN397" s="3" t="s">
        <v>296</v>
      </c>
      <c r="AO397" s="3"/>
      <c r="AP397" s="4">
        <v>44266.5486574074</v>
      </c>
      <c r="AQ397" s="3"/>
      <c r="AR397" s="3" t="s">
        <v>298</v>
      </c>
      <c r="AS397" s="3"/>
      <c r="AT397" s="4">
        <v>44281.0337152778</v>
      </c>
    </row>
    <row r="398" ht="15.75" customHeight="1">
      <c r="A398" s="3">
        <v>2044694.0</v>
      </c>
      <c r="B398" s="3" t="s">
        <v>116</v>
      </c>
      <c r="C398" s="3" t="s">
        <v>117</v>
      </c>
      <c r="D398" s="3" t="s">
        <v>46</v>
      </c>
      <c r="E398" s="3" t="s">
        <v>6590</v>
      </c>
      <c r="F398" s="3"/>
      <c r="G398" s="3" t="s">
        <v>119</v>
      </c>
      <c r="H398" s="3" t="s">
        <v>50</v>
      </c>
      <c r="I398" s="3">
        <v>700.0</v>
      </c>
      <c r="J398" s="3"/>
      <c r="K398" s="3"/>
      <c r="L398" s="3" t="s">
        <v>405</v>
      </c>
      <c r="M398" s="3" t="s">
        <v>6591</v>
      </c>
      <c r="N398" s="3" t="s">
        <v>74</v>
      </c>
      <c r="O398" s="3" t="s">
        <v>75</v>
      </c>
      <c r="P398" s="4">
        <v>44266.5</v>
      </c>
      <c r="Q398" s="3" t="s">
        <v>56</v>
      </c>
      <c r="R398" s="5">
        <v>44266.0</v>
      </c>
      <c r="S398" s="3" t="s">
        <v>400</v>
      </c>
      <c r="T398" s="3">
        <v>4313508.0</v>
      </c>
      <c r="U398" s="3" t="s">
        <v>5094</v>
      </c>
      <c r="V398" s="3" t="s">
        <v>402</v>
      </c>
      <c r="W398" s="3" t="s">
        <v>60</v>
      </c>
      <c r="X398" s="3"/>
      <c r="Y398" s="3" t="str">
        <f>"02023000636202151"</f>
        <v>02023000636202151</v>
      </c>
      <c r="Z398" s="3" t="s">
        <v>79</v>
      </c>
      <c r="AA398" s="3" t="s">
        <v>6592</v>
      </c>
      <c r="AB398" s="3" t="str">
        <f>"***118390**"</f>
        <v>***118390**</v>
      </c>
      <c r="AC398" s="3"/>
      <c r="AD398" s="3"/>
      <c r="AE398" s="3"/>
      <c r="AF398" s="3">
        <v>-50.110944</v>
      </c>
      <c r="AG398" s="3">
        <v>-29.870528</v>
      </c>
      <c r="AH398" s="3" t="s">
        <v>6593</v>
      </c>
      <c r="AI398" s="3"/>
      <c r="AJ398" s="3" t="s">
        <v>405</v>
      </c>
      <c r="AK398" s="3"/>
      <c r="AL398" s="3" t="s">
        <v>128</v>
      </c>
      <c r="AM398" s="3" t="s">
        <v>65</v>
      </c>
      <c r="AN398" s="3" t="s">
        <v>83</v>
      </c>
      <c r="AO398" s="4">
        <v>44280.0</v>
      </c>
      <c r="AP398" s="4">
        <v>44280.4574189815</v>
      </c>
      <c r="AQ398" s="3" t="s">
        <v>132</v>
      </c>
      <c r="AR398" s="3" t="s">
        <v>3121</v>
      </c>
      <c r="AS398" s="3"/>
      <c r="AT398" s="4">
        <v>44281.0337152778</v>
      </c>
    </row>
    <row r="399" ht="15.75" customHeight="1">
      <c r="A399" s="3">
        <v>2044696.0</v>
      </c>
      <c r="B399" s="3" t="s">
        <v>116</v>
      </c>
      <c r="C399" s="3" t="s">
        <v>117</v>
      </c>
      <c r="D399" s="3" t="s">
        <v>46</v>
      </c>
      <c r="E399" s="3" t="s">
        <v>6594</v>
      </c>
      <c r="F399" s="3"/>
      <c r="G399" s="3" t="s">
        <v>119</v>
      </c>
      <c r="H399" s="3" t="s">
        <v>50</v>
      </c>
      <c r="I399" s="3">
        <v>700.0</v>
      </c>
      <c r="J399" s="3"/>
      <c r="K399" s="3"/>
      <c r="L399" s="3" t="s">
        <v>405</v>
      </c>
      <c r="M399" s="3" t="s">
        <v>6591</v>
      </c>
      <c r="N399" s="3" t="s">
        <v>74</v>
      </c>
      <c r="O399" s="3" t="s">
        <v>75</v>
      </c>
      <c r="P399" s="4">
        <v>44266.5</v>
      </c>
      <c r="Q399" s="3" t="s">
        <v>56</v>
      </c>
      <c r="R399" s="5">
        <v>44270.0</v>
      </c>
      <c r="S399" s="3" t="s">
        <v>400</v>
      </c>
      <c r="T399" s="3">
        <v>4313508.0</v>
      </c>
      <c r="U399" s="3" t="s">
        <v>5094</v>
      </c>
      <c r="V399" s="3" t="s">
        <v>402</v>
      </c>
      <c r="W399" s="3" t="s">
        <v>60</v>
      </c>
      <c r="X399" s="3"/>
      <c r="Y399" s="3" t="str">
        <f>"02023000637202104"</f>
        <v>02023000637202104</v>
      </c>
      <c r="Z399" s="3" t="s">
        <v>79</v>
      </c>
      <c r="AA399" s="3" t="s">
        <v>6595</v>
      </c>
      <c r="AB399" s="3" t="str">
        <f>"***465060**"</f>
        <v>***465060**</v>
      </c>
      <c r="AC399" s="3"/>
      <c r="AD399" s="3"/>
      <c r="AE399" s="3"/>
      <c r="AF399" s="3">
        <v>-50.102611</v>
      </c>
      <c r="AG399" s="3">
        <v>-29.870111</v>
      </c>
      <c r="AH399" s="3" t="s">
        <v>6593</v>
      </c>
      <c r="AI399" s="3"/>
      <c r="AJ399" s="3" t="s">
        <v>405</v>
      </c>
      <c r="AK399" s="3"/>
      <c r="AL399" s="3" t="s">
        <v>128</v>
      </c>
      <c r="AM399" s="3" t="s">
        <v>65</v>
      </c>
      <c r="AN399" s="3" t="s">
        <v>83</v>
      </c>
      <c r="AO399" s="4">
        <v>44280.0</v>
      </c>
      <c r="AP399" s="4">
        <v>44280.4581712963</v>
      </c>
      <c r="AQ399" s="3" t="s">
        <v>132</v>
      </c>
      <c r="AR399" s="3" t="s">
        <v>3121</v>
      </c>
      <c r="AS399" s="3"/>
      <c r="AT399" s="4">
        <v>44281.0337152778</v>
      </c>
    </row>
    <row r="400" ht="15.75" customHeight="1">
      <c r="A400" s="3">
        <v>2044698.0</v>
      </c>
      <c r="B400" s="3" t="s">
        <v>116</v>
      </c>
      <c r="C400" s="3" t="s">
        <v>117</v>
      </c>
      <c r="D400" s="3" t="s">
        <v>46</v>
      </c>
      <c r="E400" s="3" t="s">
        <v>6596</v>
      </c>
      <c r="F400" s="3"/>
      <c r="G400" s="3" t="s">
        <v>119</v>
      </c>
      <c r="H400" s="3" t="s">
        <v>50</v>
      </c>
      <c r="I400" s="3">
        <v>700.0</v>
      </c>
      <c r="J400" s="3"/>
      <c r="K400" s="3"/>
      <c r="L400" s="3" t="s">
        <v>405</v>
      </c>
      <c r="M400" s="3" t="s">
        <v>6591</v>
      </c>
      <c r="N400" s="3" t="s">
        <v>74</v>
      </c>
      <c r="O400" s="3" t="s">
        <v>75</v>
      </c>
      <c r="P400" s="4">
        <v>44266.5</v>
      </c>
      <c r="Q400" s="3" t="s">
        <v>56</v>
      </c>
      <c r="R400" s="5">
        <v>44270.0</v>
      </c>
      <c r="S400" s="3" t="s">
        <v>400</v>
      </c>
      <c r="T400" s="3">
        <v>4313508.0</v>
      </c>
      <c r="U400" s="3" t="s">
        <v>5094</v>
      </c>
      <c r="V400" s="3" t="s">
        <v>402</v>
      </c>
      <c r="W400" s="3" t="s">
        <v>60</v>
      </c>
      <c r="X400" s="3"/>
      <c r="Y400" s="3" t="str">
        <f>"02023000639202195"</f>
        <v>02023000639202195</v>
      </c>
      <c r="Z400" s="3" t="s">
        <v>79</v>
      </c>
      <c r="AA400" s="3" t="s">
        <v>6597</v>
      </c>
      <c r="AB400" s="3" t="str">
        <f>"***722300**"</f>
        <v>***722300**</v>
      </c>
      <c r="AC400" s="3"/>
      <c r="AD400" s="3"/>
      <c r="AE400" s="3"/>
      <c r="AF400" s="3">
        <v>-50.1025</v>
      </c>
      <c r="AG400" s="3">
        <v>-29.870417</v>
      </c>
      <c r="AH400" s="3" t="s">
        <v>6593</v>
      </c>
      <c r="AI400" s="3"/>
      <c r="AJ400" s="3" t="s">
        <v>405</v>
      </c>
      <c r="AK400" s="3"/>
      <c r="AL400" s="3" t="s">
        <v>128</v>
      </c>
      <c r="AM400" s="3" t="s">
        <v>65</v>
      </c>
      <c r="AN400" s="3" t="s">
        <v>83</v>
      </c>
      <c r="AO400" s="4">
        <v>44280.0</v>
      </c>
      <c r="AP400" s="4">
        <v>44280.4597569444</v>
      </c>
      <c r="AQ400" s="3" t="s">
        <v>132</v>
      </c>
      <c r="AR400" s="3" t="s">
        <v>3121</v>
      </c>
      <c r="AS400" s="3"/>
      <c r="AT400" s="4">
        <v>44281.0337152778</v>
      </c>
    </row>
    <row r="401" ht="15.75" customHeight="1">
      <c r="A401" s="3"/>
      <c r="B401" s="3" t="s">
        <v>46</v>
      </c>
      <c r="C401" s="3" t="s">
        <v>47</v>
      </c>
      <c r="D401" s="3"/>
      <c r="E401" s="3" t="s">
        <v>6598</v>
      </c>
      <c r="F401" s="3"/>
      <c r="G401" s="3" t="s">
        <v>49</v>
      </c>
      <c r="H401" s="3" t="s">
        <v>50</v>
      </c>
      <c r="I401" s="3">
        <v>1400.0</v>
      </c>
      <c r="J401" s="3"/>
      <c r="K401" s="3" t="s">
        <v>92</v>
      </c>
      <c r="L401" s="3"/>
      <c r="M401" s="3" t="s">
        <v>6599</v>
      </c>
      <c r="N401" s="3" t="s">
        <v>74</v>
      </c>
      <c r="O401" s="3" t="s">
        <v>75</v>
      </c>
      <c r="P401" s="4">
        <v>44266.4923726852</v>
      </c>
      <c r="Q401" s="3" t="s">
        <v>77</v>
      </c>
      <c r="R401" s="3"/>
      <c r="S401" s="3" t="s">
        <v>1613</v>
      </c>
      <c r="T401" s="3">
        <v>5103106.0</v>
      </c>
      <c r="U401" s="3" t="s">
        <v>5787</v>
      </c>
      <c r="V401" s="3" t="s">
        <v>323</v>
      </c>
      <c r="W401" s="3" t="s">
        <v>172</v>
      </c>
      <c r="X401" s="3"/>
      <c r="Y401" s="3"/>
      <c r="Z401" s="3" t="s">
        <v>79</v>
      </c>
      <c r="AA401" s="3" t="s">
        <v>6600</v>
      </c>
      <c r="AB401" s="3" t="str">
        <f>"***479398**"</f>
        <v>***479398**</v>
      </c>
      <c r="AC401" s="3"/>
      <c r="AD401" s="3" t="s">
        <v>81</v>
      </c>
      <c r="AE401" s="3"/>
      <c r="AF401" s="3">
        <v>-50.657222</v>
      </c>
      <c r="AG401" s="3">
        <v>-13.0075</v>
      </c>
      <c r="AH401" s="3" t="s">
        <v>6601</v>
      </c>
      <c r="AI401" s="3"/>
      <c r="AJ401" s="3" t="s">
        <v>5396</v>
      </c>
      <c r="AK401" s="3"/>
      <c r="AL401" s="3"/>
      <c r="AM401" s="3" t="s">
        <v>65</v>
      </c>
      <c r="AN401" s="3" t="s">
        <v>5397</v>
      </c>
      <c r="AO401" s="3"/>
      <c r="AP401" s="4">
        <v>44266.5092708333</v>
      </c>
      <c r="AQ401" s="3"/>
      <c r="AR401" s="3" t="s">
        <v>5758</v>
      </c>
      <c r="AS401" s="3" t="s">
        <v>6602</v>
      </c>
      <c r="AT401" s="4">
        <v>44281.0337152778</v>
      </c>
    </row>
    <row r="402" ht="15.75" customHeight="1">
      <c r="A402" s="3"/>
      <c r="B402" s="3" t="s">
        <v>46</v>
      </c>
      <c r="C402" s="3" t="s">
        <v>47</v>
      </c>
      <c r="D402" s="3"/>
      <c r="E402" s="3" t="s">
        <v>6603</v>
      </c>
      <c r="F402" s="3"/>
      <c r="G402" s="3" t="s">
        <v>49</v>
      </c>
      <c r="H402" s="3" t="s">
        <v>72</v>
      </c>
      <c r="I402" s="3">
        <v>9000.0</v>
      </c>
      <c r="J402" s="3"/>
      <c r="K402" s="3"/>
      <c r="L402" s="3"/>
      <c r="M402" s="3" t="s">
        <v>6604</v>
      </c>
      <c r="N402" s="3" t="s">
        <v>285</v>
      </c>
      <c r="O402" s="3" t="s">
        <v>286</v>
      </c>
      <c r="P402" s="4">
        <v>44266.4724189815</v>
      </c>
      <c r="Q402" s="3" t="s">
        <v>56</v>
      </c>
      <c r="R402" s="3"/>
      <c r="S402" s="3" t="s">
        <v>400</v>
      </c>
      <c r="T402" s="3">
        <v>4314407.0</v>
      </c>
      <c r="U402" s="3" t="s">
        <v>1649</v>
      </c>
      <c r="V402" s="3" t="s">
        <v>402</v>
      </c>
      <c r="W402" s="3" t="s">
        <v>60</v>
      </c>
      <c r="X402" s="3"/>
      <c r="Y402" s="3"/>
      <c r="Z402" s="3" t="s">
        <v>292</v>
      </c>
      <c r="AA402" s="3" t="s">
        <v>6605</v>
      </c>
      <c r="AB402" s="3" t="str">
        <f>"94773546000471"</f>
        <v>94773546000471</v>
      </c>
      <c r="AC402" s="3"/>
      <c r="AD402" s="3" t="s">
        <v>62</v>
      </c>
      <c r="AE402" s="3"/>
      <c r="AF402" s="3">
        <v>-52.344556</v>
      </c>
      <c r="AG402" s="3">
        <v>-31.764583</v>
      </c>
      <c r="AH402" s="3" t="s">
        <v>6606</v>
      </c>
      <c r="AI402" s="3"/>
      <c r="AJ402" s="3" t="s">
        <v>405</v>
      </c>
      <c r="AK402" s="3"/>
      <c r="AL402" s="3"/>
      <c r="AM402" s="3" t="s">
        <v>65</v>
      </c>
      <c r="AN402" s="3" t="s">
        <v>1302</v>
      </c>
      <c r="AO402" s="3"/>
      <c r="AP402" s="4">
        <v>44266.4788657407</v>
      </c>
      <c r="AQ402" s="3"/>
      <c r="AR402" s="3" t="s">
        <v>803</v>
      </c>
      <c r="AS402" s="3" t="s">
        <v>6607</v>
      </c>
      <c r="AT402" s="4">
        <v>44281.0337152778</v>
      </c>
    </row>
    <row r="403" ht="15.75" customHeight="1">
      <c r="A403" s="3">
        <v>2044262.0</v>
      </c>
      <c r="B403" s="3" t="s">
        <v>116</v>
      </c>
      <c r="C403" s="3" t="s">
        <v>117</v>
      </c>
      <c r="D403" s="3" t="s">
        <v>46</v>
      </c>
      <c r="E403" s="3" t="s">
        <v>6608</v>
      </c>
      <c r="F403" s="3"/>
      <c r="G403" s="3" t="s">
        <v>119</v>
      </c>
      <c r="H403" s="3" t="s">
        <v>50</v>
      </c>
      <c r="I403" s="3">
        <v>1000.0</v>
      </c>
      <c r="J403" s="3"/>
      <c r="K403" s="3"/>
      <c r="L403" s="3" t="s">
        <v>295</v>
      </c>
      <c r="M403" s="3" t="s">
        <v>525</v>
      </c>
      <c r="N403" s="3" t="s">
        <v>186</v>
      </c>
      <c r="O403" s="3" t="s">
        <v>95</v>
      </c>
      <c r="P403" s="4">
        <v>44266.4583333333</v>
      </c>
      <c r="Q403" s="3" t="s">
        <v>56</v>
      </c>
      <c r="R403" s="5">
        <v>44266.0</v>
      </c>
      <c r="S403" s="3" t="s">
        <v>288</v>
      </c>
      <c r="T403" s="3">
        <v>2211001.0</v>
      </c>
      <c r="U403" s="3" t="s">
        <v>527</v>
      </c>
      <c r="V403" s="3" t="s">
        <v>290</v>
      </c>
      <c r="W403" s="3" t="s">
        <v>172</v>
      </c>
      <c r="X403" s="3"/>
      <c r="Y403" s="3" t="str">
        <f>"02020000416202158"</f>
        <v>02020000416202158</v>
      </c>
      <c r="Z403" s="3" t="s">
        <v>101</v>
      </c>
      <c r="AA403" s="3" t="s">
        <v>6609</v>
      </c>
      <c r="AB403" s="3" t="str">
        <f>"02195504000130"</f>
        <v>02195504000130</v>
      </c>
      <c r="AC403" s="3"/>
      <c r="AD403" s="3"/>
      <c r="AE403" s="3"/>
      <c r="AF403" s="3">
        <v>-42.783889</v>
      </c>
      <c r="AG403" s="3">
        <v>-5.064722</v>
      </c>
      <c r="AH403" s="3" t="s">
        <v>354</v>
      </c>
      <c r="AI403" s="3"/>
      <c r="AJ403" s="3" t="s">
        <v>295</v>
      </c>
      <c r="AK403" s="3"/>
      <c r="AL403" s="3" t="s">
        <v>128</v>
      </c>
      <c r="AM403" s="3" t="s">
        <v>65</v>
      </c>
      <c r="AN403" s="3" t="s">
        <v>296</v>
      </c>
      <c r="AO403" s="4">
        <v>44266.0</v>
      </c>
      <c r="AP403" s="4">
        <v>44266.6542939815</v>
      </c>
      <c r="AQ403" s="3" t="s">
        <v>132</v>
      </c>
      <c r="AR403" s="3" t="s">
        <v>531</v>
      </c>
      <c r="AS403" s="3"/>
      <c r="AT403" s="4">
        <v>44281.0337152778</v>
      </c>
    </row>
    <row r="404" ht="15.75" customHeight="1">
      <c r="A404" s="3">
        <v>2044357.0</v>
      </c>
      <c r="B404" s="3" t="s">
        <v>116</v>
      </c>
      <c r="C404" s="3" t="s">
        <v>117</v>
      </c>
      <c r="D404" s="3" t="s">
        <v>46</v>
      </c>
      <c r="E404" s="3" t="s">
        <v>6610</v>
      </c>
      <c r="F404" s="3"/>
      <c r="G404" s="3" t="s">
        <v>119</v>
      </c>
      <c r="H404" s="3" t="s">
        <v>50</v>
      </c>
      <c r="I404" s="3">
        <v>310500.0</v>
      </c>
      <c r="J404" s="3"/>
      <c r="K404" s="3"/>
      <c r="L404" s="3" t="s">
        <v>327</v>
      </c>
      <c r="M404" s="3" t="s">
        <v>6611</v>
      </c>
      <c r="N404" s="3" t="s">
        <v>2737</v>
      </c>
      <c r="O404" s="3" t="s">
        <v>2738</v>
      </c>
      <c r="P404" s="4">
        <v>44266.4583333333</v>
      </c>
      <c r="Q404" s="3" t="s">
        <v>56</v>
      </c>
      <c r="R404" s="5">
        <v>44316.0</v>
      </c>
      <c r="S404" s="3" t="s">
        <v>1613</v>
      </c>
      <c r="T404" s="3">
        <v>5106752.0</v>
      </c>
      <c r="U404" s="3" t="s">
        <v>1640</v>
      </c>
      <c r="V404" s="3" t="s">
        <v>323</v>
      </c>
      <c r="W404" s="3" t="s">
        <v>100</v>
      </c>
      <c r="X404" s="3"/>
      <c r="Y404" s="3" t="str">
        <f>"02013000561202128"</f>
        <v>02013000561202128</v>
      </c>
      <c r="Z404" s="3" t="s">
        <v>2742</v>
      </c>
      <c r="AA404" s="3" t="s">
        <v>6612</v>
      </c>
      <c r="AB404" s="3" t="str">
        <f>"***670592**"</f>
        <v>***670592**</v>
      </c>
      <c r="AC404" s="3"/>
      <c r="AD404" s="3"/>
      <c r="AE404" s="3"/>
      <c r="AF404" s="3">
        <v>-59.505778</v>
      </c>
      <c r="AG404" s="3">
        <v>-14.967289</v>
      </c>
      <c r="AH404" s="3" t="s">
        <v>6613</v>
      </c>
      <c r="AI404" s="3"/>
      <c r="AJ404" s="3" t="s">
        <v>327</v>
      </c>
      <c r="AK404" s="3"/>
      <c r="AL404" s="3" t="s">
        <v>128</v>
      </c>
      <c r="AM404" s="3" t="s">
        <v>65</v>
      </c>
      <c r="AN404" s="3" t="s">
        <v>274</v>
      </c>
      <c r="AO404" s="4">
        <v>44270.0</v>
      </c>
      <c r="AP404" s="4">
        <v>44270.584849537</v>
      </c>
      <c r="AQ404" s="3" t="s">
        <v>132</v>
      </c>
      <c r="AR404" s="3" t="s">
        <v>1242</v>
      </c>
      <c r="AS404" s="3"/>
      <c r="AT404" s="4">
        <v>44281.0337152778</v>
      </c>
    </row>
    <row r="405" ht="15.75" customHeight="1">
      <c r="A405" s="3">
        <v>2044576.0</v>
      </c>
      <c r="B405" s="3" t="s">
        <v>116</v>
      </c>
      <c r="C405" s="3" t="s">
        <v>117</v>
      </c>
      <c r="D405" s="3" t="s">
        <v>46</v>
      </c>
      <c r="E405" s="3" t="s">
        <v>6614</v>
      </c>
      <c r="F405" s="3"/>
      <c r="G405" s="3" t="s">
        <v>119</v>
      </c>
      <c r="H405" s="3" t="s">
        <v>72</v>
      </c>
      <c r="I405" s="3">
        <v>90000.0</v>
      </c>
      <c r="J405" s="3"/>
      <c r="K405" s="3"/>
      <c r="L405" s="3" t="s">
        <v>120</v>
      </c>
      <c r="M405" s="3" t="s">
        <v>6615</v>
      </c>
      <c r="N405" s="3" t="s">
        <v>109</v>
      </c>
      <c r="O405" s="3" t="s">
        <v>110</v>
      </c>
      <c r="P405" s="4">
        <v>44266.4583333333</v>
      </c>
      <c r="Q405" s="3" t="s">
        <v>56</v>
      </c>
      <c r="R405" s="5">
        <v>44266.0</v>
      </c>
      <c r="S405" s="3" t="s">
        <v>1349</v>
      </c>
      <c r="T405" s="3">
        <v>1500859.0</v>
      </c>
      <c r="U405" s="3" t="s">
        <v>1723</v>
      </c>
      <c r="V405" s="3" t="s">
        <v>917</v>
      </c>
      <c r="W405" s="3" t="s">
        <v>100</v>
      </c>
      <c r="X405" s="3"/>
      <c r="Y405" s="3" t="str">
        <f>"02001005838202148"</f>
        <v>02001005838202148</v>
      </c>
      <c r="Z405" s="3" t="s">
        <v>112</v>
      </c>
      <c r="AA405" s="3" t="s">
        <v>6616</v>
      </c>
      <c r="AB405" s="3" t="str">
        <f>"***814442**"</f>
        <v>***814442**</v>
      </c>
      <c r="AC405" s="3"/>
      <c r="AD405" s="3"/>
      <c r="AE405" s="3"/>
      <c r="AF405" s="3">
        <v>-51.355694</v>
      </c>
      <c r="AG405" s="3">
        <v>-3.731528</v>
      </c>
      <c r="AH405" s="3" t="s">
        <v>6617</v>
      </c>
      <c r="AI405" s="3"/>
      <c r="AJ405" s="3" t="s">
        <v>120</v>
      </c>
      <c r="AK405" s="3"/>
      <c r="AL405" s="3" t="s">
        <v>128</v>
      </c>
      <c r="AM405" s="3" t="s">
        <v>65</v>
      </c>
      <c r="AN405" s="3" t="s">
        <v>6041</v>
      </c>
      <c r="AO405" s="4">
        <v>44277.0</v>
      </c>
      <c r="AP405" s="4">
        <v>44277.6319328704</v>
      </c>
      <c r="AQ405" s="3" t="s">
        <v>132</v>
      </c>
      <c r="AR405" s="3" t="s">
        <v>2082</v>
      </c>
      <c r="AS405" s="3"/>
      <c r="AT405" s="4">
        <v>44281.0337152778</v>
      </c>
    </row>
    <row r="406" ht="15.75" customHeight="1">
      <c r="A406" s="3">
        <v>2044255.0</v>
      </c>
      <c r="B406" s="3" t="s">
        <v>116</v>
      </c>
      <c r="C406" s="3" t="s">
        <v>117</v>
      </c>
      <c r="D406" s="3" t="s">
        <v>46</v>
      </c>
      <c r="E406" s="3" t="s">
        <v>6618</v>
      </c>
      <c r="F406" s="3"/>
      <c r="G406" s="3" t="s">
        <v>119</v>
      </c>
      <c r="H406" s="3" t="s">
        <v>50</v>
      </c>
      <c r="I406" s="3">
        <v>4000.0</v>
      </c>
      <c r="J406" s="3"/>
      <c r="K406" s="3"/>
      <c r="L406" s="3" t="s">
        <v>485</v>
      </c>
      <c r="M406" s="3" t="s">
        <v>6619</v>
      </c>
      <c r="N406" s="3" t="s">
        <v>285</v>
      </c>
      <c r="O406" s="3" t="s">
        <v>286</v>
      </c>
      <c r="P406" s="4">
        <v>44266.4166666667</v>
      </c>
      <c r="Q406" s="3" t="s">
        <v>56</v>
      </c>
      <c r="R406" s="3"/>
      <c r="S406" s="3" t="s">
        <v>488</v>
      </c>
      <c r="T406" s="3">
        <v>1715754.0</v>
      </c>
      <c r="U406" s="3" t="s">
        <v>6620</v>
      </c>
      <c r="V406" s="3" t="s">
        <v>490</v>
      </c>
      <c r="W406" s="3" t="s">
        <v>100</v>
      </c>
      <c r="X406" s="3"/>
      <c r="Y406" s="3" t="str">
        <f>"02029000283202130"</f>
        <v>02029000283202130</v>
      </c>
      <c r="Z406" s="3" t="s">
        <v>292</v>
      </c>
      <c r="AA406" s="3" t="s">
        <v>6621</v>
      </c>
      <c r="AB406" s="3" t="str">
        <f>"37380672000180"</f>
        <v>37380672000180</v>
      </c>
      <c r="AC406" s="3"/>
      <c r="AD406" s="3"/>
      <c r="AE406" s="3"/>
      <c r="AF406" s="3">
        <v>-48.408056</v>
      </c>
      <c r="AG406" s="3">
        <v>-13.040278</v>
      </c>
      <c r="AH406" s="3" t="s">
        <v>6622</v>
      </c>
      <c r="AI406" s="3"/>
      <c r="AJ406" s="3" t="s">
        <v>485</v>
      </c>
      <c r="AK406" s="3"/>
      <c r="AL406" s="3" t="s">
        <v>128</v>
      </c>
      <c r="AM406" s="3" t="s">
        <v>65</v>
      </c>
      <c r="AN406" s="3" t="s">
        <v>296</v>
      </c>
      <c r="AO406" s="4">
        <v>44266.0</v>
      </c>
      <c r="AP406" s="4">
        <v>44266.473900463</v>
      </c>
      <c r="AQ406" s="3" t="s">
        <v>132</v>
      </c>
      <c r="AR406" s="3" t="s">
        <v>531</v>
      </c>
      <c r="AS406" s="3"/>
      <c r="AT406" s="4">
        <v>44281.0337152778</v>
      </c>
    </row>
    <row r="407" ht="15.75" customHeight="1">
      <c r="A407" s="3">
        <v>2044321.0</v>
      </c>
      <c r="B407" s="3" t="s">
        <v>116</v>
      </c>
      <c r="C407" s="3" t="s">
        <v>117</v>
      </c>
      <c r="D407" s="3" t="s">
        <v>46</v>
      </c>
      <c r="E407" s="3" t="s">
        <v>6623</v>
      </c>
      <c r="F407" s="3"/>
      <c r="G407" s="3" t="s">
        <v>119</v>
      </c>
      <c r="H407" s="3" t="s">
        <v>50</v>
      </c>
      <c r="I407" s="3">
        <v>161500.0</v>
      </c>
      <c r="J407" s="3"/>
      <c r="K407" s="3"/>
      <c r="L407" s="3" t="s">
        <v>1227</v>
      </c>
      <c r="M407" s="3" t="s">
        <v>6624</v>
      </c>
      <c r="N407" s="3" t="s">
        <v>53</v>
      </c>
      <c r="O407" s="3" t="s">
        <v>187</v>
      </c>
      <c r="P407" s="4">
        <v>44266.4166666667</v>
      </c>
      <c r="Q407" s="3" t="s">
        <v>56</v>
      </c>
      <c r="R407" s="5">
        <v>44266.0</v>
      </c>
      <c r="S407" s="3" t="s">
        <v>148</v>
      </c>
      <c r="T407" s="3">
        <v>1100098.0</v>
      </c>
      <c r="U407" s="3" t="s">
        <v>2306</v>
      </c>
      <c r="V407" s="3" t="s">
        <v>125</v>
      </c>
      <c r="W407" s="3" t="s">
        <v>100</v>
      </c>
      <c r="X407" s="3"/>
      <c r="Y407" s="3" t="str">
        <f>"02049000072202169"</f>
        <v>02049000072202169</v>
      </c>
      <c r="Z407" s="3" t="s">
        <v>223</v>
      </c>
      <c r="AA407" s="3" t="s">
        <v>6625</v>
      </c>
      <c r="AB407" s="3" t="str">
        <f>"18466749000194"</f>
        <v>18466749000194</v>
      </c>
      <c r="AC407" s="3"/>
      <c r="AD407" s="3"/>
      <c r="AE407" s="3"/>
      <c r="AF407" s="3">
        <v>-60.958333</v>
      </c>
      <c r="AG407" s="3">
        <v>-11.444444</v>
      </c>
      <c r="AH407" s="3" t="s">
        <v>6626</v>
      </c>
      <c r="AI407" s="3"/>
      <c r="AJ407" s="3" t="s">
        <v>1227</v>
      </c>
      <c r="AK407" s="3"/>
      <c r="AL407" s="3" t="s">
        <v>128</v>
      </c>
      <c r="AM407" s="3" t="s">
        <v>65</v>
      </c>
      <c r="AN407" s="3" t="s">
        <v>274</v>
      </c>
      <c r="AO407" s="4">
        <v>44267.0</v>
      </c>
      <c r="AP407" s="4">
        <v>44267.753275463</v>
      </c>
      <c r="AQ407" s="3" t="s">
        <v>132</v>
      </c>
      <c r="AR407" s="3" t="s">
        <v>247</v>
      </c>
      <c r="AS407" s="3" t="s">
        <v>6627</v>
      </c>
      <c r="AT407" s="4">
        <v>44281.0337152778</v>
      </c>
    </row>
    <row r="408" ht="15.75" customHeight="1">
      <c r="A408" s="3">
        <v>2044663.0</v>
      </c>
      <c r="B408" s="3" t="s">
        <v>116</v>
      </c>
      <c r="C408" s="3" t="s">
        <v>117</v>
      </c>
      <c r="D408" s="3" t="s">
        <v>46</v>
      </c>
      <c r="E408" s="3" t="s">
        <v>6628</v>
      </c>
      <c r="F408" s="3"/>
      <c r="G408" s="3" t="s">
        <v>119</v>
      </c>
      <c r="H408" s="3" t="s">
        <v>72</v>
      </c>
      <c r="I408" s="3">
        <v>10000.0</v>
      </c>
      <c r="J408" s="3"/>
      <c r="K408" s="3"/>
      <c r="L408" s="3" t="s">
        <v>1096</v>
      </c>
      <c r="M408" s="3" t="s">
        <v>6629</v>
      </c>
      <c r="N408" s="3" t="s">
        <v>257</v>
      </c>
      <c r="O408" s="3" t="s">
        <v>258</v>
      </c>
      <c r="P408" s="4">
        <v>44266.4166666667</v>
      </c>
      <c r="Q408" s="3" t="s">
        <v>56</v>
      </c>
      <c r="R408" s="3"/>
      <c r="S408" s="3" t="s">
        <v>475</v>
      </c>
      <c r="T408" s="3">
        <v>3171006.0</v>
      </c>
      <c r="U408" s="3" t="s">
        <v>6630</v>
      </c>
      <c r="V408" s="3" t="s">
        <v>477</v>
      </c>
      <c r="W408" s="3" t="s">
        <v>172</v>
      </c>
      <c r="X408" s="3"/>
      <c r="Y408" s="3" t="str">
        <f>"02553000074202158"</f>
        <v>02553000074202158</v>
      </c>
      <c r="Z408" s="3" t="s">
        <v>260</v>
      </c>
      <c r="AA408" s="3" t="s">
        <v>5218</v>
      </c>
      <c r="AB408" s="3" t="str">
        <f>"***809986**"</f>
        <v>***809986**</v>
      </c>
      <c r="AC408" s="3"/>
      <c r="AD408" s="3"/>
      <c r="AE408" s="3"/>
      <c r="AF408" s="3">
        <v>-46.900556</v>
      </c>
      <c r="AG408" s="3">
        <v>-17.992778</v>
      </c>
      <c r="AH408" s="3" t="s">
        <v>6631</v>
      </c>
      <c r="AI408" s="3"/>
      <c r="AJ408" s="3" t="s">
        <v>1096</v>
      </c>
      <c r="AK408" s="3"/>
      <c r="AL408" s="3" t="s">
        <v>128</v>
      </c>
      <c r="AM408" s="3" t="s">
        <v>65</v>
      </c>
      <c r="AN408" s="3" t="s">
        <v>481</v>
      </c>
      <c r="AO408" s="4">
        <v>44279.0</v>
      </c>
      <c r="AP408" s="4">
        <v>44279.5259259259</v>
      </c>
      <c r="AQ408" s="3" t="s">
        <v>132</v>
      </c>
      <c r="AR408" s="3" t="s">
        <v>3208</v>
      </c>
      <c r="AS408" s="3"/>
      <c r="AT408" s="4">
        <v>44281.0337152778</v>
      </c>
    </row>
    <row r="409" ht="15.75" customHeight="1">
      <c r="A409" s="3"/>
      <c r="B409" s="3" t="s">
        <v>46</v>
      </c>
      <c r="C409" s="3" t="s">
        <v>47</v>
      </c>
      <c r="D409" s="3"/>
      <c r="E409" s="3" t="s">
        <v>6632</v>
      </c>
      <c r="F409" s="3"/>
      <c r="G409" s="3" t="s">
        <v>49</v>
      </c>
      <c r="H409" s="3" t="s">
        <v>72</v>
      </c>
      <c r="I409" s="3">
        <v>9000.0</v>
      </c>
      <c r="J409" s="3"/>
      <c r="K409" s="3"/>
      <c r="L409" s="3"/>
      <c r="M409" s="3" t="s">
        <v>6604</v>
      </c>
      <c r="N409" s="3" t="s">
        <v>285</v>
      </c>
      <c r="O409" s="3" t="s">
        <v>286</v>
      </c>
      <c r="P409" s="4">
        <v>44266.4003703704</v>
      </c>
      <c r="Q409" s="3" t="s">
        <v>56</v>
      </c>
      <c r="R409" s="3"/>
      <c r="S409" s="3" t="s">
        <v>400</v>
      </c>
      <c r="T409" s="3">
        <v>4314100.0</v>
      </c>
      <c r="U409" s="3" t="s">
        <v>6633</v>
      </c>
      <c r="V409" s="3" t="s">
        <v>402</v>
      </c>
      <c r="W409" s="3" t="s">
        <v>78</v>
      </c>
      <c r="X409" s="3"/>
      <c r="Y409" s="3"/>
      <c r="Z409" s="3" t="s">
        <v>292</v>
      </c>
      <c r="AA409" s="3" t="s">
        <v>6634</v>
      </c>
      <c r="AB409" s="3" t="str">
        <f>"90451360000100"</f>
        <v>90451360000100</v>
      </c>
      <c r="AC409" s="3"/>
      <c r="AD409" s="3" t="s">
        <v>62</v>
      </c>
      <c r="AE409" s="3"/>
      <c r="AF409" s="3">
        <v>-52.463278</v>
      </c>
      <c r="AG409" s="3">
        <v>-28.298278</v>
      </c>
      <c r="AH409" s="3" t="s">
        <v>6635</v>
      </c>
      <c r="AI409" s="3"/>
      <c r="AJ409" s="3" t="s">
        <v>405</v>
      </c>
      <c r="AK409" s="3"/>
      <c r="AL409" s="3"/>
      <c r="AM409" s="3" t="s">
        <v>65</v>
      </c>
      <c r="AN409" s="3" t="s">
        <v>1302</v>
      </c>
      <c r="AO409" s="3"/>
      <c r="AP409" s="4">
        <v>44266.4088888889</v>
      </c>
      <c r="AQ409" s="3"/>
      <c r="AR409" s="3" t="s">
        <v>803</v>
      </c>
      <c r="AS409" s="3" t="s">
        <v>6607</v>
      </c>
      <c r="AT409" s="4">
        <v>44281.0337152778</v>
      </c>
    </row>
    <row r="410" ht="15.75" customHeight="1">
      <c r="A410" s="3">
        <v>2044400.0</v>
      </c>
      <c r="B410" s="3" t="s">
        <v>116</v>
      </c>
      <c r="C410" s="3" t="s">
        <v>117</v>
      </c>
      <c r="D410" s="3" t="s">
        <v>46</v>
      </c>
      <c r="E410" s="3" t="s">
        <v>6636</v>
      </c>
      <c r="F410" s="3"/>
      <c r="G410" s="3" t="s">
        <v>119</v>
      </c>
      <c r="H410" s="3" t="s">
        <v>50</v>
      </c>
      <c r="I410" s="3">
        <v>30500.0</v>
      </c>
      <c r="J410" s="3"/>
      <c r="K410" s="3"/>
      <c r="L410" s="3" t="s">
        <v>142</v>
      </c>
      <c r="M410" s="3" t="s">
        <v>6637</v>
      </c>
      <c r="N410" s="3" t="s">
        <v>53</v>
      </c>
      <c r="O410" s="3" t="s">
        <v>333</v>
      </c>
      <c r="P410" s="4">
        <v>44266.375</v>
      </c>
      <c r="Q410" s="3" t="s">
        <v>56</v>
      </c>
      <c r="R410" s="5">
        <v>44266.0</v>
      </c>
      <c r="S410" s="3" t="s">
        <v>220</v>
      </c>
      <c r="T410" s="3">
        <v>3518701.0</v>
      </c>
      <c r="U410" s="3" t="s">
        <v>6577</v>
      </c>
      <c r="V410" s="3" t="s">
        <v>139</v>
      </c>
      <c r="W410" s="3" t="s">
        <v>60</v>
      </c>
      <c r="X410" s="3"/>
      <c r="Y410" s="3"/>
      <c r="Z410" s="3" t="s">
        <v>223</v>
      </c>
      <c r="AA410" s="3" t="s">
        <v>6578</v>
      </c>
      <c r="AB410" s="3" t="str">
        <f>"***140318**"</f>
        <v>***140318**</v>
      </c>
      <c r="AC410" s="3"/>
      <c r="AD410" s="3"/>
      <c r="AE410" s="3"/>
      <c r="AF410" s="3">
        <v>-46.281111</v>
      </c>
      <c r="AG410" s="3">
        <v>-23.983056</v>
      </c>
      <c r="AH410" s="3" t="s">
        <v>6638</v>
      </c>
      <c r="AI410" s="3"/>
      <c r="AJ410" s="3" t="s">
        <v>142</v>
      </c>
      <c r="AK410" s="3"/>
      <c r="AL410" s="3" t="s">
        <v>128</v>
      </c>
      <c r="AM410" s="3" t="s">
        <v>65</v>
      </c>
      <c r="AN410" s="3" t="s">
        <v>5559</v>
      </c>
      <c r="AO410" s="4">
        <v>44271.0</v>
      </c>
      <c r="AP410" s="4">
        <v>44271.444224537</v>
      </c>
      <c r="AQ410" s="3" t="s">
        <v>132</v>
      </c>
      <c r="AR410" s="3" t="s">
        <v>2447</v>
      </c>
      <c r="AS410" s="3"/>
      <c r="AT410" s="4">
        <v>44281.0337152778</v>
      </c>
    </row>
    <row r="411" ht="15.75" customHeight="1">
      <c r="A411" s="3">
        <v>2044358.0</v>
      </c>
      <c r="B411" s="3" t="s">
        <v>116</v>
      </c>
      <c r="C411" s="3" t="s">
        <v>117</v>
      </c>
      <c r="D411" s="3" t="s">
        <v>46</v>
      </c>
      <c r="E411" s="3" t="s">
        <v>6639</v>
      </c>
      <c r="F411" s="3"/>
      <c r="G411" s="3" t="s">
        <v>119</v>
      </c>
      <c r="H411" s="3" t="s">
        <v>50</v>
      </c>
      <c r="I411" s="3">
        <v>310500.0</v>
      </c>
      <c r="J411" s="3"/>
      <c r="K411" s="3"/>
      <c r="L411" s="3" t="s">
        <v>327</v>
      </c>
      <c r="M411" s="3" t="s">
        <v>6640</v>
      </c>
      <c r="N411" s="3" t="s">
        <v>2737</v>
      </c>
      <c r="O411" s="3" t="s">
        <v>2738</v>
      </c>
      <c r="P411" s="4">
        <v>44266.3333333333</v>
      </c>
      <c r="Q411" s="3" t="s">
        <v>56</v>
      </c>
      <c r="R411" s="5">
        <v>44316.0</v>
      </c>
      <c r="S411" s="3" t="s">
        <v>1639</v>
      </c>
      <c r="T411" s="3">
        <v>5106752.0</v>
      </c>
      <c r="U411" s="3" t="s">
        <v>1640</v>
      </c>
      <c r="V411" s="3" t="s">
        <v>323</v>
      </c>
      <c r="W411" s="3" t="s">
        <v>100</v>
      </c>
      <c r="X411" s="3"/>
      <c r="Y411" s="3" t="str">
        <f>"02013000562202172"</f>
        <v>02013000562202172</v>
      </c>
      <c r="Z411" s="3" t="s">
        <v>2742</v>
      </c>
      <c r="AA411" s="3" t="s">
        <v>6641</v>
      </c>
      <c r="AB411" s="3" t="str">
        <f>"***473631**"</f>
        <v>***473631**</v>
      </c>
      <c r="AC411" s="3"/>
      <c r="AD411" s="3"/>
      <c r="AE411" s="3"/>
      <c r="AF411" s="3">
        <v>-59.505778</v>
      </c>
      <c r="AG411" s="3">
        <v>-14.967289</v>
      </c>
      <c r="AH411" s="3" t="s">
        <v>6642</v>
      </c>
      <c r="AI411" s="3"/>
      <c r="AJ411" s="3" t="s">
        <v>327</v>
      </c>
      <c r="AK411" s="3"/>
      <c r="AL411" s="3" t="s">
        <v>128</v>
      </c>
      <c r="AM411" s="3" t="s">
        <v>65</v>
      </c>
      <c r="AN411" s="3" t="s">
        <v>274</v>
      </c>
      <c r="AO411" s="4">
        <v>44270.0</v>
      </c>
      <c r="AP411" s="4">
        <v>44270.5897337963</v>
      </c>
      <c r="AQ411" s="3" t="s">
        <v>132</v>
      </c>
      <c r="AR411" s="3" t="s">
        <v>1242</v>
      </c>
      <c r="AS411" s="3"/>
      <c r="AT411" s="4">
        <v>44281.0337152778</v>
      </c>
    </row>
    <row r="412" ht="15.75" customHeight="1">
      <c r="A412" s="3">
        <v>2044367.0</v>
      </c>
      <c r="B412" s="3" t="s">
        <v>116</v>
      </c>
      <c r="C412" s="3" t="s">
        <v>117</v>
      </c>
      <c r="D412" s="3" t="s">
        <v>46</v>
      </c>
      <c r="E412" s="3" t="s">
        <v>6643</v>
      </c>
      <c r="F412" s="3"/>
      <c r="G412" s="3" t="s">
        <v>119</v>
      </c>
      <c r="H412" s="3" t="s">
        <v>50</v>
      </c>
      <c r="I412" s="3">
        <v>310500.0</v>
      </c>
      <c r="J412" s="3"/>
      <c r="K412" s="3"/>
      <c r="L412" s="3" t="s">
        <v>327</v>
      </c>
      <c r="M412" s="3" t="s">
        <v>6644</v>
      </c>
      <c r="N412" s="3" t="s">
        <v>2737</v>
      </c>
      <c r="O412" s="3" t="s">
        <v>2738</v>
      </c>
      <c r="P412" s="4">
        <v>44266.2916666667</v>
      </c>
      <c r="Q412" s="3" t="s">
        <v>56</v>
      </c>
      <c r="R412" s="5">
        <v>44316.0</v>
      </c>
      <c r="S412" s="3" t="s">
        <v>1639</v>
      </c>
      <c r="T412" s="3">
        <v>5106752.0</v>
      </c>
      <c r="U412" s="3" t="s">
        <v>1640</v>
      </c>
      <c r="V412" s="3" t="s">
        <v>323</v>
      </c>
      <c r="W412" s="3" t="s">
        <v>100</v>
      </c>
      <c r="X412" s="3"/>
      <c r="Y412" s="3" t="str">
        <f>"02013000566202151"</f>
        <v>02013000566202151</v>
      </c>
      <c r="Z412" s="3" t="s">
        <v>2742</v>
      </c>
      <c r="AA412" s="3" t="s">
        <v>6645</v>
      </c>
      <c r="AB412" s="3" t="str">
        <f>"***515702**"</f>
        <v>***515702**</v>
      </c>
      <c r="AC412" s="3"/>
      <c r="AD412" s="3"/>
      <c r="AE412" s="3"/>
      <c r="AF412" s="3">
        <v>-59.505778</v>
      </c>
      <c r="AG412" s="3">
        <v>-14.967289</v>
      </c>
      <c r="AH412" s="3" t="s">
        <v>6646</v>
      </c>
      <c r="AI412" s="3"/>
      <c r="AJ412" s="3" t="s">
        <v>327</v>
      </c>
      <c r="AK412" s="3"/>
      <c r="AL412" s="3" t="s">
        <v>128</v>
      </c>
      <c r="AM412" s="3" t="s">
        <v>65</v>
      </c>
      <c r="AN412" s="3" t="s">
        <v>274</v>
      </c>
      <c r="AO412" s="4">
        <v>44270.0</v>
      </c>
      <c r="AP412" s="4">
        <v>44270.6579976852</v>
      </c>
      <c r="AQ412" s="3" t="s">
        <v>132</v>
      </c>
      <c r="AR412" s="3" t="s">
        <v>1242</v>
      </c>
      <c r="AS412" s="3"/>
      <c r="AT412" s="4">
        <v>44281.0337152778</v>
      </c>
    </row>
    <row r="413" ht="15.75" customHeight="1">
      <c r="A413" s="3">
        <v>2044250.0</v>
      </c>
      <c r="B413" s="3" t="s">
        <v>116</v>
      </c>
      <c r="C413" s="3" t="s">
        <v>117</v>
      </c>
      <c r="D413" s="3" t="s">
        <v>46</v>
      </c>
      <c r="E413" s="3" t="s">
        <v>6647</v>
      </c>
      <c r="F413" s="3"/>
      <c r="G413" s="3" t="s">
        <v>119</v>
      </c>
      <c r="H413" s="3" t="s">
        <v>72</v>
      </c>
      <c r="I413" s="3">
        <v>4800.0</v>
      </c>
      <c r="J413" s="3"/>
      <c r="K413" s="3"/>
      <c r="L413" s="3" t="s">
        <v>1346</v>
      </c>
      <c r="M413" s="3" t="s">
        <v>6648</v>
      </c>
      <c r="N413" s="3" t="s">
        <v>109</v>
      </c>
      <c r="O413" s="3" t="s">
        <v>110</v>
      </c>
      <c r="P413" s="4">
        <v>44266.25</v>
      </c>
      <c r="Q413" s="3" t="s">
        <v>56</v>
      </c>
      <c r="R413" s="5">
        <v>44266.0</v>
      </c>
      <c r="S413" s="3" t="s">
        <v>1349</v>
      </c>
      <c r="T413" s="3">
        <v>1507458.0</v>
      </c>
      <c r="U413" s="3" t="s">
        <v>6649</v>
      </c>
      <c r="V413" s="3" t="s">
        <v>917</v>
      </c>
      <c r="W413" s="3" t="s">
        <v>100</v>
      </c>
      <c r="X413" s="3"/>
      <c r="Y413" s="3" t="str">
        <f>"02018000770202121"</f>
        <v>02018000770202121</v>
      </c>
      <c r="Z413" s="3" t="s">
        <v>112</v>
      </c>
      <c r="AA413" s="3" t="s">
        <v>6650</v>
      </c>
      <c r="AB413" s="3" t="str">
        <f>"04210557000108"</f>
        <v>04210557000108</v>
      </c>
      <c r="AC413" s="3"/>
      <c r="AD413" s="3"/>
      <c r="AE413" s="3"/>
      <c r="AF413" s="3">
        <v>-48.390833</v>
      </c>
      <c r="AG413" s="3">
        <v>-6.058333</v>
      </c>
      <c r="AH413" s="3" t="s">
        <v>6651</v>
      </c>
      <c r="AI413" s="3"/>
      <c r="AJ413" s="3" t="s">
        <v>1346</v>
      </c>
      <c r="AK413" s="3"/>
      <c r="AL413" s="3" t="s">
        <v>128</v>
      </c>
      <c r="AM413" s="3" t="s">
        <v>65</v>
      </c>
      <c r="AN413" s="3"/>
      <c r="AO413" s="4">
        <v>44266.0</v>
      </c>
      <c r="AP413" s="4">
        <v>44266.3775462963</v>
      </c>
      <c r="AQ413" s="3" t="s">
        <v>132</v>
      </c>
      <c r="AR413" s="3" t="s">
        <v>4409</v>
      </c>
      <c r="AS413" s="3"/>
      <c r="AT413" s="4">
        <v>44281.0337152778</v>
      </c>
    </row>
    <row r="414" ht="15.75" customHeight="1">
      <c r="A414" s="3"/>
      <c r="B414" s="3" t="s">
        <v>46</v>
      </c>
      <c r="C414" s="3" t="s">
        <v>47</v>
      </c>
      <c r="D414" s="3"/>
      <c r="E414" s="3" t="s">
        <v>6652</v>
      </c>
      <c r="F414" s="3"/>
      <c r="G414" s="3" t="s">
        <v>49</v>
      </c>
      <c r="H414" s="3" t="s">
        <v>72</v>
      </c>
      <c r="I414" s="3">
        <v>4690.08</v>
      </c>
      <c r="J414" s="3"/>
      <c r="K414" s="3"/>
      <c r="L414" s="3"/>
      <c r="M414" s="3" t="s">
        <v>6653</v>
      </c>
      <c r="N414" s="3" t="s">
        <v>109</v>
      </c>
      <c r="O414" s="3" t="s">
        <v>110</v>
      </c>
      <c r="P414" s="4">
        <v>44266.2356944445</v>
      </c>
      <c r="Q414" s="3" t="s">
        <v>56</v>
      </c>
      <c r="R414" s="3"/>
      <c r="S414" s="3" t="s">
        <v>220</v>
      </c>
      <c r="T414" s="3">
        <v>1302603.0</v>
      </c>
      <c r="U414" s="3" t="s">
        <v>4149</v>
      </c>
      <c r="V414" s="3" t="s">
        <v>99</v>
      </c>
      <c r="W414" s="3" t="s">
        <v>100</v>
      </c>
      <c r="X414" s="3"/>
      <c r="Y414" s="3"/>
      <c r="Z414" s="3" t="s">
        <v>112</v>
      </c>
      <c r="AA414" s="3" t="s">
        <v>6654</v>
      </c>
      <c r="AB414" s="3" t="str">
        <f>"21625289000104"</f>
        <v>21625289000104</v>
      </c>
      <c r="AC414" s="3"/>
      <c r="AD414" s="3" t="s">
        <v>62</v>
      </c>
      <c r="AE414" s="3"/>
      <c r="AF414" s="3">
        <v>-59.980278</v>
      </c>
      <c r="AG414" s="3">
        <v>-3.133611</v>
      </c>
      <c r="AH414" s="3" t="s">
        <v>6655</v>
      </c>
      <c r="AI414" s="3"/>
      <c r="AJ414" s="3" t="s">
        <v>104</v>
      </c>
      <c r="AK414" s="3"/>
      <c r="AL414" s="3"/>
      <c r="AM414" s="3" t="s">
        <v>65</v>
      </c>
      <c r="AN414" s="3"/>
      <c r="AO414" s="3"/>
      <c r="AP414" s="4">
        <v>44266.2784143519</v>
      </c>
      <c r="AQ414" s="3"/>
      <c r="AR414" s="3" t="s">
        <v>115</v>
      </c>
      <c r="AS414" s="3"/>
      <c r="AT414" s="4">
        <v>44281.0337152778</v>
      </c>
    </row>
    <row r="415" ht="15.75" customHeight="1">
      <c r="A415" s="3">
        <v>2044709.0</v>
      </c>
      <c r="B415" s="3" t="s">
        <v>116</v>
      </c>
      <c r="C415" s="3" t="s">
        <v>117</v>
      </c>
      <c r="D415" s="3" t="s">
        <v>46</v>
      </c>
      <c r="E415" s="3" t="s">
        <v>6656</v>
      </c>
      <c r="F415" s="3"/>
      <c r="G415" s="3" t="s">
        <v>119</v>
      </c>
      <c r="H415" s="3" t="s">
        <v>50</v>
      </c>
      <c r="I415" s="3">
        <v>52500.0</v>
      </c>
      <c r="J415" s="3"/>
      <c r="K415" s="3"/>
      <c r="L415" s="3" t="s">
        <v>2062</v>
      </c>
      <c r="M415" s="3" t="s">
        <v>6657</v>
      </c>
      <c r="N415" s="3" t="s">
        <v>53</v>
      </c>
      <c r="O415" s="3" t="s">
        <v>187</v>
      </c>
      <c r="P415" s="4">
        <v>44266.125</v>
      </c>
      <c r="Q415" s="3" t="s">
        <v>77</v>
      </c>
      <c r="R415" s="5">
        <v>44266.0</v>
      </c>
      <c r="S415" s="3" t="s">
        <v>220</v>
      </c>
      <c r="T415" s="3">
        <v>1100205.0</v>
      </c>
      <c r="U415" s="3" t="s">
        <v>242</v>
      </c>
      <c r="V415" s="3" t="s">
        <v>125</v>
      </c>
      <c r="W415" s="3" t="s">
        <v>100</v>
      </c>
      <c r="X415" s="3"/>
      <c r="Y415" s="3" t="str">
        <f>"02024000915202113"</f>
        <v>02024000915202113</v>
      </c>
      <c r="Z415" s="3" t="s">
        <v>223</v>
      </c>
      <c r="AA415" s="3" t="s">
        <v>6658</v>
      </c>
      <c r="AB415" s="3" t="str">
        <f>"22883401000170"</f>
        <v>22883401000170</v>
      </c>
      <c r="AC415" s="3"/>
      <c r="AD415" s="3"/>
      <c r="AE415" s="3"/>
      <c r="AF415" s="3">
        <v>-63.890556</v>
      </c>
      <c r="AG415" s="3">
        <v>-8.737778</v>
      </c>
      <c r="AH415" s="3" t="s">
        <v>6659</v>
      </c>
      <c r="AI415" s="3"/>
      <c r="AJ415" s="3" t="s">
        <v>2062</v>
      </c>
      <c r="AK415" s="3"/>
      <c r="AL415" s="3" t="s">
        <v>128</v>
      </c>
      <c r="AM415" s="3" t="s">
        <v>65</v>
      </c>
      <c r="AN415" s="3"/>
      <c r="AO415" s="4">
        <v>44280.0</v>
      </c>
      <c r="AP415" s="4">
        <v>44280.5650115741</v>
      </c>
      <c r="AQ415" s="3" t="s">
        <v>132</v>
      </c>
      <c r="AR415" s="3" t="s">
        <v>247</v>
      </c>
      <c r="AS415" s="3"/>
      <c r="AT415" s="4">
        <v>44281.0337152778</v>
      </c>
    </row>
    <row r="416" ht="15.75" customHeight="1">
      <c r="A416" s="3"/>
      <c r="B416" s="3" t="s">
        <v>46</v>
      </c>
      <c r="C416" s="3" t="s">
        <v>47</v>
      </c>
      <c r="D416" s="3"/>
      <c r="E416" s="3" t="s">
        <v>6660</v>
      </c>
      <c r="F416" s="3"/>
      <c r="G416" s="3" t="s">
        <v>49</v>
      </c>
      <c r="H416" s="3" t="s">
        <v>72</v>
      </c>
      <c r="I416" s="3">
        <v>11250.0</v>
      </c>
      <c r="J416" s="3"/>
      <c r="K416" s="3"/>
      <c r="L416" s="3"/>
      <c r="M416" s="3" t="s">
        <v>6661</v>
      </c>
      <c r="N416" s="3" t="s">
        <v>109</v>
      </c>
      <c r="O416" s="3" t="s">
        <v>110</v>
      </c>
      <c r="P416" s="4">
        <v>44265.960625</v>
      </c>
      <c r="Q416" s="3" t="s">
        <v>77</v>
      </c>
      <c r="R416" s="3"/>
      <c r="S416" s="3" t="s">
        <v>288</v>
      </c>
      <c r="T416" s="3">
        <v>2211001.0</v>
      </c>
      <c r="U416" s="3" t="s">
        <v>527</v>
      </c>
      <c r="V416" s="3" t="s">
        <v>290</v>
      </c>
      <c r="W416" s="3" t="s">
        <v>291</v>
      </c>
      <c r="X416" s="3"/>
      <c r="Y416" s="3"/>
      <c r="Z416" s="3" t="s">
        <v>112</v>
      </c>
      <c r="AA416" s="3" t="s">
        <v>6662</v>
      </c>
      <c r="AB416" s="3" t="str">
        <f>"***511213**"</f>
        <v>***511213**</v>
      </c>
      <c r="AC416" s="3"/>
      <c r="AD416" s="3" t="s">
        <v>62</v>
      </c>
      <c r="AE416" s="3"/>
      <c r="AF416" s="3">
        <v>-42.784167</v>
      </c>
      <c r="AG416" s="3">
        <v>-5.064444</v>
      </c>
      <c r="AH416" s="3" t="s">
        <v>6663</v>
      </c>
      <c r="AI416" s="3"/>
      <c r="AJ416" s="3" t="s">
        <v>295</v>
      </c>
      <c r="AK416" s="3"/>
      <c r="AL416" s="3"/>
      <c r="AM416" s="3" t="s">
        <v>65</v>
      </c>
      <c r="AN416" s="3" t="s">
        <v>83</v>
      </c>
      <c r="AO416" s="3"/>
      <c r="AP416" s="4">
        <v>44265.9792361111</v>
      </c>
      <c r="AQ416" s="3"/>
      <c r="AR416" s="3" t="s">
        <v>177</v>
      </c>
      <c r="AS416" s="3"/>
      <c r="AT416" s="4">
        <v>44281.0337152778</v>
      </c>
    </row>
    <row r="417" ht="15.75" customHeight="1">
      <c r="A417" s="3"/>
      <c r="B417" s="3" t="s">
        <v>46</v>
      </c>
      <c r="C417" s="3" t="s">
        <v>47</v>
      </c>
      <c r="D417" s="3"/>
      <c r="E417" s="3" t="s">
        <v>6664</v>
      </c>
      <c r="F417" s="3"/>
      <c r="G417" s="3" t="s">
        <v>49</v>
      </c>
      <c r="H417" s="3" t="s">
        <v>50</v>
      </c>
      <c r="I417" s="3">
        <v>505000.0</v>
      </c>
      <c r="J417" s="3"/>
      <c r="K417" s="3" t="s">
        <v>51</v>
      </c>
      <c r="L417" s="3"/>
      <c r="M417" s="3" t="s">
        <v>6665</v>
      </c>
      <c r="N417" s="3" t="s">
        <v>381</v>
      </c>
      <c r="O417" s="3" t="s">
        <v>382</v>
      </c>
      <c r="P417" s="4">
        <v>44265.8682638889</v>
      </c>
      <c r="Q417" s="3" t="s">
        <v>137</v>
      </c>
      <c r="R417" s="3"/>
      <c r="S417" s="3" t="s">
        <v>608</v>
      </c>
      <c r="T417" s="3">
        <v>1302405.0</v>
      </c>
      <c r="U417" s="3" t="s">
        <v>5187</v>
      </c>
      <c r="V417" s="3" t="s">
        <v>99</v>
      </c>
      <c r="W417" s="3" t="s">
        <v>100</v>
      </c>
      <c r="X417" s="3"/>
      <c r="Y417" s="3"/>
      <c r="Z417" s="3" t="s">
        <v>384</v>
      </c>
      <c r="AA417" s="3" t="s">
        <v>6666</v>
      </c>
      <c r="AB417" s="3" t="str">
        <f t="shared" ref="AB417:AB418" si="34">"32858674000118"</f>
        <v>32858674000118</v>
      </c>
      <c r="AC417" s="3"/>
      <c r="AD417" s="3" t="s">
        <v>62</v>
      </c>
      <c r="AE417" s="3"/>
      <c r="AF417" s="3">
        <v>-66.109167</v>
      </c>
      <c r="AG417" s="3">
        <v>-9.196944</v>
      </c>
      <c r="AH417" s="3" t="s">
        <v>6667</v>
      </c>
      <c r="AI417" s="3"/>
      <c r="AJ417" s="3" t="s">
        <v>120</v>
      </c>
      <c r="AK417" s="3"/>
      <c r="AL417" s="3"/>
      <c r="AM417" s="3" t="s">
        <v>65</v>
      </c>
      <c r="AN417" s="3" t="s">
        <v>129</v>
      </c>
      <c r="AO417" s="3"/>
      <c r="AP417" s="4">
        <v>44267.7927662037</v>
      </c>
      <c r="AQ417" s="3"/>
      <c r="AR417" s="3" t="s">
        <v>613</v>
      </c>
      <c r="AS417" s="3" t="s">
        <v>6668</v>
      </c>
      <c r="AT417" s="4">
        <v>44281.0337152778</v>
      </c>
    </row>
    <row r="418" ht="15.75" customHeight="1">
      <c r="A418" s="3"/>
      <c r="B418" s="3" t="s">
        <v>46</v>
      </c>
      <c r="C418" s="3" t="s">
        <v>47</v>
      </c>
      <c r="D418" s="3"/>
      <c r="E418" s="3" t="s">
        <v>6669</v>
      </c>
      <c r="F418" s="3"/>
      <c r="G418" s="3" t="s">
        <v>49</v>
      </c>
      <c r="H418" s="3" t="s">
        <v>72</v>
      </c>
      <c r="I418" s="3">
        <v>263054.04</v>
      </c>
      <c r="J418" s="3"/>
      <c r="K418" s="3"/>
      <c r="L418" s="3"/>
      <c r="M418" s="3" t="s">
        <v>6670</v>
      </c>
      <c r="N418" s="3" t="s">
        <v>109</v>
      </c>
      <c r="O418" s="3" t="s">
        <v>110</v>
      </c>
      <c r="P418" s="4">
        <v>44265.8317708333</v>
      </c>
      <c r="Q418" s="3" t="s">
        <v>137</v>
      </c>
      <c r="R418" s="3"/>
      <c r="S418" s="3" t="s">
        <v>97</v>
      </c>
      <c r="T418" s="3">
        <v>1302405.0</v>
      </c>
      <c r="U418" s="3" t="s">
        <v>5187</v>
      </c>
      <c r="V418" s="3" t="s">
        <v>99</v>
      </c>
      <c r="W418" s="3" t="s">
        <v>100</v>
      </c>
      <c r="X418" s="3"/>
      <c r="Y418" s="3"/>
      <c r="Z418" s="3" t="s">
        <v>112</v>
      </c>
      <c r="AA418" s="3" t="s">
        <v>6666</v>
      </c>
      <c r="AB418" s="3" t="str">
        <f t="shared" si="34"/>
        <v>32858674000118</v>
      </c>
      <c r="AC418" s="3"/>
      <c r="AD418" s="3" t="s">
        <v>62</v>
      </c>
      <c r="AE418" s="3"/>
      <c r="AF418" s="3">
        <v>-66.109167</v>
      </c>
      <c r="AG418" s="3">
        <v>-9.196944</v>
      </c>
      <c r="AH418" s="3" t="s">
        <v>6667</v>
      </c>
      <c r="AI418" s="3"/>
      <c r="AJ418" s="3" t="s">
        <v>120</v>
      </c>
      <c r="AK418" s="3"/>
      <c r="AL418" s="3"/>
      <c r="AM418" s="3" t="s">
        <v>65</v>
      </c>
      <c r="AN418" s="3" t="s">
        <v>129</v>
      </c>
      <c r="AO418" s="3"/>
      <c r="AP418" s="4">
        <v>44267.7882291667</v>
      </c>
      <c r="AQ418" s="3"/>
      <c r="AR418" s="3" t="s">
        <v>177</v>
      </c>
      <c r="AS418" s="3"/>
      <c r="AT418" s="4">
        <v>44281.0337152778</v>
      </c>
    </row>
    <row r="419" ht="15.75" customHeight="1">
      <c r="A419" s="3"/>
      <c r="B419" s="3" t="s">
        <v>46</v>
      </c>
      <c r="C419" s="3" t="s">
        <v>47</v>
      </c>
      <c r="D419" s="3"/>
      <c r="E419" s="3" t="s">
        <v>6671</v>
      </c>
      <c r="F419" s="3"/>
      <c r="G419" s="3" t="s">
        <v>49</v>
      </c>
      <c r="H419" s="3" t="s">
        <v>50</v>
      </c>
      <c r="I419" s="3">
        <v>52500.0</v>
      </c>
      <c r="J419" s="3"/>
      <c r="K419" s="3"/>
      <c r="L419" s="3"/>
      <c r="M419" s="3" t="s">
        <v>6672</v>
      </c>
      <c r="N419" s="3" t="s">
        <v>186</v>
      </c>
      <c r="O419" s="3" t="s">
        <v>187</v>
      </c>
      <c r="P419" s="4">
        <v>44265.7681597222</v>
      </c>
      <c r="Q419" s="3" t="s">
        <v>56</v>
      </c>
      <c r="R419" s="3"/>
      <c r="S419" s="3" t="s">
        <v>148</v>
      </c>
      <c r="T419" s="3">
        <v>1100155.0</v>
      </c>
      <c r="U419" s="3" t="s">
        <v>5792</v>
      </c>
      <c r="V419" s="3" t="s">
        <v>125</v>
      </c>
      <c r="W419" s="3" t="s">
        <v>100</v>
      </c>
      <c r="X419" s="3"/>
      <c r="Y419" s="3" t="str">
        <f>"02502000091202191"</f>
        <v>02502000091202191</v>
      </c>
      <c r="Z419" s="3"/>
      <c r="AA419" s="3" t="s">
        <v>5793</v>
      </c>
      <c r="AB419" s="3" t="str">
        <f>"14443896000198"</f>
        <v>14443896000198</v>
      </c>
      <c r="AC419" s="3"/>
      <c r="AD419" s="3" t="s">
        <v>62</v>
      </c>
      <c r="AE419" s="3"/>
      <c r="AF419" s="3">
        <v>-62.266389</v>
      </c>
      <c r="AG419" s="3">
        <v>-10.716667</v>
      </c>
      <c r="AH419" s="3" t="s">
        <v>6673</v>
      </c>
      <c r="AI419" s="3"/>
      <c r="AJ419" s="3" t="s">
        <v>158</v>
      </c>
      <c r="AK419" s="3"/>
      <c r="AL419" s="3"/>
      <c r="AM419" s="3" t="s">
        <v>65</v>
      </c>
      <c r="AN419" s="3" t="s">
        <v>159</v>
      </c>
      <c r="AO419" s="3"/>
      <c r="AP419" s="4">
        <v>44272.4241087963</v>
      </c>
      <c r="AQ419" s="3"/>
      <c r="AR419" s="3" t="s">
        <v>106</v>
      </c>
      <c r="AS419" s="3"/>
      <c r="AT419" s="4">
        <v>44281.0337152778</v>
      </c>
    </row>
    <row r="420" ht="15.75" customHeight="1">
      <c r="A420" s="3"/>
      <c r="B420" s="3" t="s">
        <v>46</v>
      </c>
      <c r="C420" s="3" t="s">
        <v>47</v>
      </c>
      <c r="D420" s="3"/>
      <c r="E420" s="3" t="s">
        <v>6674</v>
      </c>
      <c r="F420" s="3"/>
      <c r="G420" s="3" t="s">
        <v>49</v>
      </c>
      <c r="H420" s="3" t="s">
        <v>50</v>
      </c>
      <c r="I420" s="3">
        <v>1000.0</v>
      </c>
      <c r="J420" s="3"/>
      <c r="K420" s="3" t="s">
        <v>51</v>
      </c>
      <c r="L420" s="3"/>
      <c r="M420" s="3" t="s">
        <v>6675</v>
      </c>
      <c r="N420" s="3" t="s">
        <v>285</v>
      </c>
      <c r="O420" s="3" t="s">
        <v>286</v>
      </c>
      <c r="P420" s="4">
        <v>44265.7121180556</v>
      </c>
      <c r="Q420" s="3" t="s">
        <v>77</v>
      </c>
      <c r="R420" s="3"/>
      <c r="S420" s="3" t="s">
        <v>220</v>
      </c>
      <c r="T420" s="3">
        <v>2306207.0</v>
      </c>
      <c r="U420" s="3" t="s">
        <v>6676</v>
      </c>
      <c r="V420" s="3" t="s">
        <v>439</v>
      </c>
      <c r="W420" s="3" t="s">
        <v>60</v>
      </c>
      <c r="X420" s="3"/>
      <c r="Y420" s="3"/>
      <c r="Z420" s="3" t="s">
        <v>292</v>
      </c>
      <c r="AA420" s="3" t="s">
        <v>6677</v>
      </c>
      <c r="AB420" s="3" t="str">
        <f>"12333272000192"</f>
        <v>12333272000192</v>
      </c>
      <c r="AC420" s="3"/>
      <c r="AD420" s="3" t="s">
        <v>81</v>
      </c>
      <c r="AE420" s="3"/>
      <c r="AF420" s="3">
        <v>-37.780556</v>
      </c>
      <c r="AG420" s="3">
        <v>-4.757778</v>
      </c>
      <c r="AH420" s="3" t="s">
        <v>6678</v>
      </c>
      <c r="AI420" s="3"/>
      <c r="AJ420" s="3" t="s">
        <v>442</v>
      </c>
      <c r="AK420" s="3"/>
      <c r="AL420" s="3"/>
      <c r="AM420" s="3" t="s">
        <v>65</v>
      </c>
      <c r="AN420" s="3" t="s">
        <v>159</v>
      </c>
      <c r="AO420" s="3"/>
      <c r="AP420" s="4">
        <v>44265.8021064815</v>
      </c>
      <c r="AQ420" s="3"/>
      <c r="AR420" s="3" t="s">
        <v>298</v>
      </c>
      <c r="AS420" s="3"/>
      <c r="AT420" s="4">
        <v>44281.0337152778</v>
      </c>
    </row>
    <row r="421" ht="15.75" customHeight="1">
      <c r="A421" s="3">
        <v>2044322.0</v>
      </c>
      <c r="B421" s="3" t="s">
        <v>116</v>
      </c>
      <c r="C421" s="3" t="s">
        <v>117</v>
      </c>
      <c r="D421" s="3" t="s">
        <v>46</v>
      </c>
      <c r="E421" s="3" t="s">
        <v>6679</v>
      </c>
      <c r="F421" s="3"/>
      <c r="G421" s="3" t="s">
        <v>119</v>
      </c>
      <c r="H421" s="3" t="s">
        <v>50</v>
      </c>
      <c r="I421" s="3">
        <v>161500.0</v>
      </c>
      <c r="J421" s="3"/>
      <c r="K421" s="3"/>
      <c r="L421" s="3" t="s">
        <v>1227</v>
      </c>
      <c r="M421" s="3" t="s">
        <v>6680</v>
      </c>
      <c r="N421" s="3" t="s">
        <v>53</v>
      </c>
      <c r="O421" s="3" t="s">
        <v>187</v>
      </c>
      <c r="P421" s="4">
        <v>44265.7083333333</v>
      </c>
      <c r="Q421" s="3" t="s">
        <v>77</v>
      </c>
      <c r="R421" s="5">
        <v>44265.0</v>
      </c>
      <c r="S421" s="3" t="s">
        <v>148</v>
      </c>
      <c r="T421" s="3">
        <v>1100098.0</v>
      </c>
      <c r="U421" s="3" t="s">
        <v>2306</v>
      </c>
      <c r="V421" s="3" t="s">
        <v>125</v>
      </c>
      <c r="W421" s="3" t="s">
        <v>100</v>
      </c>
      <c r="X421" s="3"/>
      <c r="Y421" s="3" t="str">
        <f>"02049000073202111"</f>
        <v>02049000073202111</v>
      </c>
      <c r="Z421" s="3" t="s">
        <v>223</v>
      </c>
      <c r="AA421" s="3" t="s">
        <v>6681</v>
      </c>
      <c r="AB421" s="3" t="str">
        <f>"08215495000188"</f>
        <v>08215495000188</v>
      </c>
      <c r="AC421" s="3"/>
      <c r="AD421" s="3"/>
      <c r="AE421" s="3"/>
      <c r="AF421" s="3">
        <v>-61.005556</v>
      </c>
      <c r="AG421" s="3">
        <v>-11.523333</v>
      </c>
      <c r="AH421" s="3" t="s">
        <v>6682</v>
      </c>
      <c r="AI421" s="3"/>
      <c r="AJ421" s="3" t="s">
        <v>1227</v>
      </c>
      <c r="AK421" s="3"/>
      <c r="AL421" s="3" t="s">
        <v>128</v>
      </c>
      <c r="AM421" s="3" t="s">
        <v>65</v>
      </c>
      <c r="AN421" s="3" t="s">
        <v>274</v>
      </c>
      <c r="AO421" s="4">
        <v>44267.0</v>
      </c>
      <c r="AP421" s="4">
        <v>44267.7539236111</v>
      </c>
      <c r="AQ421" s="3" t="s">
        <v>132</v>
      </c>
      <c r="AR421" s="3" t="s">
        <v>247</v>
      </c>
      <c r="AS421" s="3" t="s">
        <v>6683</v>
      </c>
      <c r="AT421" s="4">
        <v>44281.0337152778</v>
      </c>
    </row>
    <row r="422" ht="15.75" customHeight="1">
      <c r="A422" s="3"/>
      <c r="B422" s="3" t="s">
        <v>46</v>
      </c>
      <c r="C422" s="3" t="s">
        <v>47</v>
      </c>
      <c r="D422" s="3"/>
      <c r="E422" s="3" t="s">
        <v>6684</v>
      </c>
      <c r="F422" s="3"/>
      <c r="G422" s="3" t="s">
        <v>49</v>
      </c>
      <c r="H422" s="3" t="s">
        <v>72</v>
      </c>
      <c r="I422" s="3">
        <v>267700.0</v>
      </c>
      <c r="J422" s="3"/>
      <c r="K422" s="3"/>
      <c r="L422" s="3"/>
      <c r="M422" s="3" t="s">
        <v>6685</v>
      </c>
      <c r="N422" s="3" t="s">
        <v>109</v>
      </c>
      <c r="O422" s="3" t="s">
        <v>110</v>
      </c>
      <c r="P422" s="4">
        <v>44265.6967939815</v>
      </c>
      <c r="Q422" s="3" t="s">
        <v>56</v>
      </c>
      <c r="R422" s="3"/>
      <c r="S422" s="3" t="s">
        <v>1349</v>
      </c>
      <c r="T422" s="3">
        <v>1500859.0</v>
      </c>
      <c r="U422" s="3" t="s">
        <v>1723</v>
      </c>
      <c r="V422" s="3" t="s">
        <v>917</v>
      </c>
      <c r="W422" s="3" t="s">
        <v>100</v>
      </c>
      <c r="X422" s="3"/>
      <c r="Y422" s="3"/>
      <c r="Z422" s="3" t="s">
        <v>112</v>
      </c>
      <c r="AA422" s="3" t="s">
        <v>6686</v>
      </c>
      <c r="AB422" s="3" t="str">
        <f>"***239042**"</f>
        <v>***239042**</v>
      </c>
      <c r="AC422" s="3"/>
      <c r="AD422" s="3" t="s">
        <v>325</v>
      </c>
      <c r="AE422" s="3"/>
      <c r="AF422" s="3">
        <v>-51.406944</v>
      </c>
      <c r="AG422" s="3">
        <v>-3.405833</v>
      </c>
      <c r="AH422" s="3" t="s">
        <v>6687</v>
      </c>
      <c r="AI422" s="3"/>
      <c r="AJ422" s="3" t="s">
        <v>120</v>
      </c>
      <c r="AK422" s="3"/>
      <c r="AL422" s="3"/>
      <c r="AM422" s="3" t="s">
        <v>65</v>
      </c>
      <c r="AN422" s="3" t="s">
        <v>6041</v>
      </c>
      <c r="AO422" s="3"/>
      <c r="AP422" s="4">
        <v>44273.9063310185</v>
      </c>
      <c r="AQ422" s="3"/>
      <c r="AR422" s="3" t="s">
        <v>5165</v>
      </c>
      <c r="AS422" s="3"/>
      <c r="AT422" s="4">
        <v>44281.0337152778</v>
      </c>
    </row>
    <row r="423" ht="15.75" customHeight="1">
      <c r="A423" s="3">
        <v>2044336.0</v>
      </c>
      <c r="B423" s="3" t="s">
        <v>116</v>
      </c>
      <c r="C423" s="3" t="s">
        <v>117</v>
      </c>
      <c r="D423" s="3" t="s">
        <v>46</v>
      </c>
      <c r="E423" s="3" t="s">
        <v>6688</v>
      </c>
      <c r="F423" s="3"/>
      <c r="G423" s="3" t="s">
        <v>119</v>
      </c>
      <c r="H423" s="3" t="s">
        <v>50</v>
      </c>
      <c r="I423" s="3">
        <v>161500.0</v>
      </c>
      <c r="J423" s="3"/>
      <c r="K423" s="3"/>
      <c r="L423" s="3" t="s">
        <v>1227</v>
      </c>
      <c r="M423" s="3" t="s">
        <v>6689</v>
      </c>
      <c r="N423" s="3" t="s">
        <v>53</v>
      </c>
      <c r="O423" s="3" t="s">
        <v>187</v>
      </c>
      <c r="P423" s="4">
        <v>44265.6666666667</v>
      </c>
      <c r="Q423" s="3" t="s">
        <v>77</v>
      </c>
      <c r="R423" s="5">
        <v>44265.0</v>
      </c>
      <c r="S423" s="3" t="s">
        <v>123</v>
      </c>
      <c r="T423" s="3">
        <v>1100098.0</v>
      </c>
      <c r="U423" s="3" t="s">
        <v>2306</v>
      </c>
      <c r="V423" s="3" t="s">
        <v>125</v>
      </c>
      <c r="W423" s="3" t="s">
        <v>100</v>
      </c>
      <c r="X423" s="3"/>
      <c r="Y423" s="3" t="str">
        <f>"02049000075202101"</f>
        <v>02049000075202101</v>
      </c>
      <c r="Z423" s="3" t="s">
        <v>223</v>
      </c>
      <c r="AA423" s="3" t="s">
        <v>5130</v>
      </c>
      <c r="AB423" s="3" t="str">
        <f>"09643466000180"</f>
        <v>09643466000180</v>
      </c>
      <c r="AC423" s="3"/>
      <c r="AD423" s="3"/>
      <c r="AE423" s="3"/>
      <c r="AF423" s="3">
        <v>-61.0125</v>
      </c>
      <c r="AG423" s="3">
        <v>-11.545556</v>
      </c>
      <c r="AH423" s="3" t="s">
        <v>6690</v>
      </c>
      <c r="AI423" s="3"/>
      <c r="AJ423" s="3" t="s">
        <v>1227</v>
      </c>
      <c r="AK423" s="3"/>
      <c r="AL423" s="3" t="s">
        <v>128</v>
      </c>
      <c r="AM423" s="3" t="s">
        <v>65</v>
      </c>
      <c r="AN423" s="3" t="s">
        <v>274</v>
      </c>
      <c r="AO423" s="4">
        <v>44270.0</v>
      </c>
      <c r="AP423" s="4">
        <v>44270.352650463</v>
      </c>
      <c r="AQ423" s="3" t="s">
        <v>132</v>
      </c>
      <c r="AR423" s="3" t="s">
        <v>247</v>
      </c>
      <c r="AS423" s="3" t="s">
        <v>6627</v>
      </c>
      <c r="AT423" s="4">
        <v>44281.0337152778</v>
      </c>
    </row>
    <row r="424" ht="15.75" customHeight="1">
      <c r="A424" s="3">
        <v>2044453.0</v>
      </c>
      <c r="B424" s="3" t="s">
        <v>116</v>
      </c>
      <c r="C424" s="3" t="s">
        <v>117</v>
      </c>
      <c r="D424" s="3" t="s">
        <v>46</v>
      </c>
      <c r="E424" s="3" t="s">
        <v>6691</v>
      </c>
      <c r="F424" s="3"/>
      <c r="G424" s="3" t="s">
        <v>119</v>
      </c>
      <c r="H424" s="3" t="s">
        <v>50</v>
      </c>
      <c r="I424" s="3">
        <v>108140.0</v>
      </c>
      <c r="J424" s="3"/>
      <c r="K424" s="3"/>
      <c r="L424" s="3" t="s">
        <v>1737</v>
      </c>
      <c r="M424" s="3" t="s">
        <v>6692</v>
      </c>
      <c r="N424" s="3" t="s">
        <v>186</v>
      </c>
      <c r="O424" s="3" t="s">
        <v>302</v>
      </c>
      <c r="P424" s="4">
        <v>44265.6666666667</v>
      </c>
      <c r="Q424" s="3" t="s">
        <v>56</v>
      </c>
      <c r="R424" s="5">
        <v>44158.0</v>
      </c>
      <c r="S424" s="3" t="s">
        <v>2022</v>
      </c>
      <c r="T424" s="3">
        <v>3304557.0</v>
      </c>
      <c r="U424" s="3" t="s">
        <v>1740</v>
      </c>
      <c r="V424" s="3" t="s">
        <v>1741</v>
      </c>
      <c r="W424" s="3" t="s">
        <v>60</v>
      </c>
      <c r="X424" s="3"/>
      <c r="Y424" s="3"/>
      <c r="Z424" s="3" t="s">
        <v>306</v>
      </c>
      <c r="AA424" s="3" t="s">
        <v>61</v>
      </c>
      <c r="AB424" s="3" t="str">
        <f t="shared" ref="AB424:AB425" si="35">"33000167000101"</f>
        <v>33000167000101</v>
      </c>
      <c r="AC424" s="3"/>
      <c r="AD424" s="3"/>
      <c r="AE424" s="3"/>
      <c r="AF424" s="3">
        <v>-39.988889</v>
      </c>
      <c r="AG424" s="3">
        <v>-22.623333</v>
      </c>
      <c r="AH424" s="3" t="s">
        <v>6693</v>
      </c>
      <c r="AI424" s="3"/>
      <c r="AJ424" s="3" t="s">
        <v>1737</v>
      </c>
      <c r="AK424" s="3"/>
      <c r="AL424" s="3" t="s">
        <v>128</v>
      </c>
      <c r="AM424" s="3" t="s">
        <v>65</v>
      </c>
      <c r="AN424" s="3" t="s">
        <v>1743</v>
      </c>
      <c r="AO424" s="4">
        <v>44271.0</v>
      </c>
      <c r="AP424" s="4">
        <v>44271.7189351852</v>
      </c>
      <c r="AQ424" s="3" t="s">
        <v>132</v>
      </c>
      <c r="AR424" s="3" t="s">
        <v>1745</v>
      </c>
      <c r="AS424" s="3" t="s">
        <v>6694</v>
      </c>
      <c r="AT424" s="4">
        <v>44281.0337152778</v>
      </c>
    </row>
    <row r="425" ht="15.75" customHeight="1">
      <c r="A425" s="3">
        <v>2044466.0</v>
      </c>
      <c r="B425" s="3" t="s">
        <v>116</v>
      </c>
      <c r="C425" s="3" t="s">
        <v>117</v>
      </c>
      <c r="D425" s="3" t="s">
        <v>46</v>
      </c>
      <c r="E425" s="3" t="s">
        <v>6695</v>
      </c>
      <c r="F425" s="3"/>
      <c r="G425" s="3" t="s">
        <v>119</v>
      </c>
      <c r="H425" s="3" t="s">
        <v>50</v>
      </c>
      <c r="I425" s="3">
        <v>108025.0</v>
      </c>
      <c r="J425" s="3"/>
      <c r="K425" s="3"/>
      <c r="L425" s="3" t="s">
        <v>1737</v>
      </c>
      <c r="M425" s="3" t="s">
        <v>6696</v>
      </c>
      <c r="N425" s="3" t="s">
        <v>186</v>
      </c>
      <c r="O425" s="3" t="s">
        <v>302</v>
      </c>
      <c r="P425" s="4">
        <v>44265.6666666667</v>
      </c>
      <c r="Q425" s="3" t="s">
        <v>56</v>
      </c>
      <c r="R425" s="5">
        <v>44267.0</v>
      </c>
      <c r="S425" s="3" t="s">
        <v>2022</v>
      </c>
      <c r="T425" s="3">
        <v>3304557.0</v>
      </c>
      <c r="U425" s="3" t="s">
        <v>1740</v>
      </c>
      <c r="V425" s="3" t="s">
        <v>1741</v>
      </c>
      <c r="W425" s="3" t="s">
        <v>60</v>
      </c>
      <c r="X425" s="3"/>
      <c r="Y425" s="3"/>
      <c r="Z425" s="3" t="s">
        <v>306</v>
      </c>
      <c r="AA425" s="3" t="s">
        <v>61</v>
      </c>
      <c r="AB425" s="3" t="str">
        <f t="shared" si="35"/>
        <v>33000167000101</v>
      </c>
      <c r="AC425" s="3"/>
      <c r="AD425" s="3"/>
      <c r="AE425" s="3"/>
      <c r="AF425" s="3">
        <v>-40.093056</v>
      </c>
      <c r="AG425" s="3">
        <v>-22.633889</v>
      </c>
      <c r="AH425" s="3" t="s">
        <v>6697</v>
      </c>
      <c r="AI425" s="3"/>
      <c r="AJ425" s="3" t="s">
        <v>1737</v>
      </c>
      <c r="AK425" s="3"/>
      <c r="AL425" s="3" t="s">
        <v>128</v>
      </c>
      <c r="AM425" s="3" t="s">
        <v>65</v>
      </c>
      <c r="AN425" s="3" t="s">
        <v>1743</v>
      </c>
      <c r="AO425" s="4">
        <v>44271.0</v>
      </c>
      <c r="AP425" s="4">
        <v>44271.7624652778</v>
      </c>
      <c r="AQ425" s="3" t="s">
        <v>132</v>
      </c>
      <c r="AR425" s="3" t="s">
        <v>1745</v>
      </c>
      <c r="AS425" s="3" t="s">
        <v>6694</v>
      </c>
      <c r="AT425" s="4">
        <v>44281.0337152778</v>
      </c>
    </row>
    <row r="426" ht="15.75" customHeight="1">
      <c r="A426" s="3"/>
      <c r="B426" s="3" t="s">
        <v>46</v>
      </c>
      <c r="C426" s="3" t="s">
        <v>47</v>
      </c>
      <c r="D426" s="3"/>
      <c r="E426" s="3" t="s">
        <v>6698</v>
      </c>
      <c r="F426" s="3"/>
      <c r="G426" s="3" t="s">
        <v>49</v>
      </c>
      <c r="H426" s="3" t="s">
        <v>72</v>
      </c>
      <c r="I426" s="3">
        <v>9000.0</v>
      </c>
      <c r="J426" s="3"/>
      <c r="K426" s="3"/>
      <c r="L426" s="3"/>
      <c r="M426" s="3" t="s">
        <v>6604</v>
      </c>
      <c r="N426" s="3" t="s">
        <v>285</v>
      </c>
      <c r="O426" s="3" t="s">
        <v>286</v>
      </c>
      <c r="P426" s="4">
        <v>44265.6580787037</v>
      </c>
      <c r="Q426" s="3" t="s">
        <v>56</v>
      </c>
      <c r="R426" s="3"/>
      <c r="S426" s="3" t="s">
        <v>400</v>
      </c>
      <c r="T426" s="3">
        <v>4314605.0</v>
      </c>
      <c r="U426" s="3" t="s">
        <v>6699</v>
      </c>
      <c r="V426" s="3" t="s">
        <v>402</v>
      </c>
      <c r="W426" s="3" t="s">
        <v>314</v>
      </c>
      <c r="X426" s="3"/>
      <c r="Y426" s="3"/>
      <c r="Z426" s="3" t="s">
        <v>292</v>
      </c>
      <c r="AA426" s="3" t="s">
        <v>6700</v>
      </c>
      <c r="AB426" s="3" t="str">
        <f>"87678132000821"</f>
        <v>87678132000821</v>
      </c>
      <c r="AC426" s="3"/>
      <c r="AD426" s="3" t="s">
        <v>62</v>
      </c>
      <c r="AE426" s="3"/>
      <c r="AF426" s="3">
        <v>-53.036222</v>
      </c>
      <c r="AG426" s="3">
        <v>-31.0285</v>
      </c>
      <c r="AH426" s="3" t="s">
        <v>6701</v>
      </c>
      <c r="AI426" s="3"/>
      <c r="AJ426" s="3" t="s">
        <v>405</v>
      </c>
      <c r="AK426" s="3"/>
      <c r="AL426" s="3"/>
      <c r="AM426" s="3" t="s">
        <v>65</v>
      </c>
      <c r="AN426" s="3" t="s">
        <v>1302</v>
      </c>
      <c r="AO426" s="3"/>
      <c r="AP426" s="4">
        <v>44265.6638657407</v>
      </c>
      <c r="AQ426" s="3"/>
      <c r="AR426" s="3" t="s">
        <v>803</v>
      </c>
      <c r="AS426" s="3"/>
      <c r="AT426" s="4">
        <v>44281.0337152778</v>
      </c>
    </row>
    <row r="427" ht="15.75" customHeight="1">
      <c r="A427" s="3">
        <v>2044228.0</v>
      </c>
      <c r="B427" s="3" t="s">
        <v>116</v>
      </c>
      <c r="C427" s="3" t="s">
        <v>117</v>
      </c>
      <c r="D427" s="3" t="s">
        <v>46</v>
      </c>
      <c r="E427" s="3" t="s">
        <v>6702</v>
      </c>
      <c r="F427" s="3"/>
      <c r="G427" s="3" t="s">
        <v>119</v>
      </c>
      <c r="H427" s="3" t="s">
        <v>50</v>
      </c>
      <c r="I427" s="3">
        <v>1000.0</v>
      </c>
      <c r="J427" s="3"/>
      <c r="K427" s="3"/>
      <c r="L427" s="3" t="s">
        <v>485</v>
      </c>
      <c r="M427" s="3" t="s">
        <v>6703</v>
      </c>
      <c r="N427" s="3" t="s">
        <v>285</v>
      </c>
      <c r="O427" s="3" t="s">
        <v>286</v>
      </c>
      <c r="P427" s="4">
        <v>44265.625</v>
      </c>
      <c r="Q427" s="3" t="s">
        <v>56</v>
      </c>
      <c r="R427" s="5">
        <v>44265.0</v>
      </c>
      <c r="S427" s="3" t="s">
        <v>488</v>
      </c>
      <c r="T427" s="3">
        <v>1721000.0</v>
      </c>
      <c r="U427" s="3" t="s">
        <v>886</v>
      </c>
      <c r="V427" s="3" t="s">
        <v>490</v>
      </c>
      <c r="W427" s="3" t="s">
        <v>172</v>
      </c>
      <c r="X427" s="3"/>
      <c r="Y427" s="3" t="str">
        <f>"02029000281202141"</f>
        <v>02029000281202141</v>
      </c>
      <c r="Z427" s="3" t="s">
        <v>292</v>
      </c>
      <c r="AA427" s="3" t="s">
        <v>6704</v>
      </c>
      <c r="AB427" s="3" t="str">
        <f>"27875872000150"</f>
        <v>27875872000150</v>
      </c>
      <c r="AC427" s="3"/>
      <c r="AD427" s="3"/>
      <c r="AE427" s="3"/>
      <c r="AF427" s="3">
        <v>-48.332778</v>
      </c>
      <c r="AG427" s="3">
        <v>-10.208611</v>
      </c>
      <c r="AH427" s="3" t="s">
        <v>5230</v>
      </c>
      <c r="AI427" s="3"/>
      <c r="AJ427" s="3" t="s">
        <v>485</v>
      </c>
      <c r="AK427" s="3"/>
      <c r="AL427" s="3" t="s">
        <v>128</v>
      </c>
      <c r="AM427" s="3" t="s">
        <v>65</v>
      </c>
      <c r="AN427" s="3" t="s">
        <v>296</v>
      </c>
      <c r="AO427" s="4">
        <v>44265.0</v>
      </c>
      <c r="AP427" s="4">
        <v>44265.686400463</v>
      </c>
      <c r="AQ427" s="3" t="s">
        <v>132</v>
      </c>
      <c r="AR427" s="3" t="s">
        <v>693</v>
      </c>
      <c r="AS427" s="3"/>
      <c r="AT427" s="4">
        <v>44281.0337152778</v>
      </c>
    </row>
    <row r="428" ht="15.75" customHeight="1">
      <c r="A428" s="3">
        <v>2044323.0</v>
      </c>
      <c r="B428" s="3" t="s">
        <v>116</v>
      </c>
      <c r="C428" s="3" t="s">
        <v>117</v>
      </c>
      <c r="D428" s="3" t="s">
        <v>46</v>
      </c>
      <c r="E428" s="3" t="s">
        <v>6705</v>
      </c>
      <c r="F428" s="3"/>
      <c r="G428" s="3" t="s">
        <v>119</v>
      </c>
      <c r="H428" s="3" t="s">
        <v>50</v>
      </c>
      <c r="I428" s="3">
        <v>52500.0</v>
      </c>
      <c r="J428" s="3"/>
      <c r="K428" s="3"/>
      <c r="L428" s="3" t="s">
        <v>1227</v>
      </c>
      <c r="M428" s="3" t="s">
        <v>6706</v>
      </c>
      <c r="N428" s="3" t="s">
        <v>53</v>
      </c>
      <c r="O428" s="3" t="s">
        <v>187</v>
      </c>
      <c r="P428" s="4">
        <v>44265.625</v>
      </c>
      <c r="Q428" s="3" t="s">
        <v>77</v>
      </c>
      <c r="R428" s="5">
        <v>44265.0</v>
      </c>
      <c r="S428" s="3" t="s">
        <v>123</v>
      </c>
      <c r="T428" s="3">
        <v>1100379.0</v>
      </c>
      <c r="U428" s="3" t="s">
        <v>196</v>
      </c>
      <c r="V428" s="3" t="s">
        <v>125</v>
      </c>
      <c r="W428" s="3" t="s">
        <v>100</v>
      </c>
      <c r="X428" s="3"/>
      <c r="Y428" s="3" t="str">
        <f>"02049000074202158"</f>
        <v>02049000074202158</v>
      </c>
      <c r="Z428" s="3" t="s">
        <v>223</v>
      </c>
      <c r="AA428" s="3" t="s">
        <v>6707</v>
      </c>
      <c r="AB428" s="3" t="str">
        <f>"12121671000190"</f>
        <v>12121671000190</v>
      </c>
      <c r="AC428" s="3"/>
      <c r="AD428" s="3"/>
      <c r="AE428" s="3"/>
      <c r="AF428" s="3">
        <v>-61.445</v>
      </c>
      <c r="AG428" s="3">
        <v>-11.429167</v>
      </c>
      <c r="AH428" s="3" t="s">
        <v>6708</v>
      </c>
      <c r="AI428" s="3"/>
      <c r="AJ428" s="3" t="s">
        <v>1227</v>
      </c>
      <c r="AK428" s="3"/>
      <c r="AL428" s="3" t="s">
        <v>128</v>
      </c>
      <c r="AM428" s="3" t="s">
        <v>65</v>
      </c>
      <c r="AN428" s="3" t="s">
        <v>274</v>
      </c>
      <c r="AO428" s="4">
        <v>44267.0</v>
      </c>
      <c r="AP428" s="4">
        <v>44267.754224537</v>
      </c>
      <c r="AQ428" s="3" t="s">
        <v>132</v>
      </c>
      <c r="AR428" s="3" t="s">
        <v>247</v>
      </c>
      <c r="AS428" s="3" t="s">
        <v>6627</v>
      </c>
      <c r="AT428" s="4">
        <v>44281.0337152778</v>
      </c>
    </row>
    <row r="429" ht="15.75" customHeight="1">
      <c r="A429" s="3">
        <v>2044337.0</v>
      </c>
      <c r="B429" s="3" t="s">
        <v>116</v>
      </c>
      <c r="C429" s="3" t="s">
        <v>117</v>
      </c>
      <c r="D429" s="3" t="s">
        <v>46</v>
      </c>
      <c r="E429" s="3" t="s">
        <v>6709</v>
      </c>
      <c r="F429" s="3"/>
      <c r="G429" s="3" t="s">
        <v>119</v>
      </c>
      <c r="H429" s="3" t="s">
        <v>50</v>
      </c>
      <c r="I429" s="3">
        <v>161500.0</v>
      </c>
      <c r="J429" s="3"/>
      <c r="K429" s="3"/>
      <c r="L429" s="3" t="s">
        <v>1227</v>
      </c>
      <c r="M429" s="3" t="s">
        <v>6710</v>
      </c>
      <c r="N429" s="3" t="s">
        <v>53</v>
      </c>
      <c r="O429" s="3" t="s">
        <v>187</v>
      </c>
      <c r="P429" s="4">
        <v>44265.625</v>
      </c>
      <c r="Q429" s="3" t="s">
        <v>77</v>
      </c>
      <c r="R429" s="5">
        <v>44265.0</v>
      </c>
      <c r="S429" s="3" t="s">
        <v>123</v>
      </c>
      <c r="T429" s="3">
        <v>1100098.0</v>
      </c>
      <c r="U429" s="3" t="s">
        <v>2306</v>
      </c>
      <c r="V429" s="3" t="s">
        <v>125</v>
      </c>
      <c r="W429" s="3" t="s">
        <v>100</v>
      </c>
      <c r="X429" s="3"/>
      <c r="Y429" s="3" t="str">
        <f>"02049000076202147"</f>
        <v>02049000076202147</v>
      </c>
      <c r="Z429" s="3" t="s">
        <v>223</v>
      </c>
      <c r="AA429" s="3" t="s">
        <v>6711</v>
      </c>
      <c r="AB429" s="3" t="str">
        <f>"13450052000101"</f>
        <v>13450052000101</v>
      </c>
      <c r="AC429" s="3"/>
      <c r="AD429" s="3"/>
      <c r="AE429" s="3"/>
      <c r="AF429" s="3">
        <v>-61.038611</v>
      </c>
      <c r="AG429" s="3">
        <v>-11.504444</v>
      </c>
      <c r="AH429" s="3" t="s">
        <v>6712</v>
      </c>
      <c r="AI429" s="3"/>
      <c r="AJ429" s="3" t="s">
        <v>1227</v>
      </c>
      <c r="AK429" s="3"/>
      <c r="AL429" s="3" t="s">
        <v>128</v>
      </c>
      <c r="AM429" s="3" t="s">
        <v>65</v>
      </c>
      <c r="AN429" s="3" t="s">
        <v>274</v>
      </c>
      <c r="AO429" s="4">
        <v>44270.0</v>
      </c>
      <c r="AP429" s="4">
        <v>44270.3536574074</v>
      </c>
      <c r="AQ429" s="3" t="s">
        <v>132</v>
      </c>
      <c r="AR429" s="3" t="s">
        <v>247</v>
      </c>
      <c r="AS429" s="3" t="s">
        <v>6627</v>
      </c>
      <c r="AT429" s="4">
        <v>44281.0337152778</v>
      </c>
    </row>
    <row r="430" ht="15.75" customHeight="1">
      <c r="A430" s="3">
        <v>2044338.0</v>
      </c>
      <c r="B430" s="3" t="s">
        <v>116</v>
      </c>
      <c r="C430" s="3" t="s">
        <v>117</v>
      </c>
      <c r="D430" s="3" t="s">
        <v>46</v>
      </c>
      <c r="E430" s="3" t="s">
        <v>6713</v>
      </c>
      <c r="F430" s="3"/>
      <c r="G430" s="3" t="s">
        <v>119</v>
      </c>
      <c r="H430" s="3" t="s">
        <v>50</v>
      </c>
      <c r="I430" s="3">
        <v>161500.0</v>
      </c>
      <c r="J430" s="3"/>
      <c r="K430" s="3"/>
      <c r="L430" s="3" t="s">
        <v>1227</v>
      </c>
      <c r="M430" s="3" t="s">
        <v>6714</v>
      </c>
      <c r="N430" s="3" t="s">
        <v>53</v>
      </c>
      <c r="O430" s="3" t="s">
        <v>187</v>
      </c>
      <c r="P430" s="4">
        <v>44265.625</v>
      </c>
      <c r="Q430" s="3" t="s">
        <v>77</v>
      </c>
      <c r="R430" s="5">
        <v>44265.0</v>
      </c>
      <c r="S430" s="3" t="s">
        <v>123</v>
      </c>
      <c r="T430" s="3">
        <v>1100098.0</v>
      </c>
      <c r="U430" s="3" t="s">
        <v>2306</v>
      </c>
      <c r="V430" s="3" t="s">
        <v>125</v>
      </c>
      <c r="W430" s="3" t="s">
        <v>100</v>
      </c>
      <c r="X430" s="3"/>
      <c r="Y430" s="3" t="str">
        <f>"02049000077202191"</f>
        <v>02049000077202191</v>
      </c>
      <c r="Z430" s="3" t="s">
        <v>223</v>
      </c>
      <c r="AA430" s="3" t="s">
        <v>6715</v>
      </c>
      <c r="AB430" s="3" t="str">
        <f>"13820935000166"</f>
        <v>13820935000166</v>
      </c>
      <c r="AC430" s="3"/>
      <c r="AD430" s="3"/>
      <c r="AE430" s="3"/>
      <c r="AF430" s="3">
        <v>-61.0275</v>
      </c>
      <c r="AG430" s="3">
        <v>-11.542778</v>
      </c>
      <c r="AH430" s="3" t="s">
        <v>6716</v>
      </c>
      <c r="AI430" s="3"/>
      <c r="AJ430" s="3" t="s">
        <v>1227</v>
      </c>
      <c r="AK430" s="3"/>
      <c r="AL430" s="3" t="s">
        <v>128</v>
      </c>
      <c r="AM430" s="3" t="s">
        <v>65</v>
      </c>
      <c r="AN430" s="3" t="s">
        <v>274</v>
      </c>
      <c r="AO430" s="4">
        <v>44270.0</v>
      </c>
      <c r="AP430" s="4">
        <v>44270.3544212963</v>
      </c>
      <c r="AQ430" s="3" t="s">
        <v>132</v>
      </c>
      <c r="AR430" s="3" t="s">
        <v>247</v>
      </c>
      <c r="AS430" s="3" t="s">
        <v>6627</v>
      </c>
      <c r="AT430" s="4">
        <v>44281.0337152778</v>
      </c>
    </row>
    <row r="431" ht="15.75" customHeight="1">
      <c r="A431" s="3">
        <v>2044348.0</v>
      </c>
      <c r="B431" s="3" t="s">
        <v>116</v>
      </c>
      <c r="C431" s="3" t="s">
        <v>117</v>
      </c>
      <c r="D431" s="3" t="s">
        <v>46</v>
      </c>
      <c r="E431" s="3" t="s">
        <v>6717</v>
      </c>
      <c r="F431" s="3"/>
      <c r="G431" s="3" t="s">
        <v>119</v>
      </c>
      <c r="H431" s="3" t="s">
        <v>50</v>
      </c>
      <c r="I431" s="3">
        <v>161500.0</v>
      </c>
      <c r="J431" s="3"/>
      <c r="K431" s="3"/>
      <c r="L431" s="3" t="s">
        <v>1227</v>
      </c>
      <c r="M431" s="3" t="s">
        <v>6718</v>
      </c>
      <c r="N431" s="3" t="s">
        <v>53</v>
      </c>
      <c r="O431" s="3" t="s">
        <v>187</v>
      </c>
      <c r="P431" s="4">
        <v>44265.625</v>
      </c>
      <c r="Q431" s="3" t="s">
        <v>77</v>
      </c>
      <c r="R431" s="5">
        <v>44265.0</v>
      </c>
      <c r="S431" s="3" t="s">
        <v>148</v>
      </c>
      <c r="T431" s="3">
        <v>1100098.0</v>
      </c>
      <c r="U431" s="3" t="s">
        <v>2306</v>
      </c>
      <c r="V431" s="3" t="s">
        <v>125</v>
      </c>
      <c r="W431" s="3" t="s">
        <v>100</v>
      </c>
      <c r="X431" s="3"/>
      <c r="Y431" s="3" t="str">
        <f>"02049000082202102"</f>
        <v>02049000082202102</v>
      </c>
      <c r="Z431" s="3" t="s">
        <v>223</v>
      </c>
      <c r="AA431" s="3" t="s">
        <v>6719</v>
      </c>
      <c r="AB431" s="3" t="str">
        <f>"25014792000184"</f>
        <v>25014792000184</v>
      </c>
      <c r="AC431" s="3"/>
      <c r="AD431" s="3"/>
      <c r="AE431" s="3"/>
      <c r="AF431" s="3">
        <v>-61.019722</v>
      </c>
      <c r="AG431" s="3">
        <v>-11.545833</v>
      </c>
      <c r="AH431" s="3" t="s">
        <v>6720</v>
      </c>
      <c r="AI431" s="3"/>
      <c r="AJ431" s="3" t="s">
        <v>1227</v>
      </c>
      <c r="AK431" s="3"/>
      <c r="AL431" s="3" t="s">
        <v>128</v>
      </c>
      <c r="AM431" s="3" t="s">
        <v>65</v>
      </c>
      <c r="AN431" s="3" t="s">
        <v>274</v>
      </c>
      <c r="AO431" s="4">
        <v>44270.0</v>
      </c>
      <c r="AP431" s="4">
        <v>44270.3812962963</v>
      </c>
      <c r="AQ431" s="3" t="s">
        <v>132</v>
      </c>
      <c r="AR431" s="3" t="s">
        <v>247</v>
      </c>
      <c r="AS431" s="3" t="s">
        <v>6627</v>
      </c>
      <c r="AT431" s="4">
        <v>44281.0337152778</v>
      </c>
    </row>
    <row r="432" ht="15.75" customHeight="1">
      <c r="A432" s="3">
        <v>2044495.0</v>
      </c>
      <c r="B432" s="3" t="s">
        <v>116</v>
      </c>
      <c r="C432" s="3" t="s">
        <v>117</v>
      </c>
      <c r="D432" s="3" t="s">
        <v>46</v>
      </c>
      <c r="E432" s="3" t="s">
        <v>6721</v>
      </c>
      <c r="F432" s="3"/>
      <c r="G432" s="3" t="s">
        <v>119</v>
      </c>
      <c r="H432" s="3" t="s">
        <v>72</v>
      </c>
      <c r="I432" s="3">
        <v>1.129E7</v>
      </c>
      <c r="J432" s="3"/>
      <c r="K432" s="3"/>
      <c r="L432" s="3" t="s">
        <v>120</v>
      </c>
      <c r="M432" s="3" t="s">
        <v>6722</v>
      </c>
      <c r="N432" s="3" t="s">
        <v>109</v>
      </c>
      <c r="O432" s="3" t="s">
        <v>110</v>
      </c>
      <c r="P432" s="4">
        <v>44265.625</v>
      </c>
      <c r="Q432" s="3" t="s">
        <v>56</v>
      </c>
      <c r="R432" s="5">
        <v>44265.0</v>
      </c>
      <c r="S432" s="3" t="s">
        <v>608</v>
      </c>
      <c r="T432" s="3">
        <v>5300108.0</v>
      </c>
      <c r="U432" s="3" t="s">
        <v>304</v>
      </c>
      <c r="V432" s="3" t="s">
        <v>305</v>
      </c>
      <c r="W432" s="3" t="s">
        <v>100</v>
      </c>
      <c r="X432" s="3"/>
      <c r="Y432" s="3" t="str">
        <f>"02001005556202141"</f>
        <v>02001005556202141</v>
      </c>
      <c r="Z432" s="3" t="s">
        <v>112</v>
      </c>
      <c r="AA432" s="3" t="s">
        <v>6723</v>
      </c>
      <c r="AB432" s="3" t="str">
        <f>"***158048**"</f>
        <v>***158048**</v>
      </c>
      <c r="AC432" s="3"/>
      <c r="AD432" s="3"/>
      <c r="AE432" s="3"/>
      <c r="AF432" s="3">
        <v>-47.858611</v>
      </c>
      <c r="AG432" s="3">
        <v>-15.771111</v>
      </c>
      <c r="AH432" s="3" t="s">
        <v>6724</v>
      </c>
      <c r="AI432" s="3"/>
      <c r="AJ432" s="3" t="s">
        <v>120</v>
      </c>
      <c r="AK432" s="3"/>
      <c r="AL432" s="3" t="s">
        <v>128</v>
      </c>
      <c r="AM432" s="3" t="s">
        <v>65</v>
      </c>
      <c r="AN432" s="3" t="s">
        <v>66</v>
      </c>
      <c r="AO432" s="4">
        <v>44272.0</v>
      </c>
      <c r="AP432" s="4">
        <v>44272.9530208333</v>
      </c>
      <c r="AQ432" s="3" t="s">
        <v>132</v>
      </c>
      <c r="AR432" s="3" t="s">
        <v>2564</v>
      </c>
      <c r="AS432" s="3"/>
      <c r="AT432" s="4">
        <v>44281.0337152778</v>
      </c>
    </row>
    <row r="433" ht="15.75" customHeight="1">
      <c r="A433" s="3">
        <v>2044710.0</v>
      </c>
      <c r="B433" s="3" t="s">
        <v>116</v>
      </c>
      <c r="C433" s="3" t="s">
        <v>117</v>
      </c>
      <c r="D433" s="3" t="s">
        <v>46</v>
      </c>
      <c r="E433" s="3" t="s">
        <v>6725</v>
      </c>
      <c r="F433" s="3"/>
      <c r="G433" s="3" t="s">
        <v>119</v>
      </c>
      <c r="H433" s="3" t="s">
        <v>72</v>
      </c>
      <c r="I433" s="3">
        <v>12300.0</v>
      </c>
      <c r="J433" s="3"/>
      <c r="K433" s="3"/>
      <c r="L433" s="3" t="s">
        <v>2062</v>
      </c>
      <c r="M433" s="3" t="s">
        <v>6726</v>
      </c>
      <c r="N433" s="3" t="s">
        <v>109</v>
      </c>
      <c r="O433" s="3" t="s">
        <v>110</v>
      </c>
      <c r="P433" s="4">
        <v>44265.625</v>
      </c>
      <c r="Q433" s="3" t="s">
        <v>77</v>
      </c>
      <c r="R433" s="5">
        <v>44265.0</v>
      </c>
      <c r="S433" s="3" t="s">
        <v>123</v>
      </c>
      <c r="T433" s="3">
        <v>1100205.0</v>
      </c>
      <c r="U433" s="3" t="s">
        <v>242</v>
      </c>
      <c r="V433" s="3" t="s">
        <v>125</v>
      </c>
      <c r="W433" s="3" t="s">
        <v>100</v>
      </c>
      <c r="X433" s="3"/>
      <c r="Y433" s="3" t="str">
        <f>"02024000916202150"</f>
        <v>02024000916202150</v>
      </c>
      <c r="Z433" s="3" t="s">
        <v>112</v>
      </c>
      <c r="AA433" s="3" t="s">
        <v>424</v>
      </c>
      <c r="AB433" s="3" t="str">
        <f>"12535196000106"</f>
        <v>12535196000106</v>
      </c>
      <c r="AC433" s="3"/>
      <c r="AD433" s="3"/>
      <c r="AE433" s="3"/>
      <c r="AF433" s="3">
        <v>-63.890556</v>
      </c>
      <c r="AG433" s="3">
        <v>-8.737778</v>
      </c>
      <c r="AH433" s="3" t="s">
        <v>6443</v>
      </c>
      <c r="AI433" s="3"/>
      <c r="AJ433" s="3" t="s">
        <v>2062</v>
      </c>
      <c r="AK433" s="3"/>
      <c r="AL433" s="3" t="s">
        <v>128</v>
      </c>
      <c r="AM433" s="3" t="s">
        <v>65</v>
      </c>
      <c r="AN433" s="3"/>
      <c r="AO433" s="4">
        <v>44280.0</v>
      </c>
      <c r="AP433" s="4">
        <v>44280.5660532407</v>
      </c>
      <c r="AQ433" s="3" t="s">
        <v>132</v>
      </c>
      <c r="AR433" s="3" t="s">
        <v>133</v>
      </c>
      <c r="AS433" s="3"/>
      <c r="AT433" s="4">
        <v>44281.0337152778</v>
      </c>
    </row>
    <row r="434" ht="15.75" customHeight="1">
      <c r="A434" s="3">
        <v>2044226.0</v>
      </c>
      <c r="B434" s="3" t="s">
        <v>116</v>
      </c>
      <c r="C434" s="3" t="s">
        <v>117</v>
      </c>
      <c r="D434" s="3" t="s">
        <v>46</v>
      </c>
      <c r="E434" s="3" t="s">
        <v>6727</v>
      </c>
      <c r="F434" s="3"/>
      <c r="G434" s="3" t="s">
        <v>119</v>
      </c>
      <c r="H434" s="3" t="s">
        <v>50</v>
      </c>
      <c r="I434" s="3">
        <v>1300.0</v>
      </c>
      <c r="J434" s="3"/>
      <c r="K434" s="3"/>
      <c r="L434" s="3" t="s">
        <v>485</v>
      </c>
      <c r="M434" s="3" t="s">
        <v>6728</v>
      </c>
      <c r="N434" s="3" t="s">
        <v>285</v>
      </c>
      <c r="O434" s="3" t="s">
        <v>286</v>
      </c>
      <c r="P434" s="4">
        <v>44265.5833333333</v>
      </c>
      <c r="Q434" s="3" t="s">
        <v>56</v>
      </c>
      <c r="R434" s="5">
        <v>44265.0</v>
      </c>
      <c r="S434" s="3" t="s">
        <v>488</v>
      </c>
      <c r="T434" s="3">
        <v>1721000.0</v>
      </c>
      <c r="U434" s="3" t="s">
        <v>886</v>
      </c>
      <c r="V434" s="3" t="s">
        <v>490</v>
      </c>
      <c r="W434" s="3" t="s">
        <v>172</v>
      </c>
      <c r="X434" s="3"/>
      <c r="Y434" s="3" t="str">
        <f>"02029000279202171"</f>
        <v>02029000279202171</v>
      </c>
      <c r="Z434" s="3" t="s">
        <v>292</v>
      </c>
      <c r="AA434" s="3" t="s">
        <v>6729</v>
      </c>
      <c r="AB434" s="3" t="str">
        <f>"08888731000127"</f>
        <v>08888731000127</v>
      </c>
      <c r="AC434" s="3"/>
      <c r="AD434" s="3"/>
      <c r="AE434" s="3"/>
      <c r="AF434" s="3">
        <v>-48.332778</v>
      </c>
      <c r="AG434" s="3">
        <v>-10.208611</v>
      </c>
      <c r="AH434" s="3" t="s">
        <v>6730</v>
      </c>
      <c r="AI434" s="3"/>
      <c r="AJ434" s="3" t="s">
        <v>485</v>
      </c>
      <c r="AK434" s="3"/>
      <c r="AL434" s="3" t="s">
        <v>128</v>
      </c>
      <c r="AM434" s="3" t="s">
        <v>65</v>
      </c>
      <c r="AN434" s="3" t="s">
        <v>296</v>
      </c>
      <c r="AO434" s="4">
        <v>44265.0</v>
      </c>
      <c r="AP434" s="4">
        <v>44265.6856018519</v>
      </c>
      <c r="AQ434" s="3" t="s">
        <v>132</v>
      </c>
      <c r="AR434" s="3" t="s">
        <v>531</v>
      </c>
      <c r="AS434" s="3"/>
      <c r="AT434" s="4">
        <v>44281.0337152778</v>
      </c>
    </row>
    <row r="435" ht="15.75" customHeight="1">
      <c r="A435" s="3">
        <v>2044227.0</v>
      </c>
      <c r="B435" s="3" t="s">
        <v>116</v>
      </c>
      <c r="C435" s="3" t="s">
        <v>117</v>
      </c>
      <c r="D435" s="3" t="s">
        <v>46</v>
      </c>
      <c r="E435" s="3" t="s">
        <v>6731</v>
      </c>
      <c r="F435" s="3"/>
      <c r="G435" s="3" t="s">
        <v>119</v>
      </c>
      <c r="H435" s="3" t="s">
        <v>50</v>
      </c>
      <c r="I435" s="3">
        <v>1300.0</v>
      </c>
      <c r="J435" s="3"/>
      <c r="K435" s="3"/>
      <c r="L435" s="3" t="s">
        <v>485</v>
      </c>
      <c r="M435" s="3" t="s">
        <v>6732</v>
      </c>
      <c r="N435" s="3" t="s">
        <v>285</v>
      </c>
      <c r="O435" s="3" t="s">
        <v>286</v>
      </c>
      <c r="P435" s="4">
        <v>44265.5833333333</v>
      </c>
      <c r="Q435" s="3" t="s">
        <v>56</v>
      </c>
      <c r="R435" s="5">
        <v>44265.0</v>
      </c>
      <c r="S435" s="3" t="s">
        <v>488</v>
      </c>
      <c r="T435" s="3">
        <v>1721000.0</v>
      </c>
      <c r="U435" s="3" t="s">
        <v>886</v>
      </c>
      <c r="V435" s="3" t="s">
        <v>490</v>
      </c>
      <c r="W435" s="3" t="s">
        <v>172</v>
      </c>
      <c r="X435" s="3"/>
      <c r="Y435" s="3" t="str">
        <f>"02029000280202104"</f>
        <v>02029000280202104</v>
      </c>
      <c r="Z435" s="3" t="s">
        <v>292</v>
      </c>
      <c r="AA435" s="3" t="s">
        <v>6733</v>
      </c>
      <c r="AB435" s="3" t="str">
        <f>"08899581000157"</f>
        <v>08899581000157</v>
      </c>
      <c r="AC435" s="3"/>
      <c r="AD435" s="3"/>
      <c r="AE435" s="3"/>
      <c r="AF435" s="3">
        <v>-48.332778</v>
      </c>
      <c r="AG435" s="3">
        <v>-10.208611</v>
      </c>
      <c r="AH435" s="3" t="s">
        <v>5230</v>
      </c>
      <c r="AI435" s="3"/>
      <c r="AJ435" s="3" t="s">
        <v>485</v>
      </c>
      <c r="AK435" s="3"/>
      <c r="AL435" s="3" t="s">
        <v>128</v>
      </c>
      <c r="AM435" s="3" t="s">
        <v>65</v>
      </c>
      <c r="AN435" s="3" t="s">
        <v>296</v>
      </c>
      <c r="AO435" s="4">
        <v>44265.0</v>
      </c>
      <c r="AP435" s="4">
        <v>44265.6860185185</v>
      </c>
      <c r="AQ435" s="3" t="s">
        <v>132</v>
      </c>
      <c r="AR435" s="3" t="s">
        <v>531</v>
      </c>
      <c r="AS435" s="3"/>
      <c r="AT435" s="4">
        <v>44281.0337152778</v>
      </c>
    </row>
    <row r="436" ht="15.75" customHeight="1">
      <c r="A436" s="3">
        <v>2044280.0</v>
      </c>
      <c r="B436" s="3" t="s">
        <v>116</v>
      </c>
      <c r="C436" s="3" t="s">
        <v>117</v>
      </c>
      <c r="D436" s="3" t="s">
        <v>46</v>
      </c>
      <c r="E436" s="3" t="s">
        <v>6734</v>
      </c>
      <c r="F436" s="3"/>
      <c r="G436" s="3" t="s">
        <v>119</v>
      </c>
      <c r="H436" s="3" t="s">
        <v>72</v>
      </c>
      <c r="I436" s="3">
        <v>5827875.0</v>
      </c>
      <c r="J436" s="3"/>
      <c r="K436" s="3"/>
      <c r="L436" s="3" t="s">
        <v>120</v>
      </c>
      <c r="M436" s="3" t="s">
        <v>6735</v>
      </c>
      <c r="N436" s="3" t="s">
        <v>109</v>
      </c>
      <c r="O436" s="3" t="s">
        <v>110</v>
      </c>
      <c r="P436" s="4">
        <v>44265.5833333333</v>
      </c>
      <c r="Q436" s="3" t="s">
        <v>56</v>
      </c>
      <c r="R436" s="5">
        <v>44266.0</v>
      </c>
      <c r="S436" s="3" t="s">
        <v>241</v>
      </c>
      <c r="T436" s="3">
        <v>5107776.0</v>
      </c>
      <c r="U436" s="3" t="s">
        <v>6736</v>
      </c>
      <c r="V436" s="3" t="s">
        <v>323</v>
      </c>
      <c r="W436" s="3" t="s">
        <v>100</v>
      </c>
      <c r="X436" s="3"/>
      <c r="Y436" s="3" t="str">
        <f>"02001005098202140"</f>
        <v>02001005098202140</v>
      </c>
      <c r="Z436" s="3" t="s">
        <v>112</v>
      </c>
      <c r="AA436" s="3" t="s">
        <v>6723</v>
      </c>
      <c r="AB436" s="3" t="str">
        <f>"***158048**"</f>
        <v>***158048**</v>
      </c>
      <c r="AC436" s="3"/>
      <c r="AD436" s="3"/>
      <c r="AE436" s="3"/>
      <c r="AF436" s="3">
        <v>-50.522556</v>
      </c>
      <c r="AG436" s="3">
        <v>-9.808222</v>
      </c>
      <c r="AH436" s="3" t="s">
        <v>6737</v>
      </c>
      <c r="AI436" s="3"/>
      <c r="AJ436" s="3" t="s">
        <v>120</v>
      </c>
      <c r="AK436" s="3"/>
      <c r="AL436" s="3" t="s">
        <v>128</v>
      </c>
      <c r="AM436" s="3" t="s">
        <v>65</v>
      </c>
      <c r="AN436" s="3" t="s">
        <v>274</v>
      </c>
      <c r="AO436" s="4">
        <v>44266.0</v>
      </c>
      <c r="AP436" s="4">
        <v>44266.8497222222</v>
      </c>
      <c r="AQ436" s="3" t="s">
        <v>132</v>
      </c>
      <c r="AR436" s="3" t="s">
        <v>2082</v>
      </c>
      <c r="AS436" s="3" t="s">
        <v>6738</v>
      </c>
      <c r="AT436" s="4">
        <v>44281.0337152778</v>
      </c>
    </row>
    <row r="437" ht="15.75" customHeight="1">
      <c r="A437" s="3">
        <v>2044465.0</v>
      </c>
      <c r="B437" s="3" t="s">
        <v>116</v>
      </c>
      <c r="C437" s="3" t="s">
        <v>117</v>
      </c>
      <c r="D437" s="3" t="s">
        <v>46</v>
      </c>
      <c r="E437" s="3" t="s">
        <v>6739</v>
      </c>
      <c r="F437" s="3"/>
      <c r="G437" s="3" t="s">
        <v>119</v>
      </c>
      <c r="H437" s="3" t="s">
        <v>50</v>
      </c>
      <c r="I437" s="3">
        <v>110685.0</v>
      </c>
      <c r="J437" s="3"/>
      <c r="K437" s="3"/>
      <c r="L437" s="3" t="s">
        <v>1737</v>
      </c>
      <c r="M437" s="3" t="s">
        <v>6740</v>
      </c>
      <c r="N437" s="3" t="s">
        <v>186</v>
      </c>
      <c r="O437" s="3" t="s">
        <v>302</v>
      </c>
      <c r="P437" s="4">
        <v>44265.5833333333</v>
      </c>
      <c r="Q437" s="3" t="s">
        <v>56</v>
      </c>
      <c r="R437" s="5">
        <v>44267.0</v>
      </c>
      <c r="S437" s="3" t="s">
        <v>2022</v>
      </c>
      <c r="T437" s="3">
        <v>3304557.0</v>
      </c>
      <c r="U437" s="3" t="s">
        <v>1740</v>
      </c>
      <c r="V437" s="3" t="s">
        <v>1741</v>
      </c>
      <c r="W437" s="3" t="s">
        <v>60</v>
      </c>
      <c r="X437" s="3"/>
      <c r="Y437" s="3"/>
      <c r="Z437" s="3" t="s">
        <v>306</v>
      </c>
      <c r="AA437" s="3" t="s">
        <v>61</v>
      </c>
      <c r="AB437" s="3" t="str">
        <f>"33000167000101"</f>
        <v>33000167000101</v>
      </c>
      <c r="AC437" s="3"/>
      <c r="AD437" s="3"/>
      <c r="AE437" s="3"/>
      <c r="AF437" s="3">
        <v>-39.957222</v>
      </c>
      <c r="AG437" s="3">
        <v>-22.423333</v>
      </c>
      <c r="AH437" s="3" t="s">
        <v>6741</v>
      </c>
      <c r="AI437" s="3"/>
      <c r="AJ437" s="3" t="s">
        <v>1737</v>
      </c>
      <c r="AK437" s="3"/>
      <c r="AL437" s="3" t="s">
        <v>128</v>
      </c>
      <c r="AM437" s="3" t="s">
        <v>65</v>
      </c>
      <c r="AN437" s="3" t="s">
        <v>1743</v>
      </c>
      <c r="AO437" s="4">
        <v>44271.0</v>
      </c>
      <c r="AP437" s="4">
        <v>44271.7580324074</v>
      </c>
      <c r="AQ437" s="3" t="s">
        <v>132</v>
      </c>
      <c r="AR437" s="3" t="s">
        <v>1745</v>
      </c>
      <c r="AS437" s="3" t="s">
        <v>6694</v>
      </c>
      <c r="AT437" s="4">
        <v>44281.0337152778</v>
      </c>
    </row>
    <row r="438" ht="15.75" customHeight="1">
      <c r="A438" s="3"/>
      <c r="B438" s="3" t="s">
        <v>46</v>
      </c>
      <c r="C438" s="3" t="s">
        <v>47</v>
      </c>
      <c r="D438" s="3"/>
      <c r="E438" s="3" t="s">
        <v>6742</v>
      </c>
      <c r="F438" s="3"/>
      <c r="G438" s="3" t="s">
        <v>49</v>
      </c>
      <c r="H438" s="3" t="s">
        <v>72</v>
      </c>
      <c r="I438" s="3">
        <v>24000.0</v>
      </c>
      <c r="J438" s="3"/>
      <c r="K438" s="3"/>
      <c r="L438" s="3"/>
      <c r="M438" s="3" t="s">
        <v>6743</v>
      </c>
      <c r="N438" s="3" t="s">
        <v>109</v>
      </c>
      <c r="O438" s="3" t="s">
        <v>110</v>
      </c>
      <c r="P438" s="4">
        <v>44265.5694444444</v>
      </c>
      <c r="Q438" s="3" t="s">
        <v>77</v>
      </c>
      <c r="R438" s="3"/>
      <c r="S438" s="3" t="s">
        <v>915</v>
      </c>
      <c r="T438" s="3">
        <v>1506195.0</v>
      </c>
      <c r="U438" s="3" t="s">
        <v>6744</v>
      </c>
      <c r="V438" s="3" t="s">
        <v>917</v>
      </c>
      <c r="W438" s="3" t="s">
        <v>100</v>
      </c>
      <c r="X438" s="3"/>
      <c r="Y438" s="3"/>
      <c r="Z438" s="3" t="s">
        <v>112</v>
      </c>
      <c r="AA438" s="3" t="s">
        <v>6745</v>
      </c>
      <c r="AB438" s="3" t="str">
        <f>"***943703**"</f>
        <v>***943703**</v>
      </c>
      <c r="AC438" s="3"/>
      <c r="AD438" s="3" t="s">
        <v>325</v>
      </c>
      <c r="AE438" s="3"/>
      <c r="AF438" s="3">
        <v>-54.819167</v>
      </c>
      <c r="AG438" s="3">
        <v>-4.412778</v>
      </c>
      <c r="AH438" s="3" t="s">
        <v>6746</v>
      </c>
      <c r="AI438" s="3"/>
      <c r="AJ438" s="3" t="s">
        <v>120</v>
      </c>
      <c r="AK438" s="3"/>
      <c r="AL438" s="3"/>
      <c r="AM438" s="3" t="s">
        <v>65</v>
      </c>
      <c r="AN438" s="3" t="s">
        <v>6041</v>
      </c>
      <c r="AO438" s="3"/>
      <c r="AP438" s="4">
        <v>44275.3891087963</v>
      </c>
      <c r="AQ438" s="3"/>
      <c r="AR438" s="3" t="s">
        <v>6747</v>
      </c>
      <c r="AS438" s="3"/>
      <c r="AT438" s="4">
        <v>44281.0337152778</v>
      </c>
    </row>
    <row r="439" ht="15.75" customHeight="1">
      <c r="A439" s="3"/>
      <c r="B439" s="3" t="s">
        <v>46</v>
      </c>
      <c r="C439" s="3" t="s">
        <v>47</v>
      </c>
      <c r="D439" s="3"/>
      <c r="E439" s="3" t="s">
        <v>6748</v>
      </c>
      <c r="F439" s="3"/>
      <c r="G439" s="3" t="s">
        <v>49</v>
      </c>
      <c r="H439" s="3" t="s">
        <v>50</v>
      </c>
      <c r="I439" s="3">
        <v>1400.0</v>
      </c>
      <c r="J439" s="3"/>
      <c r="K439" s="3" t="s">
        <v>92</v>
      </c>
      <c r="L439" s="3"/>
      <c r="M439" s="3" t="s">
        <v>6749</v>
      </c>
      <c r="N439" s="3" t="s">
        <v>74</v>
      </c>
      <c r="O439" s="3" t="s">
        <v>75</v>
      </c>
      <c r="P439" s="4">
        <v>44265.5562037037</v>
      </c>
      <c r="Q439" s="3" t="s">
        <v>77</v>
      </c>
      <c r="R439" s="3"/>
      <c r="S439" s="3" t="s">
        <v>220</v>
      </c>
      <c r="T439" s="3">
        <v>5205513.0</v>
      </c>
      <c r="U439" s="3" t="s">
        <v>6750</v>
      </c>
      <c r="V439" s="3" t="s">
        <v>171</v>
      </c>
      <c r="W439" s="3" t="s">
        <v>172</v>
      </c>
      <c r="X439" s="3"/>
      <c r="Y439" s="3"/>
      <c r="Z439" s="3" t="s">
        <v>79</v>
      </c>
      <c r="AA439" s="3" t="s">
        <v>6751</v>
      </c>
      <c r="AB439" s="3" t="str">
        <f>"***277121**"</f>
        <v>***277121**</v>
      </c>
      <c r="AC439" s="3"/>
      <c r="AD439" s="3" t="s">
        <v>81</v>
      </c>
      <c r="AE439" s="3"/>
      <c r="AF439" s="3">
        <v>-50.657222</v>
      </c>
      <c r="AG439" s="3">
        <v>-13.0075</v>
      </c>
      <c r="AH439" s="3" t="s">
        <v>6601</v>
      </c>
      <c r="AI439" s="3"/>
      <c r="AJ439" s="3" t="s">
        <v>5396</v>
      </c>
      <c r="AK439" s="3"/>
      <c r="AL439" s="3"/>
      <c r="AM439" s="3" t="s">
        <v>65</v>
      </c>
      <c r="AN439" s="3" t="s">
        <v>5397</v>
      </c>
      <c r="AO439" s="3"/>
      <c r="AP439" s="4">
        <v>44265.58125</v>
      </c>
      <c r="AQ439" s="3"/>
      <c r="AR439" s="3" t="s">
        <v>6752</v>
      </c>
      <c r="AS439" s="3" t="s">
        <v>6753</v>
      </c>
      <c r="AT439" s="4">
        <v>44281.0337152778</v>
      </c>
    </row>
    <row r="440" ht="15.75" customHeight="1">
      <c r="A440" s="3"/>
      <c r="B440" s="3" t="s">
        <v>46</v>
      </c>
      <c r="C440" s="3" t="s">
        <v>47</v>
      </c>
      <c r="D440" s="3"/>
      <c r="E440" s="3" t="s">
        <v>6754</v>
      </c>
      <c r="F440" s="3"/>
      <c r="G440" s="3" t="s">
        <v>49</v>
      </c>
      <c r="H440" s="3" t="s">
        <v>50</v>
      </c>
      <c r="I440" s="3">
        <v>10000.0</v>
      </c>
      <c r="J440" s="3"/>
      <c r="K440" s="3" t="s">
        <v>51</v>
      </c>
      <c r="L440" s="3"/>
      <c r="M440" s="3" t="s">
        <v>6755</v>
      </c>
      <c r="N440" s="3" t="s">
        <v>301</v>
      </c>
      <c r="O440" s="3" t="s">
        <v>302</v>
      </c>
      <c r="P440" s="4">
        <v>44265.5539930556</v>
      </c>
      <c r="Q440" s="3" t="s">
        <v>77</v>
      </c>
      <c r="R440" s="3"/>
      <c r="S440" s="3" t="s">
        <v>220</v>
      </c>
      <c r="T440" s="3">
        <v>2307007.0</v>
      </c>
      <c r="U440" s="3" t="s">
        <v>6756</v>
      </c>
      <c r="V440" s="3" t="s">
        <v>439</v>
      </c>
      <c r="W440" s="3" t="s">
        <v>291</v>
      </c>
      <c r="X440" s="3"/>
      <c r="Y440" s="3"/>
      <c r="Z440" s="3" t="s">
        <v>306</v>
      </c>
      <c r="AA440" s="3" t="s">
        <v>6757</v>
      </c>
      <c r="AB440" s="3" t="str">
        <f>"***713293**"</f>
        <v>***713293**</v>
      </c>
      <c r="AC440" s="3"/>
      <c r="AD440" s="3" t="s">
        <v>81</v>
      </c>
      <c r="AE440" s="3"/>
      <c r="AF440" s="3">
        <v>-37.799444</v>
      </c>
      <c r="AG440" s="3">
        <v>-4.771111</v>
      </c>
      <c r="AH440" s="3" t="s">
        <v>6758</v>
      </c>
      <c r="AI440" s="3"/>
      <c r="AJ440" s="3" t="s">
        <v>442</v>
      </c>
      <c r="AK440" s="3"/>
      <c r="AL440" s="3"/>
      <c r="AM440" s="3" t="s">
        <v>65</v>
      </c>
      <c r="AN440" s="3" t="s">
        <v>159</v>
      </c>
      <c r="AO440" s="3"/>
      <c r="AP440" s="4">
        <v>44278.9112847222</v>
      </c>
      <c r="AQ440" s="3"/>
      <c r="AR440" s="3" t="s">
        <v>339</v>
      </c>
      <c r="AS440" s="3"/>
      <c r="AT440" s="4">
        <v>44281.0337152778</v>
      </c>
    </row>
    <row r="441" ht="15.75" customHeight="1">
      <c r="A441" s="3">
        <v>2044224.0</v>
      </c>
      <c r="B441" s="3" t="s">
        <v>116</v>
      </c>
      <c r="C441" s="3" t="s">
        <v>117</v>
      </c>
      <c r="D441" s="3" t="s">
        <v>46</v>
      </c>
      <c r="E441" s="3" t="s">
        <v>6759</v>
      </c>
      <c r="F441" s="3"/>
      <c r="G441" s="3" t="s">
        <v>119</v>
      </c>
      <c r="H441" s="3" t="s">
        <v>50</v>
      </c>
      <c r="I441" s="3">
        <v>1000.0</v>
      </c>
      <c r="J441" s="3"/>
      <c r="K441" s="3"/>
      <c r="L441" s="3" t="s">
        <v>485</v>
      </c>
      <c r="M441" s="3" t="s">
        <v>6760</v>
      </c>
      <c r="N441" s="3" t="s">
        <v>285</v>
      </c>
      <c r="O441" s="3" t="s">
        <v>286</v>
      </c>
      <c r="P441" s="4">
        <v>44265.5416666667</v>
      </c>
      <c r="Q441" s="3" t="s">
        <v>56</v>
      </c>
      <c r="R441" s="3"/>
      <c r="S441" s="3" t="s">
        <v>488</v>
      </c>
      <c r="T441" s="3">
        <v>1715754.0</v>
      </c>
      <c r="U441" s="3" t="s">
        <v>6620</v>
      </c>
      <c r="V441" s="3" t="s">
        <v>490</v>
      </c>
      <c r="W441" s="3" t="s">
        <v>100</v>
      </c>
      <c r="X441" s="3"/>
      <c r="Y441" s="3" t="str">
        <f>"02029000278202127"</f>
        <v>02029000278202127</v>
      </c>
      <c r="Z441" s="3" t="s">
        <v>292</v>
      </c>
      <c r="AA441" s="3" t="s">
        <v>6621</v>
      </c>
      <c r="AB441" s="3" t="str">
        <f>"37380672000180"</f>
        <v>37380672000180</v>
      </c>
      <c r="AC441" s="3"/>
      <c r="AD441" s="3"/>
      <c r="AE441" s="3"/>
      <c r="AF441" s="3">
        <v>-48.408056</v>
      </c>
      <c r="AG441" s="3">
        <v>-13.040278</v>
      </c>
      <c r="AH441" s="3" t="s">
        <v>6761</v>
      </c>
      <c r="AI441" s="3"/>
      <c r="AJ441" s="3" t="s">
        <v>485</v>
      </c>
      <c r="AK441" s="3"/>
      <c r="AL441" s="3" t="s">
        <v>128</v>
      </c>
      <c r="AM441" s="3" t="s">
        <v>65</v>
      </c>
      <c r="AN441" s="3" t="s">
        <v>296</v>
      </c>
      <c r="AO441" s="4">
        <v>44265.0</v>
      </c>
      <c r="AP441" s="4">
        <v>44265.6852314815</v>
      </c>
      <c r="AQ441" s="3" t="s">
        <v>132</v>
      </c>
      <c r="AR441" s="3" t="s">
        <v>693</v>
      </c>
      <c r="AS441" s="3"/>
      <c r="AT441" s="4">
        <v>44281.0337152778</v>
      </c>
    </row>
    <row r="442" ht="15.75" customHeight="1">
      <c r="A442" s="3">
        <v>2044399.0</v>
      </c>
      <c r="B442" s="3" t="s">
        <v>116</v>
      </c>
      <c r="C442" s="3" t="s">
        <v>117</v>
      </c>
      <c r="D442" s="3" t="s">
        <v>46</v>
      </c>
      <c r="E442" s="3" t="s">
        <v>6762</v>
      </c>
      <c r="F442" s="3"/>
      <c r="G442" s="3" t="s">
        <v>119</v>
      </c>
      <c r="H442" s="3" t="s">
        <v>72</v>
      </c>
      <c r="I442" s="3">
        <v>2000.0</v>
      </c>
      <c r="J442" s="3"/>
      <c r="K442" s="3"/>
      <c r="L442" s="3" t="s">
        <v>226</v>
      </c>
      <c r="M442" s="3" t="s">
        <v>6763</v>
      </c>
      <c r="N442" s="3" t="s">
        <v>257</v>
      </c>
      <c r="O442" s="3" t="s">
        <v>258</v>
      </c>
      <c r="P442" s="4">
        <v>44265.5416666667</v>
      </c>
      <c r="Q442" s="3" t="s">
        <v>56</v>
      </c>
      <c r="R442" s="3"/>
      <c r="S442" s="3" t="s">
        <v>784</v>
      </c>
      <c r="T442" s="3">
        <v>4216602.0</v>
      </c>
      <c r="U442" s="3" t="s">
        <v>6764</v>
      </c>
      <c r="V442" s="3" t="s">
        <v>222</v>
      </c>
      <c r="W442" s="3" t="s">
        <v>78</v>
      </c>
      <c r="X442" s="3"/>
      <c r="Y442" s="3" t="str">
        <f>"02026000722202134"</f>
        <v>02026000722202134</v>
      </c>
      <c r="Z442" s="3" t="s">
        <v>260</v>
      </c>
      <c r="AA442" s="3" t="s">
        <v>6765</v>
      </c>
      <c r="AB442" s="3" t="str">
        <f>"***980848**"</f>
        <v>***980848**</v>
      </c>
      <c r="AC442" s="3"/>
      <c r="AD442" s="3"/>
      <c r="AE442" s="3"/>
      <c r="AF442" s="3">
        <v>-48.615</v>
      </c>
      <c r="AG442" s="3">
        <v>-27.575833</v>
      </c>
      <c r="AH442" s="3" t="s">
        <v>6766</v>
      </c>
      <c r="AI442" s="3"/>
      <c r="AJ442" s="3" t="s">
        <v>226</v>
      </c>
      <c r="AK442" s="3"/>
      <c r="AL442" s="3" t="s">
        <v>128</v>
      </c>
      <c r="AM442" s="3" t="s">
        <v>65</v>
      </c>
      <c r="AN442" s="3" t="s">
        <v>227</v>
      </c>
      <c r="AO442" s="4">
        <v>44271.0</v>
      </c>
      <c r="AP442" s="4">
        <v>44271.443587963</v>
      </c>
      <c r="AQ442" s="3" t="s">
        <v>132</v>
      </c>
      <c r="AR442" s="3" t="s">
        <v>834</v>
      </c>
      <c r="AS442" s="3"/>
      <c r="AT442" s="4">
        <v>44281.0337152778</v>
      </c>
    </row>
    <row r="443" ht="15.75" customHeight="1">
      <c r="A443" s="3"/>
      <c r="B443" s="3" t="s">
        <v>46</v>
      </c>
      <c r="C443" s="3" t="s">
        <v>47</v>
      </c>
      <c r="D443" s="3"/>
      <c r="E443" s="3" t="s">
        <v>6767</v>
      </c>
      <c r="F443" s="3"/>
      <c r="G443" s="3" t="s">
        <v>49</v>
      </c>
      <c r="H443" s="3" t="s">
        <v>72</v>
      </c>
      <c r="I443" s="3">
        <v>9000.0</v>
      </c>
      <c r="J443" s="3"/>
      <c r="K443" s="3"/>
      <c r="L443" s="3"/>
      <c r="M443" s="3" t="s">
        <v>6604</v>
      </c>
      <c r="N443" s="3" t="s">
        <v>285</v>
      </c>
      <c r="O443" s="3" t="s">
        <v>286</v>
      </c>
      <c r="P443" s="4">
        <v>44265.5331944444</v>
      </c>
      <c r="Q443" s="3" t="s">
        <v>56</v>
      </c>
      <c r="R443" s="3"/>
      <c r="S443" s="3" t="s">
        <v>400</v>
      </c>
      <c r="T443" s="3">
        <v>4316907.0</v>
      </c>
      <c r="U443" s="3" t="s">
        <v>6768</v>
      </c>
      <c r="V443" s="3" t="s">
        <v>402</v>
      </c>
      <c r="W443" s="3" t="s">
        <v>78</v>
      </c>
      <c r="X443" s="3"/>
      <c r="Y443" s="3"/>
      <c r="Z443" s="3" t="s">
        <v>292</v>
      </c>
      <c r="AA443" s="3" t="s">
        <v>6769</v>
      </c>
      <c r="AB443" s="3" t="str">
        <f>"10621674000167"</f>
        <v>10621674000167</v>
      </c>
      <c r="AC443" s="3"/>
      <c r="AD443" s="3" t="s">
        <v>62</v>
      </c>
      <c r="AE443" s="3"/>
      <c r="AF443" s="3">
        <v>-53.757556</v>
      </c>
      <c r="AG443" s="3">
        <v>-29.694944</v>
      </c>
      <c r="AH443" s="3" t="s">
        <v>6770</v>
      </c>
      <c r="AI443" s="3"/>
      <c r="AJ443" s="3" t="s">
        <v>405</v>
      </c>
      <c r="AK443" s="3"/>
      <c r="AL443" s="3"/>
      <c r="AM443" s="3" t="s">
        <v>65</v>
      </c>
      <c r="AN443" s="3" t="s">
        <v>1302</v>
      </c>
      <c r="AO443" s="3"/>
      <c r="AP443" s="4">
        <v>44265.5404166667</v>
      </c>
      <c r="AQ443" s="3"/>
      <c r="AR443" s="3" t="s">
        <v>803</v>
      </c>
      <c r="AS443" s="3"/>
      <c r="AT443" s="4">
        <v>44281.0337152778</v>
      </c>
    </row>
    <row r="444" ht="15.75" customHeight="1">
      <c r="A444" s="3"/>
      <c r="B444" s="3" t="s">
        <v>46</v>
      </c>
      <c r="C444" s="3" t="s">
        <v>47</v>
      </c>
      <c r="D444" s="3"/>
      <c r="E444" s="3" t="s">
        <v>6771</v>
      </c>
      <c r="F444" s="3"/>
      <c r="G444" s="3" t="s">
        <v>49</v>
      </c>
      <c r="H444" s="3" t="s">
        <v>72</v>
      </c>
      <c r="I444" s="3">
        <v>185000.0</v>
      </c>
      <c r="J444" s="3"/>
      <c r="K444" s="3"/>
      <c r="L444" s="3"/>
      <c r="M444" s="3" t="s">
        <v>6772</v>
      </c>
      <c r="N444" s="3" t="s">
        <v>109</v>
      </c>
      <c r="O444" s="3" t="s">
        <v>110</v>
      </c>
      <c r="P444" s="4">
        <v>44265.52</v>
      </c>
      <c r="Q444" s="3" t="s">
        <v>137</v>
      </c>
      <c r="R444" s="3"/>
      <c r="S444" s="3" t="s">
        <v>220</v>
      </c>
      <c r="T444" s="3">
        <v>1600204.0</v>
      </c>
      <c r="U444" s="3" t="s">
        <v>5678</v>
      </c>
      <c r="V444" s="3" t="s">
        <v>1138</v>
      </c>
      <c r="W444" s="3" t="s">
        <v>100</v>
      </c>
      <c r="X444" s="3"/>
      <c r="Y444" s="3"/>
      <c r="Z444" s="3" t="s">
        <v>112</v>
      </c>
      <c r="AA444" s="3" t="s">
        <v>6773</v>
      </c>
      <c r="AB444" s="3" t="str">
        <f>"***919092**"</f>
        <v>***919092**</v>
      </c>
      <c r="AC444" s="3"/>
      <c r="AD444" s="3" t="s">
        <v>325</v>
      </c>
      <c r="AE444" s="3"/>
      <c r="AF444" s="3">
        <v>-51.037778</v>
      </c>
      <c r="AG444" s="3">
        <v>2.245278</v>
      </c>
      <c r="AH444" s="3" t="s">
        <v>6774</v>
      </c>
      <c r="AI444" s="3"/>
      <c r="AJ444" s="3" t="s">
        <v>1141</v>
      </c>
      <c r="AK444" s="3"/>
      <c r="AL444" s="3"/>
      <c r="AM444" s="3" t="s">
        <v>65</v>
      </c>
      <c r="AN444" s="3"/>
      <c r="AO444" s="3"/>
      <c r="AP444" s="4">
        <v>44267.6079861111</v>
      </c>
      <c r="AQ444" s="3"/>
      <c r="AR444" s="3" t="s">
        <v>991</v>
      </c>
      <c r="AS444" s="3"/>
      <c r="AT444" s="4">
        <v>44281.0337152778</v>
      </c>
    </row>
    <row r="445" ht="15.75" customHeight="1">
      <c r="A445" s="3"/>
      <c r="B445" s="3" t="s">
        <v>46</v>
      </c>
      <c r="C445" s="3" t="s">
        <v>47</v>
      </c>
      <c r="D445" s="3"/>
      <c r="E445" s="3" t="s">
        <v>6775</v>
      </c>
      <c r="F445" s="3"/>
      <c r="G445" s="3" t="s">
        <v>49</v>
      </c>
      <c r="H445" s="3" t="s">
        <v>72</v>
      </c>
      <c r="I445" s="3">
        <v>105000.0</v>
      </c>
      <c r="J445" s="3"/>
      <c r="K445" s="3"/>
      <c r="L445" s="3"/>
      <c r="M445" s="3" t="s">
        <v>6776</v>
      </c>
      <c r="N445" s="3" t="s">
        <v>109</v>
      </c>
      <c r="O445" s="3" t="s">
        <v>110</v>
      </c>
      <c r="P445" s="4">
        <v>44265.5070601852</v>
      </c>
      <c r="Q445" s="3" t="s">
        <v>77</v>
      </c>
      <c r="R445" s="3"/>
      <c r="S445" s="3" t="s">
        <v>220</v>
      </c>
      <c r="T445" s="3">
        <v>1600204.0</v>
      </c>
      <c r="U445" s="3" t="s">
        <v>5678</v>
      </c>
      <c r="V445" s="3" t="s">
        <v>1138</v>
      </c>
      <c r="W445" s="3" t="s">
        <v>100</v>
      </c>
      <c r="X445" s="3"/>
      <c r="Y445" s="3"/>
      <c r="Z445" s="3" t="s">
        <v>112</v>
      </c>
      <c r="AA445" s="3" t="s">
        <v>6777</v>
      </c>
      <c r="AB445" s="3" t="str">
        <f>"***845922**"</f>
        <v>***845922**</v>
      </c>
      <c r="AC445" s="3"/>
      <c r="AD445" s="3" t="s">
        <v>325</v>
      </c>
      <c r="AE445" s="3"/>
      <c r="AF445" s="3">
        <v>-51.044722</v>
      </c>
      <c r="AG445" s="3">
        <v>2.260556</v>
      </c>
      <c r="AH445" s="3" t="s">
        <v>6778</v>
      </c>
      <c r="AI445" s="3"/>
      <c r="AJ445" s="3" t="s">
        <v>1141</v>
      </c>
      <c r="AK445" s="3"/>
      <c r="AL445" s="3"/>
      <c r="AM445" s="3" t="s">
        <v>65</v>
      </c>
      <c r="AN445" s="3"/>
      <c r="AO445" s="3"/>
      <c r="AP445" s="4">
        <v>44270.4272106481</v>
      </c>
      <c r="AQ445" s="3"/>
      <c r="AR445" s="3" t="s">
        <v>991</v>
      </c>
      <c r="AS445" s="3"/>
      <c r="AT445" s="4">
        <v>44281.0337152778</v>
      </c>
    </row>
    <row r="446" ht="15.75" customHeight="1">
      <c r="A446" s="3">
        <v>2044236.0</v>
      </c>
      <c r="B446" s="3" t="s">
        <v>116</v>
      </c>
      <c r="C446" s="3" t="s">
        <v>117</v>
      </c>
      <c r="D446" s="3" t="s">
        <v>46</v>
      </c>
      <c r="E446" s="3" t="s">
        <v>6779</v>
      </c>
      <c r="F446" s="3"/>
      <c r="G446" s="3" t="s">
        <v>119</v>
      </c>
      <c r="H446" s="3" t="s">
        <v>50</v>
      </c>
      <c r="I446" s="3">
        <v>3000.0</v>
      </c>
      <c r="J446" s="3"/>
      <c r="K446" s="3"/>
      <c r="L446" s="3" t="s">
        <v>295</v>
      </c>
      <c r="M446" s="3" t="s">
        <v>6780</v>
      </c>
      <c r="N446" s="3" t="s">
        <v>186</v>
      </c>
      <c r="O446" s="3" t="s">
        <v>95</v>
      </c>
      <c r="P446" s="4">
        <v>44265.4583333333</v>
      </c>
      <c r="Q446" s="3" t="s">
        <v>56</v>
      </c>
      <c r="R446" s="5">
        <v>44265.0</v>
      </c>
      <c r="S446" s="3" t="s">
        <v>288</v>
      </c>
      <c r="T446" s="3">
        <v>2211001.0</v>
      </c>
      <c r="U446" s="3" t="s">
        <v>527</v>
      </c>
      <c r="V446" s="3" t="s">
        <v>290</v>
      </c>
      <c r="W446" s="3" t="s">
        <v>172</v>
      </c>
      <c r="X446" s="3"/>
      <c r="Y446" s="3" t="str">
        <f>"02020000407202167"</f>
        <v>02020000407202167</v>
      </c>
      <c r="Z446" s="3" t="s">
        <v>101</v>
      </c>
      <c r="AA446" s="3" t="s">
        <v>6781</v>
      </c>
      <c r="AB446" s="3" t="str">
        <f>"02015313000149"</f>
        <v>02015313000149</v>
      </c>
      <c r="AC446" s="3"/>
      <c r="AD446" s="3"/>
      <c r="AE446" s="3"/>
      <c r="AF446" s="3">
        <v>-42.783889</v>
      </c>
      <c r="AG446" s="3">
        <v>-5.064722</v>
      </c>
      <c r="AH446" s="3" t="s">
        <v>6782</v>
      </c>
      <c r="AI446" s="3"/>
      <c r="AJ446" s="3" t="s">
        <v>295</v>
      </c>
      <c r="AK446" s="3"/>
      <c r="AL446" s="3" t="s">
        <v>128</v>
      </c>
      <c r="AM446" s="3" t="s">
        <v>65</v>
      </c>
      <c r="AN446" s="3" t="s">
        <v>296</v>
      </c>
      <c r="AO446" s="4">
        <v>44265.0</v>
      </c>
      <c r="AP446" s="4">
        <v>44265.7254861111</v>
      </c>
      <c r="AQ446" s="3" t="s">
        <v>132</v>
      </c>
      <c r="AR446" s="3" t="s">
        <v>531</v>
      </c>
      <c r="AS446" s="3"/>
      <c r="AT446" s="4">
        <v>44281.0337152778</v>
      </c>
    </row>
    <row r="447" ht="15.75" customHeight="1">
      <c r="A447" s="3">
        <v>2044455.0</v>
      </c>
      <c r="B447" s="3" t="s">
        <v>116</v>
      </c>
      <c r="C447" s="3" t="s">
        <v>117</v>
      </c>
      <c r="D447" s="3" t="s">
        <v>46</v>
      </c>
      <c r="E447" s="3" t="s">
        <v>6783</v>
      </c>
      <c r="F447" s="3"/>
      <c r="G447" s="3" t="s">
        <v>119</v>
      </c>
      <c r="H447" s="3" t="s">
        <v>50</v>
      </c>
      <c r="I447" s="3">
        <v>108415.0</v>
      </c>
      <c r="J447" s="3"/>
      <c r="K447" s="3"/>
      <c r="L447" s="3" t="s">
        <v>1737</v>
      </c>
      <c r="M447" s="3" t="s">
        <v>6784</v>
      </c>
      <c r="N447" s="3" t="s">
        <v>53</v>
      </c>
      <c r="O447" s="3" t="s">
        <v>54</v>
      </c>
      <c r="P447" s="4">
        <v>44265.4583333333</v>
      </c>
      <c r="Q447" s="3" t="s">
        <v>56</v>
      </c>
      <c r="R447" s="3"/>
      <c r="S447" s="3" t="s">
        <v>2022</v>
      </c>
      <c r="T447" s="3">
        <v>3302403.0</v>
      </c>
      <c r="U447" s="3" t="s">
        <v>2520</v>
      </c>
      <c r="V447" s="3" t="s">
        <v>1741</v>
      </c>
      <c r="W447" s="3" t="s">
        <v>60</v>
      </c>
      <c r="X447" s="3"/>
      <c r="Y447" s="3"/>
      <c r="Z447" s="3" t="s">
        <v>223</v>
      </c>
      <c r="AA447" s="3" t="s">
        <v>61</v>
      </c>
      <c r="AB447" s="3" t="str">
        <f t="shared" ref="AB447:AB448" si="36">"33000167000101"</f>
        <v>33000167000101</v>
      </c>
      <c r="AC447" s="3"/>
      <c r="AD447" s="3"/>
      <c r="AE447" s="3"/>
      <c r="AF447" s="3">
        <v>-46.528222</v>
      </c>
      <c r="AG447" s="3">
        <v>-26.466111</v>
      </c>
      <c r="AH447" s="3" t="s">
        <v>6512</v>
      </c>
      <c r="AI447" s="3"/>
      <c r="AJ447" s="3" t="s">
        <v>1737</v>
      </c>
      <c r="AK447" s="3"/>
      <c r="AL447" s="3" t="s">
        <v>128</v>
      </c>
      <c r="AM447" s="3" t="s">
        <v>65</v>
      </c>
      <c r="AN447" s="3" t="s">
        <v>1743</v>
      </c>
      <c r="AO447" s="4">
        <v>44271.0</v>
      </c>
      <c r="AP447" s="4">
        <v>44271.7292824074</v>
      </c>
      <c r="AQ447" s="3" t="s">
        <v>132</v>
      </c>
      <c r="AR447" s="3" t="s">
        <v>1745</v>
      </c>
      <c r="AS447" s="3" t="s">
        <v>5614</v>
      </c>
      <c r="AT447" s="4">
        <v>44281.0337152778</v>
      </c>
    </row>
    <row r="448" ht="15.75" customHeight="1">
      <c r="A448" s="3">
        <v>2044564.0</v>
      </c>
      <c r="B448" s="3" t="s">
        <v>116</v>
      </c>
      <c r="C448" s="3" t="s">
        <v>117</v>
      </c>
      <c r="D448" s="3" t="s">
        <v>46</v>
      </c>
      <c r="E448" s="3" t="s">
        <v>6785</v>
      </c>
      <c r="F448" s="3"/>
      <c r="G448" s="3" t="s">
        <v>119</v>
      </c>
      <c r="H448" s="3" t="s">
        <v>50</v>
      </c>
      <c r="I448" s="3">
        <v>108120.0</v>
      </c>
      <c r="J448" s="3"/>
      <c r="K448" s="3"/>
      <c r="L448" s="3" t="s">
        <v>1737</v>
      </c>
      <c r="M448" s="3" t="s">
        <v>6786</v>
      </c>
      <c r="N448" s="3" t="s">
        <v>53</v>
      </c>
      <c r="O448" s="3" t="s">
        <v>54</v>
      </c>
      <c r="P448" s="4">
        <v>44265.4583333333</v>
      </c>
      <c r="Q448" s="3" t="s">
        <v>56</v>
      </c>
      <c r="R448" s="3"/>
      <c r="S448" s="3" t="s">
        <v>2022</v>
      </c>
      <c r="T448" s="3">
        <v>3302403.0</v>
      </c>
      <c r="U448" s="3" t="s">
        <v>2520</v>
      </c>
      <c r="V448" s="3" t="s">
        <v>1741</v>
      </c>
      <c r="W448" s="3" t="s">
        <v>60</v>
      </c>
      <c r="X448" s="3"/>
      <c r="Y448" s="3"/>
      <c r="Z448" s="3" t="s">
        <v>223</v>
      </c>
      <c r="AA448" s="3" t="s">
        <v>61</v>
      </c>
      <c r="AB448" s="3" t="str">
        <f t="shared" si="36"/>
        <v>33000167000101</v>
      </c>
      <c r="AC448" s="3"/>
      <c r="AD448" s="3"/>
      <c r="AE448" s="3"/>
      <c r="AF448" s="3">
        <v>-40.045833</v>
      </c>
      <c r="AG448" s="3">
        <v>-21.243333</v>
      </c>
      <c r="AH448" s="3" t="s">
        <v>6787</v>
      </c>
      <c r="AI448" s="3"/>
      <c r="AJ448" s="3" t="s">
        <v>1737</v>
      </c>
      <c r="AK448" s="3"/>
      <c r="AL448" s="3" t="s">
        <v>128</v>
      </c>
      <c r="AM448" s="3" t="s">
        <v>65</v>
      </c>
      <c r="AN448" s="3" t="s">
        <v>1743</v>
      </c>
      <c r="AO448" s="4">
        <v>44277.0</v>
      </c>
      <c r="AP448" s="4">
        <v>44277.4311111111</v>
      </c>
      <c r="AQ448" s="3" t="s">
        <v>132</v>
      </c>
      <c r="AR448" s="3" t="s">
        <v>1745</v>
      </c>
      <c r="AS448" s="3" t="s">
        <v>5614</v>
      </c>
      <c r="AT448" s="4">
        <v>44281.0337152778</v>
      </c>
    </row>
    <row r="449" ht="15.75" customHeight="1">
      <c r="A449" s="3"/>
      <c r="B449" s="3" t="s">
        <v>46</v>
      </c>
      <c r="C449" s="3" t="s">
        <v>47</v>
      </c>
      <c r="D449" s="3"/>
      <c r="E449" s="3" t="s">
        <v>6788</v>
      </c>
      <c r="F449" s="3"/>
      <c r="G449" s="3" t="s">
        <v>49</v>
      </c>
      <c r="H449" s="3" t="s">
        <v>50</v>
      </c>
      <c r="I449" s="3">
        <v>10000.0</v>
      </c>
      <c r="J449" s="3"/>
      <c r="K449" s="3" t="s">
        <v>92</v>
      </c>
      <c r="L449" s="3"/>
      <c r="M449" s="3" t="s">
        <v>6789</v>
      </c>
      <c r="N449" s="3" t="s">
        <v>186</v>
      </c>
      <c r="O449" s="3" t="s">
        <v>187</v>
      </c>
      <c r="P449" s="4">
        <v>44265.4472222222</v>
      </c>
      <c r="Q449" s="3" t="s">
        <v>77</v>
      </c>
      <c r="R449" s="3"/>
      <c r="S449" s="3" t="s">
        <v>437</v>
      </c>
      <c r="T449" s="3">
        <v>2307007.0</v>
      </c>
      <c r="U449" s="3" t="s">
        <v>6756</v>
      </c>
      <c r="V449" s="3" t="s">
        <v>439</v>
      </c>
      <c r="W449" s="3" t="s">
        <v>60</v>
      </c>
      <c r="X449" s="3"/>
      <c r="Y449" s="3"/>
      <c r="Z449" s="3"/>
      <c r="AA449" s="3" t="s">
        <v>6790</v>
      </c>
      <c r="AB449" s="3" t="str">
        <f>"***957253**"</f>
        <v>***957253**</v>
      </c>
      <c r="AC449" s="3"/>
      <c r="AD449" s="3" t="s">
        <v>62</v>
      </c>
      <c r="AE449" s="3"/>
      <c r="AF449" s="3">
        <v>-37.790556</v>
      </c>
      <c r="AG449" s="3">
        <v>-4.789444</v>
      </c>
      <c r="AH449" s="3" t="s">
        <v>6791</v>
      </c>
      <c r="AI449" s="3"/>
      <c r="AJ449" s="3" t="s">
        <v>442</v>
      </c>
      <c r="AK449" s="3"/>
      <c r="AL449" s="3"/>
      <c r="AM449" s="3" t="s">
        <v>65</v>
      </c>
      <c r="AN449" s="3" t="s">
        <v>159</v>
      </c>
      <c r="AO449" s="3"/>
      <c r="AP449" s="4">
        <v>44265.4569675926</v>
      </c>
      <c r="AQ449" s="3"/>
      <c r="AR449" s="3" t="s">
        <v>310</v>
      </c>
      <c r="AS449" s="3"/>
      <c r="AT449" s="4">
        <v>44281.0337152778</v>
      </c>
    </row>
    <row r="450" ht="15.75" customHeight="1">
      <c r="A450" s="3"/>
      <c r="B450" s="3" t="s">
        <v>46</v>
      </c>
      <c r="C450" s="3" t="s">
        <v>47</v>
      </c>
      <c r="D450" s="3"/>
      <c r="E450" s="3" t="s">
        <v>6792</v>
      </c>
      <c r="F450" s="3"/>
      <c r="G450" s="3" t="s">
        <v>49</v>
      </c>
      <c r="H450" s="3" t="s">
        <v>50</v>
      </c>
      <c r="I450" s="3">
        <v>1000.0</v>
      </c>
      <c r="J450" s="3"/>
      <c r="K450" s="3" t="s">
        <v>51</v>
      </c>
      <c r="L450" s="3"/>
      <c r="M450" s="3" t="s">
        <v>6793</v>
      </c>
      <c r="N450" s="3" t="s">
        <v>381</v>
      </c>
      <c r="O450" s="3" t="s">
        <v>382</v>
      </c>
      <c r="P450" s="4">
        <v>44265.4209837963</v>
      </c>
      <c r="Q450" s="3" t="s">
        <v>56</v>
      </c>
      <c r="R450" s="3"/>
      <c r="S450" s="3" t="s">
        <v>288</v>
      </c>
      <c r="T450" s="3">
        <v>2204501.0</v>
      </c>
      <c r="U450" s="3" t="s">
        <v>6794</v>
      </c>
      <c r="V450" s="3" t="s">
        <v>290</v>
      </c>
      <c r="W450" s="3" t="s">
        <v>172</v>
      </c>
      <c r="X450" s="3"/>
      <c r="Y450" s="3"/>
      <c r="Z450" s="3" t="s">
        <v>384</v>
      </c>
      <c r="AA450" s="3" t="s">
        <v>6795</v>
      </c>
      <c r="AB450" s="3" t="str">
        <f>"00980008000242"</f>
        <v>00980008000242</v>
      </c>
      <c r="AC450" s="3"/>
      <c r="AD450" s="3" t="s">
        <v>62</v>
      </c>
      <c r="AE450" s="3"/>
      <c r="AF450" s="3">
        <v>-42.751389</v>
      </c>
      <c r="AG450" s="3">
        <v>-5.094444</v>
      </c>
      <c r="AH450" s="3" t="s">
        <v>6796</v>
      </c>
      <c r="AI450" s="3"/>
      <c r="AJ450" s="3" t="s">
        <v>295</v>
      </c>
      <c r="AK450" s="3"/>
      <c r="AL450" s="3"/>
      <c r="AM450" s="3" t="s">
        <v>65</v>
      </c>
      <c r="AN450" s="3" t="s">
        <v>296</v>
      </c>
      <c r="AO450" s="3"/>
      <c r="AP450" s="4">
        <v>44265.4341203704</v>
      </c>
      <c r="AQ450" s="3"/>
      <c r="AR450" s="3" t="s">
        <v>298</v>
      </c>
      <c r="AS450" s="3"/>
      <c r="AT450" s="4">
        <v>44281.0337152778</v>
      </c>
    </row>
    <row r="451" ht="15.75" customHeight="1">
      <c r="A451" s="3">
        <v>2044237.0</v>
      </c>
      <c r="B451" s="3" t="s">
        <v>116</v>
      </c>
      <c r="C451" s="3" t="s">
        <v>117</v>
      </c>
      <c r="D451" s="3" t="s">
        <v>46</v>
      </c>
      <c r="E451" s="3" t="s">
        <v>6797</v>
      </c>
      <c r="F451" s="3"/>
      <c r="G451" s="3" t="s">
        <v>119</v>
      </c>
      <c r="H451" s="3" t="s">
        <v>50</v>
      </c>
      <c r="I451" s="3">
        <v>1500.0</v>
      </c>
      <c r="J451" s="3"/>
      <c r="K451" s="3"/>
      <c r="L451" s="3" t="s">
        <v>295</v>
      </c>
      <c r="M451" s="3" t="s">
        <v>6798</v>
      </c>
      <c r="N451" s="3" t="s">
        <v>285</v>
      </c>
      <c r="O451" s="3" t="s">
        <v>286</v>
      </c>
      <c r="P451" s="4">
        <v>44265.4166666667</v>
      </c>
      <c r="Q451" s="3" t="s">
        <v>56</v>
      </c>
      <c r="R451" s="5">
        <v>44265.0</v>
      </c>
      <c r="S451" s="3" t="s">
        <v>288</v>
      </c>
      <c r="T451" s="3">
        <v>2211001.0</v>
      </c>
      <c r="U451" s="3" t="s">
        <v>527</v>
      </c>
      <c r="V451" s="3" t="s">
        <v>290</v>
      </c>
      <c r="W451" s="3" t="s">
        <v>291</v>
      </c>
      <c r="X451" s="3"/>
      <c r="Y451" s="3"/>
      <c r="Z451" s="3" t="s">
        <v>292</v>
      </c>
      <c r="AA451" s="3" t="s">
        <v>6799</v>
      </c>
      <c r="AB451" s="3" t="str">
        <f>"13323321000179"</f>
        <v>13323321000179</v>
      </c>
      <c r="AC451" s="3"/>
      <c r="AD451" s="3"/>
      <c r="AE451" s="3"/>
      <c r="AF451" s="3">
        <v>-42.8245</v>
      </c>
      <c r="AG451" s="3">
        <v>5.069917</v>
      </c>
      <c r="AH451" s="3" t="s">
        <v>6800</v>
      </c>
      <c r="AI451" s="3"/>
      <c r="AJ451" s="3" t="s">
        <v>295</v>
      </c>
      <c r="AK451" s="3"/>
      <c r="AL451" s="3" t="s">
        <v>128</v>
      </c>
      <c r="AM451" s="3" t="s">
        <v>65</v>
      </c>
      <c r="AN451" s="3" t="s">
        <v>296</v>
      </c>
      <c r="AO451" s="4">
        <v>44265.0</v>
      </c>
      <c r="AP451" s="4">
        <v>44265.7262384259</v>
      </c>
      <c r="AQ451" s="3" t="s">
        <v>132</v>
      </c>
      <c r="AR451" s="3" t="s">
        <v>531</v>
      </c>
      <c r="AS451" s="3"/>
      <c r="AT451" s="4">
        <v>44281.0337152778</v>
      </c>
    </row>
    <row r="452" ht="15.75" customHeight="1">
      <c r="A452" s="3">
        <v>2044349.0</v>
      </c>
      <c r="B452" s="3" t="s">
        <v>116</v>
      </c>
      <c r="C452" s="3" t="s">
        <v>117</v>
      </c>
      <c r="D452" s="3" t="s">
        <v>46</v>
      </c>
      <c r="E452" s="3" t="s">
        <v>6801</v>
      </c>
      <c r="F452" s="3"/>
      <c r="G452" s="3" t="s">
        <v>119</v>
      </c>
      <c r="H452" s="3" t="s">
        <v>50</v>
      </c>
      <c r="I452" s="3">
        <v>161500.0</v>
      </c>
      <c r="J452" s="3"/>
      <c r="K452" s="3"/>
      <c r="L452" s="3" t="s">
        <v>1227</v>
      </c>
      <c r="M452" s="3" t="s">
        <v>6802</v>
      </c>
      <c r="N452" s="3" t="s">
        <v>53</v>
      </c>
      <c r="O452" s="3" t="s">
        <v>187</v>
      </c>
      <c r="P452" s="4">
        <v>44265.4166666667</v>
      </c>
      <c r="Q452" s="3" t="s">
        <v>77</v>
      </c>
      <c r="R452" s="5">
        <v>44265.0</v>
      </c>
      <c r="S452" s="3" t="s">
        <v>148</v>
      </c>
      <c r="T452" s="3">
        <v>1100098.0</v>
      </c>
      <c r="U452" s="3" t="s">
        <v>2306</v>
      </c>
      <c r="V452" s="3" t="s">
        <v>125</v>
      </c>
      <c r="W452" s="3" t="s">
        <v>100</v>
      </c>
      <c r="X452" s="3"/>
      <c r="Y452" s="3" t="str">
        <f>"02049000083202149"</f>
        <v>02049000083202149</v>
      </c>
      <c r="Z452" s="3" t="s">
        <v>223</v>
      </c>
      <c r="AA452" s="3" t="s">
        <v>6803</v>
      </c>
      <c r="AB452" s="3" t="str">
        <f>"10479733000104"</f>
        <v>10479733000104</v>
      </c>
      <c r="AC452" s="3"/>
      <c r="AD452" s="3"/>
      <c r="AE452" s="3"/>
      <c r="AF452" s="3">
        <v>-61.022778</v>
      </c>
      <c r="AG452" s="3">
        <v>-11.533889</v>
      </c>
      <c r="AH452" s="3" t="s">
        <v>6804</v>
      </c>
      <c r="AI452" s="3"/>
      <c r="AJ452" s="3" t="s">
        <v>1227</v>
      </c>
      <c r="AK452" s="3"/>
      <c r="AL452" s="3" t="s">
        <v>128</v>
      </c>
      <c r="AM452" s="3" t="s">
        <v>65</v>
      </c>
      <c r="AN452" s="3" t="s">
        <v>274</v>
      </c>
      <c r="AO452" s="4">
        <v>44270.0</v>
      </c>
      <c r="AP452" s="4">
        <v>44270.414525463</v>
      </c>
      <c r="AQ452" s="3" t="s">
        <v>132</v>
      </c>
      <c r="AR452" s="3" t="s">
        <v>247</v>
      </c>
      <c r="AS452" s="3" t="s">
        <v>6805</v>
      </c>
      <c r="AT452" s="4">
        <v>44281.0337152778</v>
      </c>
    </row>
    <row r="453" ht="15.75" customHeight="1">
      <c r="A453" s="3">
        <v>2044454.0</v>
      </c>
      <c r="B453" s="3" t="s">
        <v>116</v>
      </c>
      <c r="C453" s="3" t="s">
        <v>117</v>
      </c>
      <c r="D453" s="3" t="s">
        <v>46</v>
      </c>
      <c r="E453" s="3" t="s">
        <v>6806</v>
      </c>
      <c r="F453" s="3"/>
      <c r="G453" s="3" t="s">
        <v>119</v>
      </c>
      <c r="H453" s="3" t="s">
        <v>50</v>
      </c>
      <c r="I453" s="3">
        <v>108920.0</v>
      </c>
      <c r="J453" s="3"/>
      <c r="K453" s="3"/>
      <c r="L453" s="3" t="s">
        <v>1737</v>
      </c>
      <c r="M453" s="3" t="s">
        <v>6807</v>
      </c>
      <c r="N453" s="3" t="s">
        <v>53</v>
      </c>
      <c r="O453" s="3" t="s">
        <v>54</v>
      </c>
      <c r="P453" s="4">
        <v>44265.4166666667</v>
      </c>
      <c r="Q453" s="3" t="s">
        <v>56</v>
      </c>
      <c r="R453" s="3"/>
      <c r="S453" s="3"/>
      <c r="T453" s="3">
        <v>3302403.0</v>
      </c>
      <c r="U453" s="3" t="s">
        <v>2520</v>
      </c>
      <c r="V453" s="3" t="s">
        <v>1741</v>
      </c>
      <c r="W453" s="3" t="s">
        <v>60</v>
      </c>
      <c r="X453" s="3"/>
      <c r="Y453" s="3"/>
      <c r="Z453" s="3" t="s">
        <v>223</v>
      </c>
      <c r="AA453" s="3" t="s">
        <v>5591</v>
      </c>
      <c r="AB453" s="3" t="str">
        <f>"10456016000167"</f>
        <v>10456016000167</v>
      </c>
      <c r="AC453" s="3"/>
      <c r="AD453" s="3"/>
      <c r="AE453" s="3"/>
      <c r="AF453" s="3">
        <v>-39.742694</v>
      </c>
      <c r="AG453" s="3">
        <v>-21.208333</v>
      </c>
      <c r="AH453" s="3" t="s">
        <v>6808</v>
      </c>
      <c r="AI453" s="3"/>
      <c r="AJ453" s="3" t="s">
        <v>1737</v>
      </c>
      <c r="AK453" s="3"/>
      <c r="AL453" s="3" t="s">
        <v>128</v>
      </c>
      <c r="AM453" s="3" t="s">
        <v>65</v>
      </c>
      <c r="AN453" s="3" t="s">
        <v>1743</v>
      </c>
      <c r="AO453" s="4">
        <v>44271.0</v>
      </c>
      <c r="AP453" s="4">
        <v>44271.7251736111</v>
      </c>
      <c r="AQ453" s="3" t="s">
        <v>132</v>
      </c>
      <c r="AR453" s="3" t="s">
        <v>1745</v>
      </c>
      <c r="AS453" s="3" t="s">
        <v>5614</v>
      </c>
      <c r="AT453" s="4">
        <v>44281.0337152778</v>
      </c>
    </row>
    <row r="454" ht="15.75" customHeight="1">
      <c r="A454" s="3"/>
      <c r="B454" s="3" t="s">
        <v>46</v>
      </c>
      <c r="C454" s="3" t="s">
        <v>47</v>
      </c>
      <c r="D454" s="3"/>
      <c r="E454" s="3" t="s">
        <v>6809</v>
      </c>
      <c r="F454" s="3"/>
      <c r="G454" s="3" t="s">
        <v>49</v>
      </c>
      <c r="H454" s="3" t="s">
        <v>50</v>
      </c>
      <c r="I454" s="3">
        <v>10000.0</v>
      </c>
      <c r="J454" s="3"/>
      <c r="K454" s="3" t="s">
        <v>92</v>
      </c>
      <c r="L454" s="3"/>
      <c r="M454" s="3" t="s">
        <v>6810</v>
      </c>
      <c r="N454" s="3" t="s">
        <v>301</v>
      </c>
      <c r="O454" s="3" t="s">
        <v>302</v>
      </c>
      <c r="P454" s="4">
        <v>44265.4085416667</v>
      </c>
      <c r="Q454" s="3" t="s">
        <v>77</v>
      </c>
      <c r="R454" s="3"/>
      <c r="S454" s="3" t="s">
        <v>220</v>
      </c>
      <c r="T454" s="3">
        <v>2307007.0</v>
      </c>
      <c r="U454" s="3" t="s">
        <v>6756</v>
      </c>
      <c r="V454" s="3" t="s">
        <v>439</v>
      </c>
      <c r="W454" s="3" t="s">
        <v>291</v>
      </c>
      <c r="X454" s="3"/>
      <c r="Y454" s="3"/>
      <c r="Z454" s="3" t="s">
        <v>306</v>
      </c>
      <c r="AA454" s="3" t="s">
        <v>6811</v>
      </c>
      <c r="AB454" s="3" t="str">
        <f>"22317451000190"</f>
        <v>22317451000190</v>
      </c>
      <c r="AC454" s="3"/>
      <c r="AD454" s="3" t="s">
        <v>62</v>
      </c>
      <c r="AE454" s="3"/>
      <c r="AF454" s="3">
        <v>-37.799444</v>
      </c>
      <c r="AG454" s="3">
        <v>-4.771111</v>
      </c>
      <c r="AH454" s="3" t="s">
        <v>6812</v>
      </c>
      <c r="AI454" s="3"/>
      <c r="AJ454" s="3" t="s">
        <v>442</v>
      </c>
      <c r="AK454" s="3"/>
      <c r="AL454" s="3"/>
      <c r="AM454" s="3" t="s">
        <v>65</v>
      </c>
      <c r="AN454" s="3" t="s">
        <v>159</v>
      </c>
      <c r="AO454" s="3"/>
      <c r="AP454" s="4">
        <v>44278.9122337963</v>
      </c>
      <c r="AQ454" s="3"/>
      <c r="AR454" s="3" t="s">
        <v>3276</v>
      </c>
      <c r="AS454" s="3"/>
      <c r="AT454" s="4">
        <v>44281.0337152778</v>
      </c>
    </row>
    <row r="455" ht="15.75" customHeight="1">
      <c r="A455" s="3">
        <v>2044350.0</v>
      </c>
      <c r="B455" s="3" t="s">
        <v>116</v>
      </c>
      <c r="C455" s="3" t="s">
        <v>117</v>
      </c>
      <c r="D455" s="3" t="s">
        <v>46</v>
      </c>
      <c r="E455" s="3" t="s">
        <v>6813</v>
      </c>
      <c r="F455" s="3"/>
      <c r="G455" s="3" t="s">
        <v>119</v>
      </c>
      <c r="H455" s="3" t="s">
        <v>50</v>
      </c>
      <c r="I455" s="3">
        <v>161500.0</v>
      </c>
      <c r="J455" s="3"/>
      <c r="K455" s="3"/>
      <c r="L455" s="3" t="s">
        <v>1227</v>
      </c>
      <c r="M455" s="3" t="s">
        <v>6814</v>
      </c>
      <c r="N455" s="3" t="s">
        <v>53</v>
      </c>
      <c r="O455" s="3" t="s">
        <v>187</v>
      </c>
      <c r="P455" s="4">
        <v>44265.375</v>
      </c>
      <c r="Q455" s="3" t="s">
        <v>77</v>
      </c>
      <c r="R455" s="5">
        <v>44265.0</v>
      </c>
      <c r="S455" s="3" t="s">
        <v>148</v>
      </c>
      <c r="T455" s="3">
        <v>1100098.0</v>
      </c>
      <c r="U455" s="3" t="s">
        <v>2306</v>
      </c>
      <c r="V455" s="3" t="s">
        <v>125</v>
      </c>
      <c r="W455" s="3" t="s">
        <v>100</v>
      </c>
      <c r="X455" s="3"/>
      <c r="Y455" s="3" t="str">
        <f>"02049000084202193"</f>
        <v>02049000084202193</v>
      </c>
      <c r="Z455" s="3" t="s">
        <v>223</v>
      </c>
      <c r="AA455" s="3" t="s">
        <v>6815</v>
      </c>
      <c r="AB455" s="3" t="str">
        <f>"22264897000101"</f>
        <v>22264897000101</v>
      </c>
      <c r="AC455" s="3"/>
      <c r="AD455" s="3"/>
      <c r="AE455" s="3"/>
      <c r="AF455" s="3">
        <v>-61.015833</v>
      </c>
      <c r="AG455" s="3">
        <v>-11.545833</v>
      </c>
      <c r="AH455" s="3" t="s">
        <v>6816</v>
      </c>
      <c r="AI455" s="3"/>
      <c r="AJ455" s="3" t="s">
        <v>1227</v>
      </c>
      <c r="AK455" s="3"/>
      <c r="AL455" s="3" t="s">
        <v>128</v>
      </c>
      <c r="AM455" s="3" t="s">
        <v>65</v>
      </c>
      <c r="AN455" s="3" t="s">
        <v>274</v>
      </c>
      <c r="AO455" s="4">
        <v>44270.0</v>
      </c>
      <c r="AP455" s="4">
        <v>44270.4150810185</v>
      </c>
      <c r="AQ455" s="3" t="s">
        <v>132</v>
      </c>
      <c r="AR455" s="3" t="s">
        <v>247</v>
      </c>
      <c r="AS455" s="3" t="s">
        <v>6817</v>
      </c>
      <c r="AT455" s="4">
        <v>44281.0337152778</v>
      </c>
    </row>
    <row r="456" ht="15.75" customHeight="1">
      <c r="A456" s="3">
        <v>2044208.0</v>
      </c>
      <c r="B456" s="3" t="s">
        <v>116</v>
      </c>
      <c r="C456" s="3" t="s">
        <v>117</v>
      </c>
      <c r="D456" s="3" t="s">
        <v>46</v>
      </c>
      <c r="E456" s="3" t="s">
        <v>6818</v>
      </c>
      <c r="F456" s="3"/>
      <c r="G456" s="3" t="s">
        <v>119</v>
      </c>
      <c r="H456" s="3" t="s">
        <v>50</v>
      </c>
      <c r="I456" s="3">
        <v>2500.0</v>
      </c>
      <c r="J456" s="3"/>
      <c r="K456" s="3"/>
      <c r="L456" s="3" t="s">
        <v>142</v>
      </c>
      <c r="M456" s="3" t="s">
        <v>6819</v>
      </c>
      <c r="N456" s="3" t="s">
        <v>186</v>
      </c>
      <c r="O456" s="3" t="s">
        <v>95</v>
      </c>
      <c r="P456" s="4">
        <v>44265.3333333333</v>
      </c>
      <c r="Q456" s="3" t="s">
        <v>56</v>
      </c>
      <c r="R456" s="3"/>
      <c r="S456" s="3" t="s">
        <v>784</v>
      </c>
      <c r="T456" s="3">
        <v>4204202.0</v>
      </c>
      <c r="U456" s="3" t="s">
        <v>1492</v>
      </c>
      <c r="V456" s="3" t="s">
        <v>222</v>
      </c>
      <c r="W456" s="3" t="s">
        <v>78</v>
      </c>
      <c r="X456" s="3"/>
      <c r="Y456" s="3" t="str">
        <f>"02027002671202175"</f>
        <v>02027002671202175</v>
      </c>
      <c r="Z456" s="3" t="s">
        <v>101</v>
      </c>
      <c r="AA456" s="3" t="s">
        <v>6820</v>
      </c>
      <c r="AB456" s="3" t="str">
        <f>"79417846000181"</f>
        <v>79417846000181</v>
      </c>
      <c r="AC456" s="3"/>
      <c r="AD456" s="3"/>
      <c r="AE456" s="3"/>
      <c r="AF456" s="3">
        <v>-49.355556</v>
      </c>
      <c r="AG456" s="3">
        <v>-20.791944</v>
      </c>
      <c r="AH456" s="3" t="s">
        <v>6821</v>
      </c>
      <c r="AI456" s="3"/>
      <c r="AJ456" s="3" t="s">
        <v>142</v>
      </c>
      <c r="AK456" s="3"/>
      <c r="AL456" s="3" t="s">
        <v>128</v>
      </c>
      <c r="AM456" s="3" t="s">
        <v>65</v>
      </c>
      <c r="AN456" s="3" t="s">
        <v>159</v>
      </c>
      <c r="AO456" s="4">
        <v>44265.0</v>
      </c>
      <c r="AP456" s="4">
        <v>44265.4293518519</v>
      </c>
      <c r="AQ456" s="3" t="s">
        <v>132</v>
      </c>
      <c r="AR456" s="3" t="s">
        <v>247</v>
      </c>
      <c r="AS456" s="3"/>
      <c r="AT456" s="4">
        <v>44281.0337152778</v>
      </c>
    </row>
    <row r="457" ht="15.75" customHeight="1">
      <c r="A457" s="3">
        <v>2044298.0</v>
      </c>
      <c r="B457" s="3" t="s">
        <v>116</v>
      </c>
      <c r="C457" s="3" t="s">
        <v>117</v>
      </c>
      <c r="D457" s="3" t="s">
        <v>46</v>
      </c>
      <c r="E457" s="3" t="s">
        <v>6822</v>
      </c>
      <c r="F457" s="3"/>
      <c r="G457" s="3" t="s">
        <v>119</v>
      </c>
      <c r="H457" s="3" t="s">
        <v>72</v>
      </c>
      <c r="I457" s="3">
        <v>5312.16</v>
      </c>
      <c r="J457" s="3"/>
      <c r="K457" s="3"/>
      <c r="L457" s="3" t="s">
        <v>295</v>
      </c>
      <c r="M457" s="3" t="s">
        <v>6823</v>
      </c>
      <c r="N457" s="3" t="s">
        <v>109</v>
      </c>
      <c r="O457" s="3" t="s">
        <v>110</v>
      </c>
      <c r="P457" s="4">
        <v>44265.2916666667</v>
      </c>
      <c r="Q457" s="3" t="s">
        <v>137</v>
      </c>
      <c r="R457" s="3"/>
      <c r="S457" s="3" t="s">
        <v>288</v>
      </c>
      <c r="T457" s="3">
        <v>2210508.0</v>
      </c>
      <c r="U457" s="3" t="s">
        <v>3244</v>
      </c>
      <c r="V457" s="3" t="s">
        <v>290</v>
      </c>
      <c r="W457" s="3" t="s">
        <v>100</v>
      </c>
      <c r="X457" s="3"/>
      <c r="Y457" s="3" t="str">
        <f>"02020000423202150"</f>
        <v>02020000423202150</v>
      </c>
      <c r="Z457" s="3" t="s">
        <v>112</v>
      </c>
      <c r="AA457" s="3" t="s">
        <v>6824</v>
      </c>
      <c r="AB457" s="3" t="str">
        <f>"11475544000126"</f>
        <v>11475544000126</v>
      </c>
      <c r="AC457" s="3"/>
      <c r="AD457" s="3"/>
      <c r="AE457" s="3"/>
      <c r="AF457" s="3">
        <v>-42.7215</v>
      </c>
      <c r="AG457" s="3">
        <v>-5.93025</v>
      </c>
      <c r="AH457" s="3" t="s">
        <v>6825</v>
      </c>
      <c r="AI457" s="3"/>
      <c r="AJ457" s="3" t="s">
        <v>295</v>
      </c>
      <c r="AK457" s="3"/>
      <c r="AL457" s="3" t="s">
        <v>128</v>
      </c>
      <c r="AM457" s="3" t="s">
        <v>65</v>
      </c>
      <c r="AN457" s="3" t="s">
        <v>296</v>
      </c>
      <c r="AO457" s="4">
        <v>44267.0</v>
      </c>
      <c r="AP457" s="4">
        <v>44267.6672222222</v>
      </c>
      <c r="AQ457" s="3" t="s">
        <v>132</v>
      </c>
      <c r="AR457" s="3" t="s">
        <v>133</v>
      </c>
      <c r="AS457" s="3"/>
      <c r="AT457" s="4">
        <v>44281.0337152778</v>
      </c>
    </row>
    <row r="458" ht="15.75" customHeight="1">
      <c r="A458" s="3">
        <v>2044480.0</v>
      </c>
      <c r="B458" s="3" t="s">
        <v>116</v>
      </c>
      <c r="C458" s="3" t="s">
        <v>117</v>
      </c>
      <c r="D458" s="3" t="s">
        <v>46</v>
      </c>
      <c r="E458" s="3" t="s">
        <v>6826</v>
      </c>
      <c r="F458" s="3"/>
      <c r="G458" s="3" t="s">
        <v>119</v>
      </c>
      <c r="H458" s="3" t="s">
        <v>72</v>
      </c>
      <c r="I458" s="3">
        <v>8144.46</v>
      </c>
      <c r="J458" s="3"/>
      <c r="K458" s="3"/>
      <c r="L458" s="3" t="s">
        <v>2126</v>
      </c>
      <c r="M458" s="3" t="s">
        <v>6827</v>
      </c>
      <c r="N458" s="3" t="s">
        <v>109</v>
      </c>
      <c r="O458" s="3" t="s">
        <v>110</v>
      </c>
      <c r="P458" s="4">
        <v>44265.2916666667</v>
      </c>
      <c r="Q458" s="3" t="s">
        <v>137</v>
      </c>
      <c r="R458" s="3"/>
      <c r="S458" s="3" t="s">
        <v>475</v>
      </c>
      <c r="T458" s="3">
        <v>3130309.0</v>
      </c>
      <c r="U458" s="3" t="s">
        <v>6828</v>
      </c>
      <c r="V458" s="3" t="s">
        <v>477</v>
      </c>
      <c r="W458" s="3" t="s">
        <v>78</v>
      </c>
      <c r="X458" s="3"/>
      <c r="Y458" s="3" t="str">
        <f>"02554000046202121"</f>
        <v>02554000046202121</v>
      </c>
      <c r="Z458" s="3" t="s">
        <v>112</v>
      </c>
      <c r="AA458" s="3" t="s">
        <v>6829</v>
      </c>
      <c r="AB458" s="3" t="str">
        <f>"***486256**"</f>
        <v>***486256**</v>
      </c>
      <c r="AC458" s="3"/>
      <c r="AD458" s="3"/>
      <c r="AE458" s="3"/>
      <c r="AF458" s="3">
        <v>-45.830889</v>
      </c>
      <c r="AG458" s="3">
        <v>-20.205611</v>
      </c>
      <c r="AH458" s="3" t="s">
        <v>6830</v>
      </c>
      <c r="AI458" s="3"/>
      <c r="AJ458" s="3" t="s">
        <v>2126</v>
      </c>
      <c r="AK458" s="3"/>
      <c r="AL458" s="3" t="s">
        <v>128</v>
      </c>
      <c r="AM458" s="3" t="s">
        <v>65</v>
      </c>
      <c r="AN458" s="3"/>
      <c r="AO458" s="4">
        <v>44272.0</v>
      </c>
      <c r="AP458" s="4">
        <v>44272.4335532407</v>
      </c>
      <c r="AQ458" s="3" t="s">
        <v>132</v>
      </c>
      <c r="AR458" s="3" t="s">
        <v>133</v>
      </c>
      <c r="AS458" s="3" t="s">
        <v>6831</v>
      </c>
      <c r="AT458" s="4">
        <v>44281.0337152778</v>
      </c>
    </row>
    <row r="459" ht="15.75" customHeight="1">
      <c r="A459" s="3"/>
      <c r="B459" s="3" t="s">
        <v>46</v>
      </c>
      <c r="C459" s="3" t="s">
        <v>47</v>
      </c>
      <c r="D459" s="3"/>
      <c r="E459" s="3" t="s">
        <v>6832</v>
      </c>
      <c r="F459" s="3"/>
      <c r="G459" s="3" t="s">
        <v>49</v>
      </c>
      <c r="H459" s="3" t="s">
        <v>50</v>
      </c>
      <c r="I459" s="3">
        <v>11000.0</v>
      </c>
      <c r="J459" s="3"/>
      <c r="K459" s="3" t="s">
        <v>51</v>
      </c>
      <c r="L459" s="3"/>
      <c r="M459" s="3" t="s">
        <v>6833</v>
      </c>
      <c r="N459" s="3" t="s">
        <v>109</v>
      </c>
      <c r="O459" s="3" t="s">
        <v>110</v>
      </c>
      <c r="P459" s="4">
        <v>44264.9518865741</v>
      </c>
      <c r="Q459" s="3" t="s">
        <v>56</v>
      </c>
      <c r="R459" s="3"/>
      <c r="S459" s="3" t="s">
        <v>1468</v>
      </c>
      <c r="T459" s="3">
        <v>5005707.0</v>
      </c>
      <c r="U459" s="3" t="s">
        <v>6834</v>
      </c>
      <c r="V459" s="3" t="s">
        <v>1470</v>
      </c>
      <c r="W459" s="3" t="s">
        <v>78</v>
      </c>
      <c r="X459" s="3"/>
      <c r="Y459" s="3"/>
      <c r="Z459" s="3" t="s">
        <v>112</v>
      </c>
      <c r="AA459" s="3" t="s">
        <v>6835</v>
      </c>
      <c r="AB459" s="3" t="str">
        <f>"***673548**"</f>
        <v>***673548**</v>
      </c>
      <c r="AC459" s="3"/>
      <c r="AD459" s="3" t="s">
        <v>81</v>
      </c>
      <c r="AE459" s="3"/>
      <c r="AF459" s="3">
        <v>-53.898056</v>
      </c>
      <c r="AG459" s="3">
        <v>-23.099444</v>
      </c>
      <c r="AH459" s="3" t="s">
        <v>6836</v>
      </c>
      <c r="AI459" s="3"/>
      <c r="AJ459" s="3" t="s">
        <v>1473</v>
      </c>
      <c r="AK459" s="3"/>
      <c r="AL459" s="3"/>
      <c r="AM459" s="3" t="s">
        <v>65</v>
      </c>
      <c r="AN459" s="3"/>
      <c r="AO459" s="3"/>
      <c r="AP459" s="4">
        <v>44264.9622453704</v>
      </c>
      <c r="AQ459" s="3"/>
      <c r="AR459" s="3" t="s">
        <v>318</v>
      </c>
      <c r="AS459" s="3"/>
      <c r="AT459" s="4">
        <v>44281.0337152778</v>
      </c>
    </row>
    <row r="460" ht="15.75" customHeight="1">
      <c r="A460" s="3"/>
      <c r="B460" s="3" t="s">
        <v>46</v>
      </c>
      <c r="C460" s="3" t="s">
        <v>47</v>
      </c>
      <c r="D460" s="3"/>
      <c r="E460" s="3" t="s">
        <v>6837</v>
      </c>
      <c r="F460" s="3"/>
      <c r="G460" s="3" t="s">
        <v>49</v>
      </c>
      <c r="H460" s="3" t="s">
        <v>50</v>
      </c>
      <c r="I460" s="3">
        <v>20500.0</v>
      </c>
      <c r="J460" s="3"/>
      <c r="K460" s="3" t="s">
        <v>51</v>
      </c>
      <c r="L460" s="3"/>
      <c r="M460" s="3" t="s">
        <v>6838</v>
      </c>
      <c r="N460" s="3" t="s">
        <v>381</v>
      </c>
      <c r="O460" s="3" t="s">
        <v>382</v>
      </c>
      <c r="P460" s="4">
        <v>44264.76375</v>
      </c>
      <c r="Q460" s="3" t="s">
        <v>56</v>
      </c>
      <c r="R460" s="3"/>
      <c r="S460" s="3" t="s">
        <v>1349</v>
      </c>
      <c r="T460" s="3">
        <v>1508357.0</v>
      </c>
      <c r="U460" s="3" t="s">
        <v>6839</v>
      </c>
      <c r="V460" s="3" t="s">
        <v>917</v>
      </c>
      <c r="W460" s="3" t="s">
        <v>100</v>
      </c>
      <c r="X460" s="3"/>
      <c r="Y460" s="3" t="str">
        <f>"02001005771202141"</f>
        <v>02001005771202141</v>
      </c>
      <c r="Z460" s="3" t="s">
        <v>384</v>
      </c>
      <c r="AA460" s="3" t="s">
        <v>6840</v>
      </c>
      <c r="AB460" s="3"/>
      <c r="AC460" s="3"/>
      <c r="AD460" s="3" t="s">
        <v>62</v>
      </c>
      <c r="AE460" s="3"/>
      <c r="AF460" s="3">
        <v>-51.781111</v>
      </c>
      <c r="AG460" s="3">
        <v>-3.579167</v>
      </c>
      <c r="AH460" s="3" t="s">
        <v>6841</v>
      </c>
      <c r="AI460" s="3"/>
      <c r="AJ460" s="3" t="s">
        <v>120</v>
      </c>
      <c r="AK460" s="3"/>
      <c r="AL460" s="3"/>
      <c r="AM460" s="3" t="s">
        <v>65</v>
      </c>
      <c r="AN460" s="3" t="s">
        <v>6041</v>
      </c>
      <c r="AO460" s="3"/>
      <c r="AP460" s="4">
        <v>44273.9052662037</v>
      </c>
      <c r="AQ460" s="3"/>
      <c r="AR460" s="3" t="s">
        <v>670</v>
      </c>
      <c r="AS460" s="3"/>
      <c r="AT460" s="4">
        <v>44281.0337152778</v>
      </c>
    </row>
    <row r="461" ht="15.75" customHeight="1">
      <c r="A461" s="3">
        <v>2044339.0</v>
      </c>
      <c r="B461" s="3" t="s">
        <v>116</v>
      </c>
      <c r="C461" s="3" t="s">
        <v>117</v>
      </c>
      <c r="D461" s="3" t="s">
        <v>46</v>
      </c>
      <c r="E461" s="3" t="s">
        <v>6842</v>
      </c>
      <c r="F461" s="3"/>
      <c r="G461" s="3" t="s">
        <v>119</v>
      </c>
      <c r="H461" s="3" t="s">
        <v>50</v>
      </c>
      <c r="I461" s="3">
        <v>161500.0</v>
      </c>
      <c r="J461" s="3"/>
      <c r="K461" s="3"/>
      <c r="L461" s="3" t="s">
        <v>1227</v>
      </c>
      <c r="M461" s="3" t="s">
        <v>6843</v>
      </c>
      <c r="N461" s="3" t="s">
        <v>53</v>
      </c>
      <c r="O461" s="3" t="s">
        <v>187</v>
      </c>
      <c r="P461" s="4">
        <v>44264.7083333333</v>
      </c>
      <c r="Q461" s="3" t="s">
        <v>77</v>
      </c>
      <c r="R461" s="5">
        <v>44264.0</v>
      </c>
      <c r="S461" s="3" t="s">
        <v>220</v>
      </c>
      <c r="T461" s="3">
        <v>1100098.0</v>
      </c>
      <c r="U461" s="3" t="s">
        <v>2306</v>
      </c>
      <c r="V461" s="3" t="s">
        <v>125</v>
      </c>
      <c r="W461" s="3" t="s">
        <v>100</v>
      </c>
      <c r="X461" s="3"/>
      <c r="Y461" s="3" t="str">
        <f>"02049000078202136"</f>
        <v>02049000078202136</v>
      </c>
      <c r="Z461" s="3" t="s">
        <v>223</v>
      </c>
      <c r="AA461" s="3" t="s">
        <v>2307</v>
      </c>
      <c r="AB461" s="3" t="str">
        <f>"08423509000159"</f>
        <v>08423509000159</v>
      </c>
      <c r="AC461" s="3"/>
      <c r="AD461" s="3"/>
      <c r="AE461" s="3"/>
      <c r="AF461" s="3">
        <v>-60.981111</v>
      </c>
      <c r="AG461" s="3">
        <v>-11.480833</v>
      </c>
      <c r="AH461" s="3" t="s">
        <v>6844</v>
      </c>
      <c r="AI461" s="3"/>
      <c r="AJ461" s="3" t="s">
        <v>1227</v>
      </c>
      <c r="AK461" s="3"/>
      <c r="AL461" s="3" t="s">
        <v>128</v>
      </c>
      <c r="AM461" s="3" t="s">
        <v>65</v>
      </c>
      <c r="AN461" s="3" t="s">
        <v>274</v>
      </c>
      <c r="AO461" s="4">
        <v>44270.0</v>
      </c>
      <c r="AP461" s="4">
        <v>44270.355474537</v>
      </c>
      <c r="AQ461" s="3" t="s">
        <v>132</v>
      </c>
      <c r="AR461" s="3" t="s">
        <v>247</v>
      </c>
      <c r="AS461" s="3" t="s">
        <v>6627</v>
      </c>
      <c r="AT461" s="4">
        <v>44281.0337152778</v>
      </c>
    </row>
    <row r="462" ht="15.75" customHeight="1">
      <c r="A462" s="3"/>
      <c r="B462" s="3" t="s">
        <v>46</v>
      </c>
      <c r="C462" s="3" t="s">
        <v>571</v>
      </c>
      <c r="D462" s="3" t="s">
        <v>116</v>
      </c>
      <c r="E462" s="3" t="s">
        <v>6845</v>
      </c>
      <c r="F462" s="3"/>
      <c r="G462" s="3" t="s">
        <v>49</v>
      </c>
      <c r="H462" s="3" t="s">
        <v>50</v>
      </c>
      <c r="I462" s="3">
        <v>52500.0</v>
      </c>
      <c r="J462" s="3"/>
      <c r="K462" s="3" t="s">
        <v>92</v>
      </c>
      <c r="L462" s="3"/>
      <c r="M462" s="3" t="s">
        <v>6846</v>
      </c>
      <c r="N462" s="3" t="s">
        <v>186</v>
      </c>
      <c r="O462" s="3" t="s">
        <v>187</v>
      </c>
      <c r="P462" s="4">
        <v>44264.6839930556</v>
      </c>
      <c r="Q462" s="3" t="s">
        <v>77</v>
      </c>
      <c r="R462" s="3"/>
      <c r="S462" s="3" t="s">
        <v>148</v>
      </c>
      <c r="T462" s="3">
        <v>1100098.0</v>
      </c>
      <c r="U462" s="3" t="s">
        <v>335</v>
      </c>
      <c r="V462" s="3" t="s">
        <v>125</v>
      </c>
      <c r="W462" s="3" t="s">
        <v>100</v>
      </c>
      <c r="X462" s="3"/>
      <c r="Y462" s="3"/>
      <c r="Z462" s="3"/>
      <c r="AA462" s="3" t="s">
        <v>6815</v>
      </c>
      <c r="AB462" s="3" t="str">
        <f>"22264897000101"</f>
        <v>22264897000101</v>
      </c>
      <c r="AC462" s="3"/>
      <c r="AD462" s="3" t="s">
        <v>81</v>
      </c>
      <c r="AE462" s="3"/>
      <c r="AF462" s="3">
        <v>-61.015833</v>
      </c>
      <c r="AG462" s="3">
        <v>-11.545833</v>
      </c>
      <c r="AH462" s="3" t="s">
        <v>6847</v>
      </c>
      <c r="AI462" s="3"/>
      <c r="AJ462" s="3" t="s">
        <v>1227</v>
      </c>
      <c r="AK462" s="3"/>
      <c r="AL462" s="3"/>
      <c r="AM462" s="3" t="s">
        <v>65</v>
      </c>
      <c r="AN462" s="3" t="s">
        <v>274</v>
      </c>
      <c r="AO462" s="3"/>
      <c r="AP462" s="4">
        <v>44264.6891203704</v>
      </c>
      <c r="AQ462" s="3"/>
      <c r="AR462" s="3" t="s">
        <v>106</v>
      </c>
      <c r="AS462" s="3" t="s">
        <v>6627</v>
      </c>
      <c r="AT462" s="4">
        <v>44281.0337152778</v>
      </c>
    </row>
    <row r="463" ht="15.75" customHeight="1">
      <c r="A463" s="3"/>
      <c r="B463" s="3" t="s">
        <v>46</v>
      </c>
      <c r="C463" s="3" t="s">
        <v>571</v>
      </c>
      <c r="D463" s="3" t="s">
        <v>116</v>
      </c>
      <c r="E463" s="3" t="s">
        <v>6848</v>
      </c>
      <c r="F463" s="3"/>
      <c r="G463" s="3" t="s">
        <v>49</v>
      </c>
      <c r="H463" s="3" t="s">
        <v>50</v>
      </c>
      <c r="I463" s="3">
        <v>161500.0</v>
      </c>
      <c r="J463" s="3"/>
      <c r="K463" s="3" t="s">
        <v>92</v>
      </c>
      <c r="L463" s="3"/>
      <c r="M463" s="3"/>
      <c r="N463" s="3" t="s">
        <v>186</v>
      </c>
      <c r="O463" s="3" t="s">
        <v>187</v>
      </c>
      <c r="P463" s="4">
        <v>44264.6733333333</v>
      </c>
      <c r="Q463" s="3" t="s">
        <v>77</v>
      </c>
      <c r="R463" s="3"/>
      <c r="S463" s="3" t="s">
        <v>148</v>
      </c>
      <c r="T463" s="3">
        <v>1100098.0</v>
      </c>
      <c r="U463" s="3" t="s">
        <v>335</v>
      </c>
      <c r="V463" s="3" t="s">
        <v>125</v>
      </c>
      <c r="W463" s="3" t="s">
        <v>100</v>
      </c>
      <c r="X463" s="3"/>
      <c r="Y463" s="3"/>
      <c r="Z463" s="3"/>
      <c r="AA463" s="3" t="s">
        <v>6849</v>
      </c>
      <c r="AB463" s="3" t="str">
        <f>"10447973300010"</f>
        <v>10447973300010</v>
      </c>
      <c r="AC463" s="3"/>
      <c r="AD463" s="3" t="s">
        <v>81</v>
      </c>
      <c r="AE463" s="3"/>
      <c r="AF463" s="3">
        <v>-61.022778</v>
      </c>
      <c r="AG463" s="3">
        <v>-11.533889</v>
      </c>
      <c r="AH463" s="3" t="s">
        <v>6850</v>
      </c>
      <c r="AI463" s="3"/>
      <c r="AJ463" s="3" t="s">
        <v>1227</v>
      </c>
      <c r="AK463" s="3"/>
      <c r="AL463" s="3"/>
      <c r="AM463" s="3" t="s">
        <v>65</v>
      </c>
      <c r="AN463" s="3" t="s">
        <v>274</v>
      </c>
      <c r="AO463" s="3"/>
      <c r="AP463" s="4">
        <v>44264.6786111111</v>
      </c>
      <c r="AQ463" s="3"/>
      <c r="AR463" s="3" t="s">
        <v>106</v>
      </c>
      <c r="AS463" s="3" t="s">
        <v>6805</v>
      </c>
      <c r="AT463" s="4">
        <v>44281.0337152778</v>
      </c>
    </row>
    <row r="464" ht="15.75" customHeight="1">
      <c r="A464" s="3"/>
      <c r="B464" s="3" t="s">
        <v>46</v>
      </c>
      <c r="C464" s="3" t="s">
        <v>571</v>
      </c>
      <c r="D464" s="3" t="s">
        <v>116</v>
      </c>
      <c r="E464" s="3" t="s">
        <v>6851</v>
      </c>
      <c r="F464" s="3"/>
      <c r="G464" s="3" t="s">
        <v>49</v>
      </c>
      <c r="H464" s="3" t="s">
        <v>50</v>
      </c>
      <c r="I464" s="3">
        <v>161500.0</v>
      </c>
      <c r="J464" s="3"/>
      <c r="K464" s="3" t="s">
        <v>92</v>
      </c>
      <c r="L464" s="3"/>
      <c r="M464" s="3"/>
      <c r="N464" s="3" t="s">
        <v>186</v>
      </c>
      <c r="O464" s="3" t="s">
        <v>187</v>
      </c>
      <c r="P464" s="4">
        <v>44264.6636805556</v>
      </c>
      <c r="Q464" s="3" t="s">
        <v>77</v>
      </c>
      <c r="R464" s="3"/>
      <c r="S464" s="3" t="s">
        <v>148</v>
      </c>
      <c r="T464" s="3">
        <v>1100098.0</v>
      </c>
      <c r="U464" s="3" t="s">
        <v>335</v>
      </c>
      <c r="V464" s="3" t="s">
        <v>125</v>
      </c>
      <c r="W464" s="3" t="s">
        <v>100</v>
      </c>
      <c r="X464" s="3"/>
      <c r="Y464" s="3"/>
      <c r="Z464" s="3"/>
      <c r="AA464" s="3" t="s">
        <v>2307</v>
      </c>
      <c r="AB464" s="3" t="str">
        <f>"08423509000159"</f>
        <v>08423509000159</v>
      </c>
      <c r="AC464" s="3"/>
      <c r="AD464" s="3" t="s">
        <v>81</v>
      </c>
      <c r="AE464" s="3"/>
      <c r="AF464" s="3">
        <v>-60.981111</v>
      </c>
      <c r="AG464" s="3">
        <v>-11.480833</v>
      </c>
      <c r="AH464" s="3" t="s">
        <v>6852</v>
      </c>
      <c r="AI464" s="3"/>
      <c r="AJ464" s="3" t="s">
        <v>1227</v>
      </c>
      <c r="AK464" s="3"/>
      <c r="AL464" s="3"/>
      <c r="AM464" s="3" t="s">
        <v>65</v>
      </c>
      <c r="AN464" s="3" t="s">
        <v>274</v>
      </c>
      <c r="AO464" s="3"/>
      <c r="AP464" s="4">
        <v>44264.668599537</v>
      </c>
      <c r="AQ464" s="3"/>
      <c r="AR464" s="3" t="s">
        <v>106</v>
      </c>
      <c r="AS464" s="3" t="s">
        <v>6805</v>
      </c>
      <c r="AT464" s="4">
        <v>44281.0337152778</v>
      </c>
    </row>
    <row r="465" ht="15.75" customHeight="1">
      <c r="A465" s="3"/>
      <c r="B465" s="3" t="s">
        <v>46</v>
      </c>
      <c r="C465" s="3" t="s">
        <v>47</v>
      </c>
      <c r="D465" s="3"/>
      <c r="E465" s="3" t="s">
        <v>6853</v>
      </c>
      <c r="F465" s="3"/>
      <c r="G465" s="3" t="s">
        <v>49</v>
      </c>
      <c r="H465" s="3" t="s">
        <v>50</v>
      </c>
      <c r="I465" s="3">
        <v>45000.0</v>
      </c>
      <c r="J465" s="3"/>
      <c r="K465" s="3"/>
      <c r="L465" s="3"/>
      <c r="M465" s="3" t="s">
        <v>6854</v>
      </c>
      <c r="N465" s="3" t="s">
        <v>53</v>
      </c>
      <c r="O465" s="3" t="s">
        <v>333</v>
      </c>
      <c r="P465" s="4">
        <v>44264.6607060185</v>
      </c>
      <c r="Q465" s="3" t="s">
        <v>56</v>
      </c>
      <c r="R465" s="3"/>
      <c r="S465" s="3" t="s">
        <v>1349</v>
      </c>
      <c r="T465" s="3">
        <v>1507805.0</v>
      </c>
      <c r="U465" s="3" t="s">
        <v>5222</v>
      </c>
      <c r="V465" s="3" t="s">
        <v>917</v>
      </c>
      <c r="W465" s="3" t="s">
        <v>100</v>
      </c>
      <c r="X465" s="3"/>
      <c r="Y465" s="3"/>
      <c r="Z465" s="3" t="s">
        <v>223</v>
      </c>
      <c r="AA465" s="3" t="s">
        <v>6855</v>
      </c>
      <c r="AB465" s="3" t="str">
        <f>"***901982**"</f>
        <v>***901982**</v>
      </c>
      <c r="AC465" s="3"/>
      <c r="AD465" s="3" t="s">
        <v>81</v>
      </c>
      <c r="AE465" s="3"/>
      <c r="AF465" s="3">
        <v>-51.723889</v>
      </c>
      <c r="AG465" s="3">
        <v>-3.397222</v>
      </c>
      <c r="AH465" s="3" t="s">
        <v>6856</v>
      </c>
      <c r="AI465" s="3"/>
      <c r="AJ465" s="3" t="s">
        <v>120</v>
      </c>
      <c r="AK465" s="3"/>
      <c r="AL465" s="3"/>
      <c r="AM465" s="3" t="s">
        <v>65</v>
      </c>
      <c r="AN465" s="3" t="s">
        <v>6041</v>
      </c>
      <c r="AO465" s="3"/>
      <c r="AP465" s="4">
        <v>44264.674212963</v>
      </c>
      <c r="AQ465" s="3"/>
      <c r="AR465" s="3" t="s">
        <v>6857</v>
      </c>
      <c r="AS465" s="3"/>
      <c r="AT465" s="4">
        <v>44281.0337152778</v>
      </c>
    </row>
    <row r="466" ht="15.75" customHeight="1">
      <c r="A466" s="3"/>
      <c r="B466" s="3" t="s">
        <v>46</v>
      </c>
      <c r="C466" s="3" t="s">
        <v>47</v>
      </c>
      <c r="D466" s="3"/>
      <c r="E466" s="3" t="s">
        <v>6858</v>
      </c>
      <c r="F466" s="3"/>
      <c r="G466" s="3" t="s">
        <v>49</v>
      </c>
      <c r="H466" s="3" t="s">
        <v>72</v>
      </c>
      <c r="I466" s="3">
        <v>9450.0</v>
      </c>
      <c r="J466" s="3"/>
      <c r="K466" s="3"/>
      <c r="L466" s="3"/>
      <c r="M466" s="3" t="s">
        <v>6859</v>
      </c>
      <c r="N466" s="3" t="s">
        <v>109</v>
      </c>
      <c r="O466" s="3" t="s">
        <v>110</v>
      </c>
      <c r="P466" s="4">
        <v>44264.6444097222</v>
      </c>
      <c r="Q466" s="3" t="s">
        <v>56</v>
      </c>
      <c r="R466" s="5">
        <v>44273.0</v>
      </c>
      <c r="S466" s="3" t="s">
        <v>1468</v>
      </c>
      <c r="T466" s="3">
        <v>5003207.0</v>
      </c>
      <c r="U466" s="3" t="s">
        <v>2929</v>
      </c>
      <c r="V466" s="3" t="s">
        <v>1470</v>
      </c>
      <c r="W466" s="3" t="s">
        <v>1658</v>
      </c>
      <c r="X466" s="3"/>
      <c r="Y466" s="3"/>
      <c r="Z466" s="3" t="s">
        <v>112</v>
      </c>
      <c r="AA466" s="3" t="s">
        <v>6860</v>
      </c>
      <c r="AB466" s="3" t="str">
        <f>"***615768**"</f>
        <v>***615768**</v>
      </c>
      <c r="AC466" s="3"/>
      <c r="AD466" s="3" t="s">
        <v>325</v>
      </c>
      <c r="AE466" s="3"/>
      <c r="AF466" s="3">
        <v>-57.693333</v>
      </c>
      <c r="AG466" s="3">
        <v>-19.097222</v>
      </c>
      <c r="AH466" s="3" t="s">
        <v>6861</v>
      </c>
      <c r="AI466" s="3"/>
      <c r="AJ466" s="3" t="s">
        <v>1473</v>
      </c>
      <c r="AK466" s="3"/>
      <c r="AL466" s="3"/>
      <c r="AM466" s="3" t="s">
        <v>65</v>
      </c>
      <c r="AN466" s="3"/>
      <c r="AO466" s="3"/>
      <c r="AP466" s="4">
        <v>44278.7472453704</v>
      </c>
      <c r="AQ466" s="3"/>
      <c r="AR466" s="3" t="s">
        <v>991</v>
      </c>
      <c r="AS466" s="3"/>
      <c r="AT466" s="4">
        <v>44281.0337152778</v>
      </c>
    </row>
    <row r="467" ht="15.75" customHeight="1">
      <c r="A467" s="3">
        <v>2044184.0</v>
      </c>
      <c r="B467" s="3" t="s">
        <v>116</v>
      </c>
      <c r="C467" s="3" t="s">
        <v>117</v>
      </c>
      <c r="D467" s="3" t="s">
        <v>46</v>
      </c>
      <c r="E467" s="3" t="s">
        <v>6862</v>
      </c>
      <c r="F467" s="3"/>
      <c r="G467" s="3" t="s">
        <v>119</v>
      </c>
      <c r="H467" s="3" t="s">
        <v>50</v>
      </c>
      <c r="I467" s="3">
        <v>1000.0</v>
      </c>
      <c r="J467" s="3"/>
      <c r="K467" s="3"/>
      <c r="L467" s="3" t="s">
        <v>371</v>
      </c>
      <c r="M467" s="3" t="s">
        <v>6863</v>
      </c>
      <c r="N467" s="3" t="s">
        <v>186</v>
      </c>
      <c r="O467" s="3" t="s">
        <v>95</v>
      </c>
      <c r="P467" s="4">
        <v>44264.625</v>
      </c>
      <c r="Q467" s="3" t="s">
        <v>56</v>
      </c>
      <c r="R467" s="5">
        <v>44264.0</v>
      </c>
      <c r="S467" s="3" t="s">
        <v>220</v>
      </c>
      <c r="T467" s="3">
        <v>3549805.0</v>
      </c>
      <c r="U467" s="3" t="s">
        <v>368</v>
      </c>
      <c r="V467" s="3" t="s">
        <v>139</v>
      </c>
      <c r="W467" s="3" t="s">
        <v>78</v>
      </c>
      <c r="X467" s="3"/>
      <c r="Y467" s="3"/>
      <c r="Z467" s="3" t="s">
        <v>101</v>
      </c>
      <c r="AA467" s="3" t="s">
        <v>6864</v>
      </c>
      <c r="AB467" s="3" t="str">
        <f>"***367018**"</f>
        <v>***367018**</v>
      </c>
      <c r="AC467" s="3"/>
      <c r="AD467" s="3"/>
      <c r="AE467" s="3"/>
      <c r="AF467" s="3">
        <v>-49.355556</v>
      </c>
      <c r="AG467" s="3">
        <v>-20.791667</v>
      </c>
      <c r="AH467" s="3" t="s">
        <v>6865</v>
      </c>
      <c r="AI467" s="3"/>
      <c r="AJ467" s="3" t="s">
        <v>371</v>
      </c>
      <c r="AK467" s="3"/>
      <c r="AL467" s="3" t="s">
        <v>128</v>
      </c>
      <c r="AM467" s="3" t="s">
        <v>65</v>
      </c>
      <c r="AN467" s="3" t="s">
        <v>159</v>
      </c>
      <c r="AO467" s="4">
        <v>44264.0</v>
      </c>
      <c r="AP467" s="4">
        <v>44264.7022222222</v>
      </c>
      <c r="AQ467" s="3" t="s">
        <v>132</v>
      </c>
      <c r="AR467" s="3" t="s">
        <v>693</v>
      </c>
      <c r="AS467" s="3"/>
      <c r="AT467" s="4">
        <v>44281.0337152778</v>
      </c>
    </row>
    <row r="468" ht="15.75" customHeight="1">
      <c r="A468" s="3">
        <v>2044204.0</v>
      </c>
      <c r="B468" s="3" t="s">
        <v>116</v>
      </c>
      <c r="C468" s="3" t="s">
        <v>117</v>
      </c>
      <c r="D468" s="3" t="s">
        <v>46</v>
      </c>
      <c r="E468" s="3" t="s">
        <v>6866</v>
      </c>
      <c r="F468" s="3"/>
      <c r="G468" s="3" t="s">
        <v>119</v>
      </c>
      <c r="H468" s="3" t="s">
        <v>72</v>
      </c>
      <c r="I468" s="3">
        <v>300000.0</v>
      </c>
      <c r="J468" s="3"/>
      <c r="K468" s="3"/>
      <c r="L468" s="3" t="s">
        <v>120</v>
      </c>
      <c r="M468" s="3" t="s">
        <v>6867</v>
      </c>
      <c r="N468" s="3" t="s">
        <v>109</v>
      </c>
      <c r="O468" s="3" t="s">
        <v>110</v>
      </c>
      <c r="P468" s="4">
        <v>44264.625</v>
      </c>
      <c r="Q468" s="3" t="s">
        <v>56</v>
      </c>
      <c r="R468" s="3"/>
      <c r="S468" s="3" t="s">
        <v>915</v>
      </c>
      <c r="T468" s="3">
        <v>1505031.0</v>
      </c>
      <c r="U468" s="3" t="s">
        <v>5077</v>
      </c>
      <c r="V468" s="3" t="s">
        <v>917</v>
      </c>
      <c r="W468" s="3" t="s">
        <v>100</v>
      </c>
      <c r="X468" s="3"/>
      <c r="Y468" s="3" t="str">
        <f>"02001004874202194"</f>
        <v>02001004874202194</v>
      </c>
      <c r="Z468" s="3" t="s">
        <v>112</v>
      </c>
      <c r="AA468" s="3" t="s">
        <v>6868</v>
      </c>
      <c r="AB468" s="3" t="str">
        <f>"***126851**"</f>
        <v>***126851**</v>
      </c>
      <c r="AC468" s="3"/>
      <c r="AD468" s="3"/>
      <c r="AE468" s="3"/>
      <c r="AF468" s="3">
        <v>-55.243056</v>
      </c>
      <c r="AG468" s="3">
        <v>-7.798611</v>
      </c>
      <c r="AH468" s="3" t="s">
        <v>6869</v>
      </c>
      <c r="AI468" s="3"/>
      <c r="AJ468" s="3" t="s">
        <v>120</v>
      </c>
      <c r="AK468" s="3"/>
      <c r="AL468" s="3" t="s">
        <v>128</v>
      </c>
      <c r="AM468" s="3" t="s">
        <v>65</v>
      </c>
      <c r="AN468" s="3" t="s">
        <v>6870</v>
      </c>
      <c r="AO468" s="4">
        <v>44265.0</v>
      </c>
      <c r="AP468" s="4">
        <v>44265.4129976852</v>
      </c>
      <c r="AQ468" s="3" t="s">
        <v>132</v>
      </c>
      <c r="AR468" s="3" t="s">
        <v>3557</v>
      </c>
      <c r="AS468" s="3" t="s">
        <v>6871</v>
      </c>
      <c r="AT468" s="4">
        <v>44281.0337152778</v>
      </c>
    </row>
    <row r="469" ht="15.75" customHeight="1">
      <c r="A469" s="3">
        <v>2044340.0</v>
      </c>
      <c r="B469" s="3" t="s">
        <v>116</v>
      </c>
      <c r="C469" s="3" t="s">
        <v>117</v>
      </c>
      <c r="D469" s="3" t="s">
        <v>46</v>
      </c>
      <c r="E469" s="3" t="s">
        <v>6872</v>
      </c>
      <c r="F469" s="3"/>
      <c r="G469" s="3" t="s">
        <v>119</v>
      </c>
      <c r="H469" s="3" t="s">
        <v>50</v>
      </c>
      <c r="I469" s="3">
        <v>161500.0</v>
      </c>
      <c r="J469" s="3"/>
      <c r="K469" s="3"/>
      <c r="L469" s="3" t="s">
        <v>1227</v>
      </c>
      <c r="M469" s="3" t="s">
        <v>6873</v>
      </c>
      <c r="N469" s="3" t="s">
        <v>53</v>
      </c>
      <c r="O469" s="3" t="s">
        <v>187</v>
      </c>
      <c r="P469" s="4">
        <v>44264.625</v>
      </c>
      <c r="Q469" s="3" t="s">
        <v>77</v>
      </c>
      <c r="R469" s="5">
        <v>44264.0</v>
      </c>
      <c r="S469" s="3" t="s">
        <v>123</v>
      </c>
      <c r="T469" s="3">
        <v>1100098.0</v>
      </c>
      <c r="U469" s="3" t="s">
        <v>2306</v>
      </c>
      <c r="V469" s="3" t="s">
        <v>125</v>
      </c>
      <c r="W469" s="3" t="s">
        <v>100</v>
      </c>
      <c r="X469" s="3"/>
      <c r="Y469" s="3" t="str">
        <f>"02049000079202181"</f>
        <v>02049000079202181</v>
      </c>
      <c r="Z469" s="3" t="s">
        <v>223</v>
      </c>
      <c r="AA469" s="3" t="s">
        <v>1225</v>
      </c>
      <c r="AB469" s="3" t="str">
        <f>"27002759000160"</f>
        <v>27002759000160</v>
      </c>
      <c r="AC469" s="3"/>
      <c r="AD469" s="3"/>
      <c r="AE469" s="3"/>
      <c r="AF469" s="3">
        <v>-61.003611</v>
      </c>
      <c r="AG469" s="3">
        <v>-11.531944</v>
      </c>
      <c r="AH469" s="3" t="s">
        <v>6874</v>
      </c>
      <c r="AI469" s="3"/>
      <c r="AJ469" s="3" t="s">
        <v>1227</v>
      </c>
      <c r="AK469" s="3"/>
      <c r="AL469" s="3" t="s">
        <v>128</v>
      </c>
      <c r="AM469" s="3" t="s">
        <v>65</v>
      </c>
      <c r="AN469" s="3" t="s">
        <v>274</v>
      </c>
      <c r="AO469" s="4">
        <v>44270.0</v>
      </c>
      <c r="AP469" s="4">
        <v>44270.3563310185</v>
      </c>
      <c r="AQ469" s="3" t="s">
        <v>132</v>
      </c>
      <c r="AR469" s="3" t="s">
        <v>247</v>
      </c>
      <c r="AS469" s="3" t="s">
        <v>6875</v>
      </c>
      <c r="AT469" s="4">
        <v>44281.0337152778</v>
      </c>
    </row>
    <row r="470" ht="15.75" customHeight="1">
      <c r="A470" s="3">
        <v>2044494.0</v>
      </c>
      <c r="B470" s="3" t="s">
        <v>116</v>
      </c>
      <c r="C470" s="3" t="s">
        <v>117</v>
      </c>
      <c r="D470" s="3" t="s">
        <v>46</v>
      </c>
      <c r="E470" s="3" t="s">
        <v>6876</v>
      </c>
      <c r="F470" s="3"/>
      <c r="G470" s="3" t="s">
        <v>119</v>
      </c>
      <c r="H470" s="3" t="s">
        <v>72</v>
      </c>
      <c r="I470" s="3">
        <v>88923.0</v>
      </c>
      <c r="J470" s="3"/>
      <c r="K470" s="3"/>
      <c r="L470" s="3" t="s">
        <v>120</v>
      </c>
      <c r="M470" s="3" t="s">
        <v>6877</v>
      </c>
      <c r="N470" s="3" t="s">
        <v>109</v>
      </c>
      <c r="O470" s="3" t="s">
        <v>110</v>
      </c>
      <c r="P470" s="4">
        <v>44264.625</v>
      </c>
      <c r="Q470" s="3" t="s">
        <v>77</v>
      </c>
      <c r="R470" s="5">
        <v>44264.0</v>
      </c>
      <c r="S470" s="3" t="s">
        <v>220</v>
      </c>
      <c r="T470" s="3">
        <v>1508159.0</v>
      </c>
      <c r="U470" s="3" t="s">
        <v>6878</v>
      </c>
      <c r="V470" s="3" t="s">
        <v>917</v>
      </c>
      <c r="W470" s="3" t="s">
        <v>100</v>
      </c>
      <c r="X470" s="3"/>
      <c r="Y470" s="3" t="str">
        <f>"02001005554202151"</f>
        <v>02001005554202151</v>
      </c>
      <c r="Z470" s="3" t="s">
        <v>112</v>
      </c>
      <c r="AA470" s="3" t="s">
        <v>6879</v>
      </c>
      <c r="AB470" s="3" t="str">
        <f>"20227345000190"</f>
        <v>20227345000190</v>
      </c>
      <c r="AC470" s="3"/>
      <c r="AD470" s="3"/>
      <c r="AE470" s="3"/>
      <c r="AF470" s="3">
        <v>-53.385278</v>
      </c>
      <c r="AG470" s="3">
        <v>-3.622778</v>
      </c>
      <c r="AH470" s="3" t="s">
        <v>6880</v>
      </c>
      <c r="AI470" s="3"/>
      <c r="AJ470" s="3" t="s">
        <v>120</v>
      </c>
      <c r="AK470" s="3"/>
      <c r="AL470" s="3" t="s">
        <v>128</v>
      </c>
      <c r="AM470" s="3" t="s">
        <v>65</v>
      </c>
      <c r="AN470" s="3" t="s">
        <v>6041</v>
      </c>
      <c r="AO470" s="4">
        <v>44272.0</v>
      </c>
      <c r="AP470" s="4">
        <v>44272.9324884259</v>
      </c>
      <c r="AQ470" s="3" t="s">
        <v>132</v>
      </c>
      <c r="AR470" s="3" t="s">
        <v>133</v>
      </c>
      <c r="AS470" s="3"/>
      <c r="AT470" s="4">
        <v>44281.0337152778</v>
      </c>
    </row>
    <row r="471" ht="15.75" customHeight="1">
      <c r="A471" s="3">
        <v>2044527.0</v>
      </c>
      <c r="B471" s="3" t="s">
        <v>116</v>
      </c>
      <c r="C471" s="3" t="s">
        <v>117</v>
      </c>
      <c r="D471" s="3" t="s">
        <v>46</v>
      </c>
      <c r="E471" s="3" t="s">
        <v>6881</v>
      </c>
      <c r="F471" s="3"/>
      <c r="G471" s="3" t="s">
        <v>119</v>
      </c>
      <c r="H471" s="3" t="s">
        <v>50</v>
      </c>
      <c r="I471" s="3">
        <v>52500.0</v>
      </c>
      <c r="J471" s="3"/>
      <c r="K471" s="3"/>
      <c r="L471" s="3" t="s">
        <v>120</v>
      </c>
      <c r="M471" s="3" t="s">
        <v>6882</v>
      </c>
      <c r="N471" s="3" t="s">
        <v>186</v>
      </c>
      <c r="O471" s="3" t="s">
        <v>95</v>
      </c>
      <c r="P471" s="4">
        <v>44264.625</v>
      </c>
      <c r="Q471" s="3" t="s">
        <v>77</v>
      </c>
      <c r="R471" s="5">
        <v>44264.0</v>
      </c>
      <c r="S471" s="3" t="s">
        <v>220</v>
      </c>
      <c r="T471" s="3">
        <v>1508159.0</v>
      </c>
      <c r="U471" s="3" t="s">
        <v>6878</v>
      </c>
      <c r="V471" s="3" t="s">
        <v>917</v>
      </c>
      <c r="W471" s="3" t="s">
        <v>100</v>
      </c>
      <c r="X471" s="3"/>
      <c r="Y471" s="3" t="str">
        <f>"02001005655202122"</f>
        <v>02001005655202122</v>
      </c>
      <c r="Z471" s="3" t="s">
        <v>101</v>
      </c>
      <c r="AA471" s="3" t="s">
        <v>6883</v>
      </c>
      <c r="AB471" s="3" t="str">
        <f>"03339753000114"</f>
        <v>03339753000114</v>
      </c>
      <c r="AC471" s="3"/>
      <c r="AD471" s="3"/>
      <c r="AE471" s="3"/>
      <c r="AF471" s="3">
        <v>-53.386389</v>
      </c>
      <c r="AG471" s="3">
        <v>-3.625556</v>
      </c>
      <c r="AH471" s="3" t="s">
        <v>6884</v>
      </c>
      <c r="AI471" s="3"/>
      <c r="AJ471" s="3" t="s">
        <v>120</v>
      </c>
      <c r="AK471" s="3"/>
      <c r="AL471" s="3" t="s">
        <v>128</v>
      </c>
      <c r="AM471" s="3" t="s">
        <v>65</v>
      </c>
      <c r="AN471" s="3" t="s">
        <v>6041</v>
      </c>
      <c r="AO471" s="4">
        <v>44273.0</v>
      </c>
      <c r="AP471" s="4">
        <v>44273.8784606482</v>
      </c>
      <c r="AQ471" s="3" t="s">
        <v>132</v>
      </c>
      <c r="AR471" s="3" t="s">
        <v>247</v>
      </c>
      <c r="AS471" s="3"/>
      <c r="AT471" s="4">
        <v>44281.0337152778</v>
      </c>
    </row>
    <row r="472" ht="15.75" customHeight="1">
      <c r="A472" s="3"/>
      <c r="B472" s="3" t="s">
        <v>46</v>
      </c>
      <c r="C472" s="3" t="s">
        <v>47</v>
      </c>
      <c r="D472" s="3"/>
      <c r="E472" s="3" t="s">
        <v>6885</v>
      </c>
      <c r="F472" s="3"/>
      <c r="G472" s="3" t="s">
        <v>49</v>
      </c>
      <c r="H472" s="3" t="s">
        <v>72</v>
      </c>
      <c r="I472" s="3">
        <v>140000.0</v>
      </c>
      <c r="J472" s="3"/>
      <c r="K472" s="3"/>
      <c r="L472" s="3"/>
      <c r="M472" s="3" t="s">
        <v>6886</v>
      </c>
      <c r="N472" s="3" t="s">
        <v>109</v>
      </c>
      <c r="O472" s="3" t="s">
        <v>110</v>
      </c>
      <c r="P472" s="4">
        <v>44264.6078703704</v>
      </c>
      <c r="Q472" s="3" t="s">
        <v>77</v>
      </c>
      <c r="R472" s="3"/>
      <c r="S472" s="3" t="s">
        <v>220</v>
      </c>
      <c r="T472" s="3">
        <v>1505031.0</v>
      </c>
      <c r="U472" s="3" t="s">
        <v>5077</v>
      </c>
      <c r="V472" s="3" t="s">
        <v>917</v>
      </c>
      <c r="W472" s="3" t="s">
        <v>100</v>
      </c>
      <c r="X472" s="3" t="s">
        <v>5178</v>
      </c>
      <c r="Y472" s="3"/>
      <c r="Z472" s="3" t="s">
        <v>112</v>
      </c>
      <c r="AA472" s="3" t="s">
        <v>6887</v>
      </c>
      <c r="AB472" s="3" t="str">
        <f>"***720642**"</f>
        <v>***720642**</v>
      </c>
      <c r="AC472" s="3"/>
      <c r="AD472" s="3" t="s">
        <v>325</v>
      </c>
      <c r="AE472" s="3"/>
      <c r="AF472" s="3">
        <v>-55.580556</v>
      </c>
      <c r="AG472" s="3">
        <v>-7.204694</v>
      </c>
      <c r="AH472" s="3" t="s">
        <v>6888</v>
      </c>
      <c r="AI472" s="3"/>
      <c r="AJ472" s="3" t="s">
        <v>120</v>
      </c>
      <c r="AK472" s="3"/>
      <c r="AL472" s="3"/>
      <c r="AM472" s="3" t="s">
        <v>65</v>
      </c>
      <c r="AN472" s="3" t="s">
        <v>6870</v>
      </c>
      <c r="AO472" s="3"/>
      <c r="AP472" s="4">
        <v>44275.4097569444</v>
      </c>
      <c r="AQ472" s="3"/>
      <c r="AR472" s="3" t="s">
        <v>5180</v>
      </c>
      <c r="AS472" s="3"/>
      <c r="AT472" s="4">
        <v>44281.0337152778</v>
      </c>
    </row>
    <row r="473" ht="15.75" customHeight="1">
      <c r="A473" s="3"/>
      <c r="B473" s="3" t="s">
        <v>46</v>
      </c>
      <c r="C473" s="3" t="s">
        <v>47</v>
      </c>
      <c r="D473" s="3"/>
      <c r="E473" s="3" t="s">
        <v>6889</v>
      </c>
      <c r="F473" s="3"/>
      <c r="G473" s="3" t="s">
        <v>49</v>
      </c>
      <c r="H473" s="3" t="s">
        <v>50</v>
      </c>
      <c r="I473" s="3">
        <v>111500.0</v>
      </c>
      <c r="J473" s="3"/>
      <c r="K473" s="3" t="s">
        <v>92</v>
      </c>
      <c r="L473" s="3"/>
      <c r="M473" s="3" t="s">
        <v>6890</v>
      </c>
      <c r="N473" s="3" t="s">
        <v>109</v>
      </c>
      <c r="O473" s="3" t="s">
        <v>110</v>
      </c>
      <c r="P473" s="4">
        <v>44264.5968865741</v>
      </c>
      <c r="Q473" s="3" t="s">
        <v>77</v>
      </c>
      <c r="R473" s="3"/>
      <c r="S473" s="3" t="s">
        <v>1349</v>
      </c>
      <c r="T473" s="3">
        <v>1508159.0</v>
      </c>
      <c r="U473" s="3" t="s">
        <v>6878</v>
      </c>
      <c r="V473" s="3" t="s">
        <v>917</v>
      </c>
      <c r="W473" s="3" t="s">
        <v>100</v>
      </c>
      <c r="X473" s="3"/>
      <c r="Y473" s="3"/>
      <c r="Z473" s="3" t="s">
        <v>112</v>
      </c>
      <c r="AA473" s="3" t="s">
        <v>6891</v>
      </c>
      <c r="AB473" s="3" t="str">
        <f>"30063120000107"</f>
        <v>30063120000107</v>
      </c>
      <c r="AC473" s="3"/>
      <c r="AD473" s="3" t="s">
        <v>62</v>
      </c>
      <c r="AE473" s="3"/>
      <c r="AF473" s="3">
        <v>-53.386139</v>
      </c>
      <c r="AG473" s="3">
        <v>-3.622667</v>
      </c>
      <c r="AH473" s="3" t="s">
        <v>6892</v>
      </c>
      <c r="AI473" s="3"/>
      <c r="AJ473" s="3" t="s">
        <v>120</v>
      </c>
      <c r="AK473" s="3"/>
      <c r="AL473" s="3"/>
      <c r="AM473" s="3" t="s">
        <v>65</v>
      </c>
      <c r="AN473" s="3" t="s">
        <v>6041</v>
      </c>
      <c r="AO473" s="3"/>
      <c r="AP473" s="4">
        <v>44264.6150810185</v>
      </c>
      <c r="AQ473" s="3"/>
      <c r="AR473" s="3" t="s">
        <v>106</v>
      </c>
      <c r="AS473" s="3"/>
      <c r="AT473" s="4">
        <v>44281.0337152778</v>
      </c>
    </row>
    <row r="474" ht="15.75" customHeight="1">
      <c r="A474" s="3">
        <v>2044186.0</v>
      </c>
      <c r="B474" s="3" t="s">
        <v>116</v>
      </c>
      <c r="C474" s="3" t="s">
        <v>117</v>
      </c>
      <c r="D474" s="3" t="s">
        <v>46</v>
      </c>
      <c r="E474" s="3" t="s">
        <v>6893</v>
      </c>
      <c r="F474" s="3"/>
      <c r="G474" s="3" t="s">
        <v>119</v>
      </c>
      <c r="H474" s="3" t="s">
        <v>50</v>
      </c>
      <c r="I474" s="3">
        <v>500.0</v>
      </c>
      <c r="J474" s="3"/>
      <c r="K474" s="3"/>
      <c r="L474" s="3" t="s">
        <v>273</v>
      </c>
      <c r="M474" s="3" t="s">
        <v>6894</v>
      </c>
      <c r="N474" s="3" t="s">
        <v>257</v>
      </c>
      <c r="O474" s="3" t="s">
        <v>258</v>
      </c>
      <c r="P474" s="4">
        <v>44264.5833333333</v>
      </c>
      <c r="Q474" s="3" t="s">
        <v>56</v>
      </c>
      <c r="R474" s="3"/>
      <c r="S474" s="3" t="s">
        <v>268</v>
      </c>
      <c r="T474" s="3">
        <v>4119152.0</v>
      </c>
      <c r="U474" s="3" t="s">
        <v>269</v>
      </c>
      <c r="V474" s="3" t="s">
        <v>270</v>
      </c>
      <c r="W474" s="3" t="s">
        <v>78</v>
      </c>
      <c r="X474" s="3"/>
      <c r="Y474" s="3" t="str">
        <f>"02017000498202190"</f>
        <v>02017000498202190</v>
      </c>
      <c r="Z474" s="3" t="s">
        <v>260</v>
      </c>
      <c r="AA474" s="3" t="s">
        <v>6895</v>
      </c>
      <c r="AB474" s="3" t="str">
        <f>"***350818**"</f>
        <v>***350818**</v>
      </c>
      <c r="AC474" s="3"/>
      <c r="AD474" s="3"/>
      <c r="AE474" s="3"/>
      <c r="AF474" s="3">
        <v>-49.1875</v>
      </c>
      <c r="AG474" s="3">
        <v>-25.428056</v>
      </c>
      <c r="AH474" s="3" t="s">
        <v>6896</v>
      </c>
      <c r="AI474" s="3"/>
      <c r="AJ474" s="3" t="s">
        <v>273</v>
      </c>
      <c r="AK474" s="3"/>
      <c r="AL474" s="3" t="s">
        <v>128</v>
      </c>
      <c r="AM474" s="3" t="s">
        <v>65</v>
      </c>
      <c r="AN474" s="3" t="s">
        <v>274</v>
      </c>
      <c r="AO474" s="4">
        <v>44264.0</v>
      </c>
      <c r="AP474" s="4">
        <v>44264.7256712963</v>
      </c>
      <c r="AQ474" s="3" t="s">
        <v>132</v>
      </c>
      <c r="AR474" s="3" t="s">
        <v>1242</v>
      </c>
      <c r="AS474" s="3"/>
      <c r="AT474" s="4">
        <v>44281.0337152778</v>
      </c>
    </row>
    <row r="475" ht="15.75" customHeight="1">
      <c r="A475" s="3">
        <v>2044220.0</v>
      </c>
      <c r="B475" s="3" t="s">
        <v>116</v>
      </c>
      <c r="C475" s="3" t="s">
        <v>117</v>
      </c>
      <c r="D475" s="3" t="s">
        <v>46</v>
      </c>
      <c r="E475" s="3" t="s">
        <v>6897</v>
      </c>
      <c r="F475" s="3"/>
      <c r="G475" s="3" t="s">
        <v>119</v>
      </c>
      <c r="H475" s="3" t="s">
        <v>72</v>
      </c>
      <c r="I475" s="3">
        <v>115500.0</v>
      </c>
      <c r="J475" s="3"/>
      <c r="K475" s="3"/>
      <c r="L475" s="3" t="s">
        <v>273</v>
      </c>
      <c r="M475" s="3" t="s">
        <v>6898</v>
      </c>
      <c r="N475" s="3" t="s">
        <v>109</v>
      </c>
      <c r="O475" s="3" t="s">
        <v>110</v>
      </c>
      <c r="P475" s="4">
        <v>44264.5833333333</v>
      </c>
      <c r="Q475" s="3" t="s">
        <v>56</v>
      </c>
      <c r="R475" s="3"/>
      <c r="S475" s="3" t="s">
        <v>268</v>
      </c>
      <c r="T475" s="3">
        <v>4127965.0</v>
      </c>
      <c r="U475" s="3" t="s">
        <v>344</v>
      </c>
      <c r="V475" s="3" t="s">
        <v>270</v>
      </c>
      <c r="W475" s="3" t="s">
        <v>78</v>
      </c>
      <c r="X475" s="3"/>
      <c r="Y475" s="3" t="str">
        <f>"02017000506202106"</f>
        <v>02017000506202106</v>
      </c>
      <c r="Z475" s="3" t="s">
        <v>112</v>
      </c>
      <c r="AA475" s="3" t="s">
        <v>6899</v>
      </c>
      <c r="AB475" s="3" t="str">
        <f>"***311759**"</f>
        <v>***311759**</v>
      </c>
      <c r="AC475" s="3"/>
      <c r="AD475" s="3"/>
      <c r="AE475" s="3"/>
      <c r="AF475" s="3">
        <v>-51.578889</v>
      </c>
      <c r="AG475" s="3">
        <v>-25.045556</v>
      </c>
      <c r="AH475" s="3" t="s">
        <v>6900</v>
      </c>
      <c r="AI475" s="3"/>
      <c r="AJ475" s="3" t="s">
        <v>273</v>
      </c>
      <c r="AK475" s="3"/>
      <c r="AL475" s="3" t="s">
        <v>128</v>
      </c>
      <c r="AM475" s="3" t="s">
        <v>65</v>
      </c>
      <c r="AN475" s="3" t="s">
        <v>347</v>
      </c>
      <c r="AO475" s="4">
        <v>44265.0</v>
      </c>
      <c r="AP475" s="4">
        <v>44265.5603240741</v>
      </c>
      <c r="AQ475" s="3" t="s">
        <v>132</v>
      </c>
      <c r="AR475" s="3" t="s">
        <v>2146</v>
      </c>
      <c r="AS475" s="3" t="s">
        <v>6901</v>
      </c>
      <c r="AT475" s="4">
        <v>44281.0337152778</v>
      </c>
    </row>
    <row r="476" ht="15.75" customHeight="1">
      <c r="A476" s="3">
        <v>2044493.0</v>
      </c>
      <c r="B476" s="3" t="s">
        <v>116</v>
      </c>
      <c r="C476" s="3" t="s">
        <v>117</v>
      </c>
      <c r="D476" s="3" t="s">
        <v>46</v>
      </c>
      <c r="E476" s="3" t="s">
        <v>6902</v>
      </c>
      <c r="F476" s="3"/>
      <c r="G476" s="3" t="s">
        <v>119</v>
      </c>
      <c r="H476" s="3" t="s">
        <v>50</v>
      </c>
      <c r="I476" s="3">
        <v>161500.0</v>
      </c>
      <c r="J476" s="3"/>
      <c r="K476" s="3"/>
      <c r="L476" s="3" t="s">
        <v>120</v>
      </c>
      <c r="M476" s="3" t="s">
        <v>6903</v>
      </c>
      <c r="N476" s="3" t="s">
        <v>186</v>
      </c>
      <c r="O476" s="3" t="s">
        <v>95</v>
      </c>
      <c r="P476" s="4">
        <v>44264.5833333333</v>
      </c>
      <c r="Q476" s="3" t="s">
        <v>77</v>
      </c>
      <c r="R476" s="5">
        <v>44264.0</v>
      </c>
      <c r="S476" s="3" t="s">
        <v>220</v>
      </c>
      <c r="T476" s="3">
        <v>1508159.0</v>
      </c>
      <c r="U476" s="3" t="s">
        <v>6878</v>
      </c>
      <c r="V476" s="3" t="s">
        <v>917</v>
      </c>
      <c r="W476" s="3" t="s">
        <v>100</v>
      </c>
      <c r="X476" s="3"/>
      <c r="Y476" s="3" t="str">
        <f>"02001005553202115"</f>
        <v>02001005553202115</v>
      </c>
      <c r="Z476" s="3" t="s">
        <v>101</v>
      </c>
      <c r="AA476" s="3" t="s">
        <v>6879</v>
      </c>
      <c r="AB476" s="3" t="str">
        <f>"20227345000190"</f>
        <v>20227345000190</v>
      </c>
      <c r="AC476" s="3"/>
      <c r="AD476" s="3"/>
      <c r="AE476" s="3"/>
      <c r="AF476" s="3">
        <v>-53.385278</v>
      </c>
      <c r="AG476" s="3">
        <v>-3.622778</v>
      </c>
      <c r="AH476" s="3" t="s">
        <v>6904</v>
      </c>
      <c r="AI476" s="3"/>
      <c r="AJ476" s="3" t="s">
        <v>120</v>
      </c>
      <c r="AK476" s="3"/>
      <c r="AL476" s="3" t="s">
        <v>128</v>
      </c>
      <c r="AM476" s="3" t="s">
        <v>65</v>
      </c>
      <c r="AN476" s="3" t="s">
        <v>6041</v>
      </c>
      <c r="AO476" s="4">
        <v>44272.0</v>
      </c>
      <c r="AP476" s="4">
        <v>44272.930150463</v>
      </c>
      <c r="AQ476" s="3" t="s">
        <v>132</v>
      </c>
      <c r="AR476" s="3" t="s">
        <v>247</v>
      </c>
      <c r="AS476" s="3"/>
      <c r="AT476" s="4">
        <v>44281.0337152778</v>
      </c>
    </row>
    <row r="477" ht="15.75" customHeight="1">
      <c r="A477" s="3">
        <v>2044528.0</v>
      </c>
      <c r="B477" s="3" t="s">
        <v>116</v>
      </c>
      <c r="C477" s="3" t="s">
        <v>117</v>
      </c>
      <c r="D477" s="3" t="s">
        <v>46</v>
      </c>
      <c r="E477" s="3" t="s">
        <v>6905</v>
      </c>
      <c r="F477" s="3"/>
      <c r="G477" s="3" t="s">
        <v>119</v>
      </c>
      <c r="H477" s="3" t="s">
        <v>72</v>
      </c>
      <c r="I477" s="3">
        <v>228686.93</v>
      </c>
      <c r="J477" s="3"/>
      <c r="K477" s="3"/>
      <c r="L477" s="3" t="s">
        <v>120</v>
      </c>
      <c r="M477" s="3" t="s">
        <v>6906</v>
      </c>
      <c r="N477" s="3" t="s">
        <v>109</v>
      </c>
      <c r="O477" s="3" t="s">
        <v>110</v>
      </c>
      <c r="P477" s="4">
        <v>44264.5833333333</v>
      </c>
      <c r="Q477" s="3" t="s">
        <v>77</v>
      </c>
      <c r="R477" s="5">
        <v>44264.0</v>
      </c>
      <c r="S477" s="3" t="s">
        <v>220</v>
      </c>
      <c r="T477" s="3">
        <v>1508159.0</v>
      </c>
      <c r="U477" s="3" t="s">
        <v>6878</v>
      </c>
      <c r="V477" s="3" t="s">
        <v>917</v>
      </c>
      <c r="W477" s="3" t="s">
        <v>100</v>
      </c>
      <c r="X477" s="3"/>
      <c r="Y477" s="3" t="str">
        <f>"02001005656202177"</f>
        <v>02001005656202177</v>
      </c>
      <c r="Z477" s="3" t="s">
        <v>112</v>
      </c>
      <c r="AA477" s="3" t="s">
        <v>6883</v>
      </c>
      <c r="AB477" s="3" t="str">
        <f>"03339753000114"</f>
        <v>03339753000114</v>
      </c>
      <c r="AC477" s="3"/>
      <c r="AD477" s="3"/>
      <c r="AE477" s="3"/>
      <c r="AF477" s="3">
        <v>-53.386389</v>
      </c>
      <c r="AG477" s="3">
        <v>-3.625556</v>
      </c>
      <c r="AH477" s="3" t="s">
        <v>6884</v>
      </c>
      <c r="AI477" s="3"/>
      <c r="AJ477" s="3" t="s">
        <v>120</v>
      </c>
      <c r="AK477" s="3"/>
      <c r="AL477" s="3" t="s">
        <v>128</v>
      </c>
      <c r="AM477" s="3" t="s">
        <v>65</v>
      </c>
      <c r="AN477" s="3" t="s">
        <v>6041</v>
      </c>
      <c r="AO477" s="4">
        <v>44273.0</v>
      </c>
      <c r="AP477" s="4">
        <v>44273.8842939815</v>
      </c>
      <c r="AQ477" s="3" t="s">
        <v>132</v>
      </c>
      <c r="AR477" s="3" t="s">
        <v>133</v>
      </c>
      <c r="AS477" s="3"/>
      <c r="AT477" s="4">
        <v>44281.0337152778</v>
      </c>
    </row>
    <row r="478" ht="15.75" customHeight="1">
      <c r="A478" s="3"/>
      <c r="B478" s="3" t="s">
        <v>46</v>
      </c>
      <c r="C478" s="3" t="s">
        <v>47</v>
      </c>
      <c r="D478" s="3"/>
      <c r="E478" s="3" t="s">
        <v>6907</v>
      </c>
      <c r="F478" s="3"/>
      <c r="G478" s="3" t="s">
        <v>49</v>
      </c>
      <c r="H478" s="3" t="s">
        <v>72</v>
      </c>
      <c r="I478" s="3">
        <v>90000.0</v>
      </c>
      <c r="J478" s="3"/>
      <c r="K478" s="3"/>
      <c r="L478" s="3"/>
      <c r="M478" s="3" t="s">
        <v>6908</v>
      </c>
      <c r="N478" s="3" t="s">
        <v>109</v>
      </c>
      <c r="O478" s="3" t="s">
        <v>110</v>
      </c>
      <c r="P478" s="4">
        <v>44264.5811458333</v>
      </c>
      <c r="Q478" s="3" t="s">
        <v>77</v>
      </c>
      <c r="R478" s="3"/>
      <c r="S478" s="3" t="s">
        <v>220</v>
      </c>
      <c r="T478" s="3">
        <v>1505031.0</v>
      </c>
      <c r="U478" s="3" t="s">
        <v>5077</v>
      </c>
      <c r="V478" s="3" t="s">
        <v>917</v>
      </c>
      <c r="W478" s="3" t="s">
        <v>100</v>
      </c>
      <c r="X478" s="3"/>
      <c r="Y478" s="3"/>
      <c r="Z478" s="3" t="s">
        <v>112</v>
      </c>
      <c r="AA478" s="3" t="s">
        <v>6887</v>
      </c>
      <c r="AB478" s="3" t="str">
        <f>"***720642**"</f>
        <v>***720642**</v>
      </c>
      <c r="AC478" s="3"/>
      <c r="AD478" s="3" t="s">
        <v>325</v>
      </c>
      <c r="AE478" s="3"/>
      <c r="AF478" s="3">
        <v>-55.571583</v>
      </c>
      <c r="AG478" s="3">
        <v>-7.252506</v>
      </c>
      <c r="AH478" s="3" t="s">
        <v>6888</v>
      </c>
      <c r="AI478" s="3"/>
      <c r="AJ478" s="3" t="s">
        <v>120</v>
      </c>
      <c r="AK478" s="3"/>
      <c r="AL478" s="3"/>
      <c r="AM478" s="3" t="s">
        <v>65</v>
      </c>
      <c r="AN478" s="3" t="s">
        <v>6870</v>
      </c>
      <c r="AO478" s="3"/>
      <c r="AP478" s="4">
        <v>44275.4102430555</v>
      </c>
      <c r="AQ478" s="3"/>
      <c r="AR478" s="3" t="s">
        <v>5165</v>
      </c>
      <c r="AS478" s="3"/>
      <c r="AT478" s="4">
        <v>44281.0337152778</v>
      </c>
    </row>
    <row r="479" ht="15.75" customHeight="1">
      <c r="A479" s="3">
        <v>2044468.0</v>
      </c>
      <c r="B479" s="3" t="s">
        <v>116</v>
      </c>
      <c r="C479" s="3" t="s">
        <v>117</v>
      </c>
      <c r="D479" s="3" t="s">
        <v>46</v>
      </c>
      <c r="E479" s="3" t="s">
        <v>6909</v>
      </c>
      <c r="F479" s="3"/>
      <c r="G479" s="3" t="s">
        <v>119</v>
      </c>
      <c r="H479" s="3" t="s">
        <v>72</v>
      </c>
      <c r="I479" s="3">
        <v>1250000.0</v>
      </c>
      <c r="J479" s="3"/>
      <c r="K479" s="3"/>
      <c r="L479" s="3" t="s">
        <v>327</v>
      </c>
      <c r="M479" s="3" t="s">
        <v>6910</v>
      </c>
      <c r="N479" s="3" t="s">
        <v>109</v>
      </c>
      <c r="O479" s="3" t="s">
        <v>110</v>
      </c>
      <c r="P479" s="4">
        <v>44264.5416666667</v>
      </c>
      <c r="Q479" s="3" t="s">
        <v>56</v>
      </c>
      <c r="R479" s="3"/>
      <c r="S479" s="3" t="s">
        <v>220</v>
      </c>
      <c r="T479" s="3">
        <v>5106158.0</v>
      </c>
      <c r="U479" s="3" t="s">
        <v>1686</v>
      </c>
      <c r="V479" s="3" t="s">
        <v>323</v>
      </c>
      <c r="W479" s="3" t="s">
        <v>100</v>
      </c>
      <c r="X479" s="3"/>
      <c r="Y479" s="3" t="str">
        <f>"02013000587202176"</f>
        <v>02013000587202176</v>
      </c>
      <c r="Z479" s="3" t="s">
        <v>112</v>
      </c>
      <c r="AA479" s="3" t="s">
        <v>6911</v>
      </c>
      <c r="AB479" s="3" t="str">
        <f>"30657382000191"</f>
        <v>30657382000191</v>
      </c>
      <c r="AC479" s="3"/>
      <c r="AD479" s="3"/>
      <c r="AE479" s="3"/>
      <c r="AF479" s="3">
        <v>-58.025556</v>
      </c>
      <c r="AG479" s="3">
        <v>-9.453056</v>
      </c>
      <c r="AH479" s="3" t="s">
        <v>6912</v>
      </c>
      <c r="AI479" s="3"/>
      <c r="AJ479" s="3" t="s">
        <v>327</v>
      </c>
      <c r="AK479" s="3"/>
      <c r="AL479" s="3" t="s">
        <v>128</v>
      </c>
      <c r="AM479" s="3" t="s">
        <v>65</v>
      </c>
      <c r="AN479" s="3" t="s">
        <v>274</v>
      </c>
      <c r="AO479" s="4">
        <v>44271.0</v>
      </c>
      <c r="AP479" s="4">
        <v>44271.7859490741</v>
      </c>
      <c r="AQ479" s="3" t="s">
        <v>132</v>
      </c>
      <c r="AR479" s="3" t="s">
        <v>6913</v>
      </c>
      <c r="AS479" s="3"/>
      <c r="AT479" s="4">
        <v>44281.0337152778</v>
      </c>
    </row>
    <row r="480" ht="15.75" customHeight="1">
      <c r="A480" s="3">
        <v>2044284.0</v>
      </c>
      <c r="B480" s="3" t="s">
        <v>116</v>
      </c>
      <c r="C480" s="3" t="s">
        <v>117</v>
      </c>
      <c r="D480" s="3" t="s">
        <v>46</v>
      </c>
      <c r="E480" s="3" t="s">
        <v>6914</v>
      </c>
      <c r="F480" s="3"/>
      <c r="G480" s="3" t="s">
        <v>119</v>
      </c>
      <c r="H480" s="3" t="s">
        <v>72</v>
      </c>
      <c r="I480" s="3">
        <v>4158.0</v>
      </c>
      <c r="J480" s="3"/>
      <c r="K480" s="3"/>
      <c r="L480" s="3" t="s">
        <v>175</v>
      </c>
      <c r="M480" s="3" t="s">
        <v>6915</v>
      </c>
      <c r="N480" s="3" t="s">
        <v>109</v>
      </c>
      <c r="O480" s="3" t="s">
        <v>110</v>
      </c>
      <c r="P480" s="4">
        <v>44264.5</v>
      </c>
      <c r="Q480" s="3" t="s">
        <v>77</v>
      </c>
      <c r="R480" s="5">
        <v>44264.0</v>
      </c>
      <c r="S480" s="3" t="s">
        <v>220</v>
      </c>
      <c r="T480" s="3">
        <v>5204102.0</v>
      </c>
      <c r="U480" s="3" t="s">
        <v>3456</v>
      </c>
      <c r="V480" s="3" t="s">
        <v>171</v>
      </c>
      <c r="W480" s="3" t="s">
        <v>291</v>
      </c>
      <c r="X480" s="3"/>
      <c r="Y480" s="3" t="str">
        <f>"02010000396202134"</f>
        <v>02010000396202134</v>
      </c>
      <c r="Z480" s="3" t="s">
        <v>112</v>
      </c>
      <c r="AA480" s="3" t="s">
        <v>6916</v>
      </c>
      <c r="AB480" s="3" t="str">
        <f>"***714038**"</f>
        <v>***714038**</v>
      </c>
      <c r="AC480" s="3"/>
      <c r="AD480" s="3"/>
      <c r="AE480" s="3"/>
      <c r="AF480" s="3">
        <v>-47.933056</v>
      </c>
      <c r="AG480" s="3">
        <v>-15.83</v>
      </c>
      <c r="AH480" s="3" t="s">
        <v>6917</v>
      </c>
      <c r="AI480" s="3"/>
      <c r="AJ480" s="3" t="s">
        <v>175</v>
      </c>
      <c r="AK480" s="3"/>
      <c r="AL480" s="3" t="s">
        <v>128</v>
      </c>
      <c r="AM480" s="3" t="s">
        <v>65</v>
      </c>
      <c r="AN480" s="3" t="s">
        <v>83</v>
      </c>
      <c r="AO480" s="4">
        <v>44267.0</v>
      </c>
      <c r="AP480" s="4">
        <v>44267.4063773148</v>
      </c>
      <c r="AQ480" s="3" t="s">
        <v>132</v>
      </c>
      <c r="AR480" s="3" t="s">
        <v>470</v>
      </c>
      <c r="AS480" s="3"/>
      <c r="AT480" s="4">
        <v>44281.0337152778</v>
      </c>
    </row>
    <row r="481" ht="15.75" customHeight="1">
      <c r="A481" s="3">
        <v>2044467.0</v>
      </c>
      <c r="B481" s="3" t="s">
        <v>116</v>
      </c>
      <c r="C481" s="3" t="s">
        <v>117</v>
      </c>
      <c r="D481" s="3" t="s">
        <v>46</v>
      </c>
      <c r="E481" s="3" t="s">
        <v>6918</v>
      </c>
      <c r="F481" s="3"/>
      <c r="G481" s="3" t="s">
        <v>119</v>
      </c>
      <c r="H481" s="3" t="s">
        <v>50</v>
      </c>
      <c r="I481" s="3">
        <v>160000.0</v>
      </c>
      <c r="J481" s="3"/>
      <c r="K481" s="3"/>
      <c r="L481" s="3" t="s">
        <v>327</v>
      </c>
      <c r="M481" s="3" t="s">
        <v>6919</v>
      </c>
      <c r="N481" s="3" t="s">
        <v>186</v>
      </c>
      <c r="O481" s="3" t="s">
        <v>95</v>
      </c>
      <c r="P481" s="4">
        <v>44264.5</v>
      </c>
      <c r="Q481" s="3" t="s">
        <v>56</v>
      </c>
      <c r="R481" s="3"/>
      <c r="S481" s="3" t="s">
        <v>220</v>
      </c>
      <c r="T481" s="3">
        <v>5106158.0</v>
      </c>
      <c r="U481" s="3" t="s">
        <v>1686</v>
      </c>
      <c r="V481" s="3" t="s">
        <v>323</v>
      </c>
      <c r="W481" s="3" t="s">
        <v>100</v>
      </c>
      <c r="X481" s="3"/>
      <c r="Y481" s="3" t="str">
        <f>"02013000586202121"</f>
        <v>02013000586202121</v>
      </c>
      <c r="Z481" s="3" t="s">
        <v>101</v>
      </c>
      <c r="AA481" s="3" t="s">
        <v>6920</v>
      </c>
      <c r="AB481" s="3" t="str">
        <f>"***954568**"</f>
        <v>***954568**</v>
      </c>
      <c r="AC481" s="3"/>
      <c r="AD481" s="3"/>
      <c r="AE481" s="3"/>
      <c r="AF481" s="3">
        <v>-58.025556</v>
      </c>
      <c r="AG481" s="3">
        <v>-9.453056</v>
      </c>
      <c r="AH481" s="3" t="s">
        <v>1718</v>
      </c>
      <c r="AI481" s="3"/>
      <c r="AJ481" s="3" t="s">
        <v>327</v>
      </c>
      <c r="AK481" s="3"/>
      <c r="AL481" s="3" t="s">
        <v>128</v>
      </c>
      <c r="AM481" s="3" t="s">
        <v>65</v>
      </c>
      <c r="AN481" s="3" t="s">
        <v>274</v>
      </c>
      <c r="AO481" s="4">
        <v>44271.0</v>
      </c>
      <c r="AP481" s="4">
        <v>44271.7822453704</v>
      </c>
      <c r="AQ481" s="3" t="s">
        <v>132</v>
      </c>
      <c r="AR481" s="3" t="s">
        <v>494</v>
      </c>
      <c r="AS481" s="3"/>
      <c r="AT481" s="4">
        <v>44281.0337152778</v>
      </c>
    </row>
    <row r="482" ht="15.75" customHeight="1">
      <c r="A482" s="3"/>
      <c r="B482" s="3" t="s">
        <v>46</v>
      </c>
      <c r="C482" s="3" t="s">
        <v>47</v>
      </c>
      <c r="D482" s="3"/>
      <c r="E482" s="3" t="s">
        <v>6921</v>
      </c>
      <c r="F482" s="3"/>
      <c r="G482" s="3" t="s">
        <v>49</v>
      </c>
      <c r="H482" s="3" t="s">
        <v>50</v>
      </c>
      <c r="I482" s="3">
        <v>700.0</v>
      </c>
      <c r="J482" s="3"/>
      <c r="K482" s="3" t="s">
        <v>92</v>
      </c>
      <c r="L482" s="3"/>
      <c r="M482" s="3" t="s">
        <v>6922</v>
      </c>
      <c r="N482" s="3" t="s">
        <v>74</v>
      </c>
      <c r="O482" s="3" t="s">
        <v>75</v>
      </c>
      <c r="P482" s="4">
        <v>44264.4751736111</v>
      </c>
      <c r="Q482" s="3" t="s">
        <v>77</v>
      </c>
      <c r="R482" s="3"/>
      <c r="S482" s="3" t="s">
        <v>784</v>
      </c>
      <c r="T482" s="3">
        <v>4212502.0</v>
      </c>
      <c r="U482" s="3" t="s">
        <v>6923</v>
      </c>
      <c r="V482" s="3" t="s">
        <v>222</v>
      </c>
      <c r="W482" s="3" t="s">
        <v>60</v>
      </c>
      <c r="X482" s="3"/>
      <c r="Y482" s="3"/>
      <c r="Z482" s="3" t="s">
        <v>79</v>
      </c>
      <c r="AA482" s="3" t="s">
        <v>6924</v>
      </c>
      <c r="AB482" s="3" t="str">
        <f>"***915439**"</f>
        <v>***915439**</v>
      </c>
      <c r="AC482" s="3"/>
      <c r="AD482" s="3" t="s">
        <v>81</v>
      </c>
      <c r="AE482" s="3"/>
      <c r="AF482" s="3">
        <v>-48.563333</v>
      </c>
      <c r="AG482" s="3">
        <v>-26.790556</v>
      </c>
      <c r="AH482" s="3" t="s">
        <v>6925</v>
      </c>
      <c r="AI482" s="3"/>
      <c r="AJ482" s="3" t="s">
        <v>226</v>
      </c>
      <c r="AK482" s="3"/>
      <c r="AL482" s="3"/>
      <c r="AM482" s="3" t="s">
        <v>65</v>
      </c>
      <c r="AN482" s="3" t="s">
        <v>227</v>
      </c>
      <c r="AO482" s="3"/>
      <c r="AP482" s="4">
        <v>44264.4821180556</v>
      </c>
      <c r="AQ482" s="3"/>
      <c r="AR482" s="3" t="s">
        <v>1675</v>
      </c>
      <c r="AS482" s="3" t="s">
        <v>6926</v>
      </c>
      <c r="AT482" s="4">
        <v>44281.0337152778</v>
      </c>
    </row>
    <row r="483" ht="15.75" customHeight="1">
      <c r="A483" s="3"/>
      <c r="B483" s="3" t="s">
        <v>46</v>
      </c>
      <c r="C483" s="3" t="s">
        <v>47</v>
      </c>
      <c r="D483" s="3"/>
      <c r="E483" s="3" t="s">
        <v>6927</v>
      </c>
      <c r="F483" s="3"/>
      <c r="G483" s="3" t="s">
        <v>49</v>
      </c>
      <c r="H483" s="3" t="s">
        <v>50</v>
      </c>
      <c r="I483" s="3">
        <v>1000.0</v>
      </c>
      <c r="J483" s="3"/>
      <c r="K483" s="3" t="s">
        <v>51</v>
      </c>
      <c r="L483" s="3"/>
      <c r="M483" s="3" t="s">
        <v>6928</v>
      </c>
      <c r="N483" s="3" t="s">
        <v>381</v>
      </c>
      <c r="O483" s="3" t="s">
        <v>382</v>
      </c>
      <c r="P483" s="4">
        <v>44264.4614351852</v>
      </c>
      <c r="Q483" s="3" t="s">
        <v>56</v>
      </c>
      <c r="R483" s="3"/>
      <c r="S483" s="3" t="s">
        <v>288</v>
      </c>
      <c r="T483" s="3">
        <v>2207900.0</v>
      </c>
      <c r="U483" s="3" t="s">
        <v>6929</v>
      </c>
      <c r="V483" s="3" t="s">
        <v>290</v>
      </c>
      <c r="W483" s="3" t="s">
        <v>172</v>
      </c>
      <c r="X483" s="3"/>
      <c r="Y483" s="3"/>
      <c r="Z483" s="3" t="s">
        <v>384</v>
      </c>
      <c r="AA483" s="3" t="s">
        <v>6930</v>
      </c>
      <c r="AB483" s="3" t="str">
        <f>"0917214300055"</f>
        <v>0917214300055</v>
      </c>
      <c r="AC483" s="3"/>
      <c r="AD483" s="3" t="s">
        <v>62</v>
      </c>
      <c r="AE483" s="3"/>
      <c r="AF483" s="3">
        <v>-42.751389</v>
      </c>
      <c r="AG483" s="3">
        <v>-5.094444</v>
      </c>
      <c r="AH483" s="3" t="s">
        <v>6931</v>
      </c>
      <c r="AI483" s="3"/>
      <c r="AJ483" s="3" t="s">
        <v>295</v>
      </c>
      <c r="AK483" s="3"/>
      <c r="AL483" s="3"/>
      <c r="AM483" s="3" t="s">
        <v>65</v>
      </c>
      <c r="AN483" s="3" t="s">
        <v>296</v>
      </c>
      <c r="AO483" s="3"/>
      <c r="AP483" s="4">
        <v>44264.4770833333</v>
      </c>
      <c r="AQ483" s="3"/>
      <c r="AR483" s="3" t="s">
        <v>298</v>
      </c>
      <c r="AS483" s="3"/>
      <c r="AT483" s="4">
        <v>44281.0337152778</v>
      </c>
    </row>
    <row r="484" ht="15.75" customHeight="1">
      <c r="A484" s="3">
        <v>2044221.0</v>
      </c>
      <c r="B484" s="3" t="s">
        <v>116</v>
      </c>
      <c r="C484" s="3" t="s">
        <v>117</v>
      </c>
      <c r="D484" s="3" t="s">
        <v>46</v>
      </c>
      <c r="E484" s="3" t="s">
        <v>6932</v>
      </c>
      <c r="F484" s="3"/>
      <c r="G484" s="3" t="s">
        <v>119</v>
      </c>
      <c r="H484" s="3" t="s">
        <v>72</v>
      </c>
      <c r="I484" s="3">
        <v>483000.0</v>
      </c>
      <c r="J484" s="3"/>
      <c r="K484" s="3"/>
      <c r="L484" s="3" t="s">
        <v>273</v>
      </c>
      <c r="M484" s="3" t="s">
        <v>6933</v>
      </c>
      <c r="N484" s="3" t="s">
        <v>109</v>
      </c>
      <c r="O484" s="3" t="s">
        <v>110</v>
      </c>
      <c r="P484" s="4">
        <v>44264.4583333333</v>
      </c>
      <c r="Q484" s="3" t="s">
        <v>56</v>
      </c>
      <c r="R484" s="3"/>
      <c r="S484" s="3" t="s">
        <v>268</v>
      </c>
      <c r="T484" s="3">
        <v>4127965.0</v>
      </c>
      <c r="U484" s="3" t="s">
        <v>344</v>
      </c>
      <c r="V484" s="3" t="s">
        <v>270</v>
      </c>
      <c r="W484" s="3" t="s">
        <v>78</v>
      </c>
      <c r="X484" s="3"/>
      <c r="Y484" s="3" t="str">
        <f>"02017000507202142"</f>
        <v>02017000507202142</v>
      </c>
      <c r="Z484" s="3" t="s">
        <v>112</v>
      </c>
      <c r="AA484" s="3" t="s">
        <v>6934</v>
      </c>
      <c r="AB484" s="3" t="str">
        <f>"***439029**"</f>
        <v>***439029**</v>
      </c>
      <c r="AC484" s="3"/>
      <c r="AD484" s="3"/>
      <c r="AE484" s="3"/>
      <c r="AF484" s="3">
        <v>-51.569444</v>
      </c>
      <c r="AG484" s="3">
        <v>-25.053889</v>
      </c>
      <c r="AH484" s="3" t="s">
        <v>6900</v>
      </c>
      <c r="AI484" s="3"/>
      <c r="AJ484" s="3" t="s">
        <v>273</v>
      </c>
      <c r="AK484" s="3"/>
      <c r="AL484" s="3" t="s">
        <v>128</v>
      </c>
      <c r="AM484" s="3" t="s">
        <v>65</v>
      </c>
      <c r="AN484" s="3" t="s">
        <v>347</v>
      </c>
      <c r="AO484" s="4">
        <v>44265.0</v>
      </c>
      <c r="AP484" s="4">
        <v>44265.5613425926</v>
      </c>
      <c r="AQ484" s="3" t="s">
        <v>132</v>
      </c>
      <c r="AR484" s="3" t="s">
        <v>2146</v>
      </c>
      <c r="AS484" s="3" t="s">
        <v>6935</v>
      </c>
      <c r="AT484" s="4">
        <v>44281.0337152778</v>
      </c>
    </row>
    <row r="485" ht="15.75" customHeight="1">
      <c r="A485" s="3">
        <v>2044410.0</v>
      </c>
      <c r="B485" s="3" t="s">
        <v>116</v>
      </c>
      <c r="C485" s="3" t="s">
        <v>117</v>
      </c>
      <c r="D485" s="3" t="s">
        <v>46</v>
      </c>
      <c r="E485" s="3" t="s">
        <v>6936</v>
      </c>
      <c r="F485" s="3"/>
      <c r="G485" s="3" t="s">
        <v>119</v>
      </c>
      <c r="H485" s="3" t="s">
        <v>72</v>
      </c>
      <c r="I485" s="3">
        <v>15600.0</v>
      </c>
      <c r="J485" s="3"/>
      <c r="K485" s="3"/>
      <c r="L485" s="3" t="s">
        <v>273</v>
      </c>
      <c r="M485" s="3" t="s">
        <v>6937</v>
      </c>
      <c r="N485" s="3" t="s">
        <v>109</v>
      </c>
      <c r="O485" s="3" t="s">
        <v>110</v>
      </c>
      <c r="P485" s="4">
        <v>44264.4583333333</v>
      </c>
      <c r="Q485" s="3" t="s">
        <v>56</v>
      </c>
      <c r="R485" s="5">
        <v>44270.0</v>
      </c>
      <c r="S485" s="3" t="s">
        <v>268</v>
      </c>
      <c r="T485" s="3">
        <v>4115200.0</v>
      </c>
      <c r="U485" s="3" t="s">
        <v>6938</v>
      </c>
      <c r="V485" s="3" t="s">
        <v>270</v>
      </c>
      <c r="W485" s="3" t="s">
        <v>100</v>
      </c>
      <c r="X485" s="3"/>
      <c r="Y485" s="3" t="str">
        <f>"02017000551202152"</f>
        <v>02017000551202152</v>
      </c>
      <c r="Z485" s="3" t="s">
        <v>112</v>
      </c>
      <c r="AA485" s="3" t="s">
        <v>6939</v>
      </c>
      <c r="AB485" s="3" t="str">
        <f>"02657688000102"</f>
        <v>02657688000102</v>
      </c>
      <c r="AC485" s="3"/>
      <c r="AD485" s="3"/>
      <c r="AE485" s="3"/>
      <c r="AF485" s="3">
        <v>-51.156667</v>
      </c>
      <c r="AG485" s="3">
        <v>-23.311667</v>
      </c>
      <c r="AH485" s="3" t="s">
        <v>6940</v>
      </c>
      <c r="AI485" s="3"/>
      <c r="AJ485" s="3" t="s">
        <v>273</v>
      </c>
      <c r="AK485" s="3"/>
      <c r="AL485" s="3" t="s">
        <v>128</v>
      </c>
      <c r="AM485" s="3" t="s">
        <v>65</v>
      </c>
      <c r="AN485" s="3" t="s">
        <v>274</v>
      </c>
      <c r="AO485" s="4">
        <v>44271.0</v>
      </c>
      <c r="AP485" s="4">
        <v>44271.4647800926</v>
      </c>
      <c r="AQ485" s="3" t="s">
        <v>132</v>
      </c>
      <c r="AR485" s="3" t="s">
        <v>133</v>
      </c>
      <c r="AS485" s="3"/>
      <c r="AT485" s="4">
        <v>44281.0337152778</v>
      </c>
    </row>
    <row r="486" ht="15.75" customHeight="1">
      <c r="A486" s="3"/>
      <c r="B486" s="3" t="s">
        <v>46</v>
      </c>
      <c r="C486" s="3" t="s">
        <v>47</v>
      </c>
      <c r="D486" s="3"/>
      <c r="E486" s="3" t="s">
        <v>6941</v>
      </c>
      <c r="F486" s="3"/>
      <c r="G486" s="3" t="s">
        <v>49</v>
      </c>
      <c r="H486" s="3" t="s">
        <v>50</v>
      </c>
      <c r="I486" s="3">
        <v>700.0</v>
      </c>
      <c r="J486" s="3"/>
      <c r="K486" s="3" t="s">
        <v>92</v>
      </c>
      <c r="L486" s="3"/>
      <c r="M486" s="3" t="s">
        <v>6942</v>
      </c>
      <c r="N486" s="3" t="s">
        <v>74</v>
      </c>
      <c r="O486" s="3" t="s">
        <v>75</v>
      </c>
      <c r="P486" s="4">
        <v>44264.4452893518</v>
      </c>
      <c r="Q486" s="3" t="s">
        <v>77</v>
      </c>
      <c r="R486" s="3"/>
      <c r="S486" s="3" t="s">
        <v>784</v>
      </c>
      <c r="T486" s="3">
        <v>4212502.0</v>
      </c>
      <c r="U486" s="3" t="s">
        <v>6923</v>
      </c>
      <c r="V486" s="3" t="s">
        <v>222</v>
      </c>
      <c r="W486" s="3" t="s">
        <v>60</v>
      </c>
      <c r="X486" s="3"/>
      <c r="Y486" s="3"/>
      <c r="Z486" s="3" t="s">
        <v>79</v>
      </c>
      <c r="AA486" s="3" t="s">
        <v>6924</v>
      </c>
      <c r="AB486" s="3" t="str">
        <f>"***915439**"</f>
        <v>***915439**</v>
      </c>
      <c r="AC486" s="3"/>
      <c r="AD486" s="3" t="s">
        <v>62</v>
      </c>
      <c r="AE486" s="3"/>
      <c r="AF486" s="3">
        <v>-48.563333</v>
      </c>
      <c r="AG486" s="3">
        <v>-26.790556</v>
      </c>
      <c r="AH486" s="3" t="s">
        <v>6925</v>
      </c>
      <c r="AI486" s="3"/>
      <c r="AJ486" s="3" t="s">
        <v>226</v>
      </c>
      <c r="AK486" s="3"/>
      <c r="AL486" s="3"/>
      <c r="AM486" s="3" t="s">
        <v>65</v>
      </c>
      <c r="AN486" s="3" t="s">
        <v>227</v>
      </c>
      <c r="AO486" s="3"/>
      <c r="AP486" s="4">
        <v>44264.4584490741</v>
      </c>
      <c r="AQ486" s="3"/>
      <c r="AR486" s="3" t="s">
        <v>5116</v>
      </c>
      <c r="AS486" s="3"/>
      <c r="AT486" s="4">
        <v>44281.0337152778</v>
      </c>
    </row>
    <row r="487" ht="15.75" customHeight="1">
      <c r="A487" s="3"/>
      <c r="B487" s="3" t="s">
        <v>46</v>
      </c>
      <c r="C487" s="3" t="s">
        <v>47</v>
      </c>
      <c r="D487" s="3"/>
      <c r="E487" s="3" t="s">
        <v>6943</v>
      </c>
      <c r="F487" s="3"/>
      <c r="G487" s="3" t="s">
        <v>49</v>
      </c>
      <c r="H487" s="3" t="s">
        <v>72</v>
      </c>
      <c r="I487" s="3">
        <v>15000.0</v>
      </c>
      <c r="J487" s="3"/>
      <c r="K487" s="3"/>
      <c r="L487" s="3"/>
      <c r="M487" s="3" t="s">
        <v>6944</v>
      </c>
      <c r="N487" s="3" t="s">
        <v>381</v>
      </c>
      <c r="O487" s="3" t="s">
        <v>382</v>
      </c>
      <c r="P487" s="4">
        <v>44264.4352546296</v>
      </c>
      <c r="Q487" s="3" t="s">
        <v>56</v>
      </c>
      <c r="R487" s="5">
        <v>44264.0</v>
      </c>
      <c r="S487" s="3" t="s">
        <v>915</v>
      </c>
      <c r="T487" s="3">
        <v>1505031.0</v>
      </c>
      <c r="U487" s="3" t="s">
        <v>5077</v>
      </c>
      <c r="V487" s="3" t="s">
        <v>917</v>
      </c>
      <c r="W487" s="3" t="s">
        <v>100</v>
      </c>
      <c r="X487" s="3"/>
      <c r="Y487" s="3"/>
      <c r="Z487" s="3" t="s">
        <v>384</v>
      </c>
      <c r="AA487" s="3" t="s">
        <v>6945</v>
      </c>
      <c r="AB487" s="3" t="str">
        <f>"***577161**"</f>
        <v>***577161**</v>
      </c>
      <c r="AC487" s="3"/>
      <c r="AD487" s="3" t="s">
        <v>62</v>
      </c>
      <c r="AE487" s="3"/>
      <c r="AF487" s="3">
        <v>-55.265</v>
      </c>
      <c r="AG487" s="3">
        <v>-7.513528</v>
      </c>
      <c r="AH487" s="3" t="s">
        <v>6946</v>
      </c>
      <c r="AI487" s="3"/>
      <c r="AJ487" s="3" t="s">
        <v>120</v>
      </c>
      <c r="AK487" s="3"/>
      <c r="AL487" s="3"/>
      <c r="AM487" s="3" t="s">
        <v>65</v>
      </c>
      <c r="AN487" s="3" t="s">
        <v>6870</v>
      </c>
      <c r="AO487" s="3"/>
      <c r="AP487" s="4">
        <v>44264.4501736111</v>
      </c>
      <c r="AQ487" s="3"/>
      <c r="AR487" s="3" t="s">
        <v>6947</v>
      </c>
      <c r="AS487" s="3"/>
      <c r="AT487" s="4">
        <v>44281.0337152778</v>
      </c>
    </row>
    <row r="488" ht="15.75" customHeight="1">
      <c r="A488" s="3"/>
      <c r="B488" s="3" t="s">
        <v>46</v>
      </c>
      <c r="C488" s="3" t="s">
        <v>47</v>
      </c>
      <c r="D488" s="3"/>
      <c r="E488" s="3" t="s">
        <v>6948</v>
      </c>
      <c r="F488" s="3"/>
      <c r="G488" s="3" t="s">
        <v>49</v>
      </c>
      <c r="H488" s="3" t="s">
        <v>72</v>
      </c>
      <c r="I488" s="3">
        <v>17730.0</v>
      </c>
      <c r="J488" s="3"/>
      <c r="K488" s="3"/>
      <c r="L488" s="3"/>
      <c r="M488" s="3" t="s">
        <v>6949</v>
      </c>
      <c r="N488" s="3" t="s">
        <v>109</v>
      </c>
      <c r="O488" s="3" t="s">
        <v>110</v>
      </c>
      <c r="P488" s="4">
        <v>44264.4206134259</v>
      </c>
      <c r="Q488" s="3" t="s">
        <v>77</v>
      </c>
      <c r="R488" s="3"/>
      <c r="S488" s="3" t="s">
        <v>1349</v>
      </c>
      <c r="T488" s="3">
        <v>1501402.0</v>
      </c>
      <c r="U488" s="3" t="s">
        <v>3880</v>
      </c>
      <c r="V488" s="3" t="s">
        <v>917</v>
      </c>
      <c r="W488" s="3" t="s">
        <v>100</v>
      </c>
      <c r="X488" s="3"/>
      <c r="Y488" s="3"/>
      <c r="Z488" s="3" t="s">
        <v>112</v>
      </c>
      <c r="AA488" s="3" t="s">
        <v>6950</v>
      </c>
      <c r="AB488" s="3" t="str">
        <f>"35825795000151"</f>
        <v>35825795000151</v>
      </c>
      <c r="AC488" s="3"/>
      <c r="AD488" s="3" t="s">
        <v>62</v>
      </c>
      <c r="AE488" s="3"/>
      <c r="AF488" s="3">
        <v>-48.466944</v>
      </c>
      <c r="AG488" s="3">
        <v>-1.640278</v>
      </c>
      <c r="AH488" s="3" t="s">
        <v>6951</v>
      </c>
      <c r="AI488" s="3"/>
      <c r="AJ488" s="3" t="s">
        <v>1346</v>
      </c>
      <c r="AK488" s="3"/>
      <c r="AL488" s="3"/>
      <c r="AM488" s="3" t="s">
        <v>65</v>
      </c>
      <c r="AN488" s="3" t="s">
        <v>83</v>
      </c>
      <c r="AO488" s="3"/>
      <c r="AP488" s="4">
        <v>44264.4835185185</v>
      </c>
      <c r="AQ488" s="3"/>
      <c r="AR488" s="3" t="s">
        <v>177</v>
      </c>
      <c r="AS488" s="3"/>
      <c r="AT488" s="4">
        <v>44281.0337152778</v>
      </c>
    </row>
    <row r="489" ht="15.75" customHeight="1">
      <c r="A489" s="3">
        <v>2044160.0</v>
      </c>
      <c r="B489" s="3" t="s">
        <v>116</v>
      </c>
      <c r="C489" s="3" t="s">
        <v>117</v>
      </c>
      <c r="D489" s="3" t="s">
        <v>46</v>
      </c>
      <c r="E489" s="3" t="s">
        <v>6952</v>
      </c>
      <c r="F489" s="3"/>
      <c r="G489" s="3" t="s">
        <v>119</v>
      </c>
      <c r="H489" s="3" t="s">
        <v>50</v>
      </c>
      <c r="I489" s="3">
        <v>500.0</v>
      </c>
      <c r="J489" s="3"/>
      <c r="K489" s="3"/>
      <c r="L489" s="3" t="s">
        <v>371</v>
      </c>
      <c r="M489" s="3" t="s">
        <v>6953</v>
      </c>
      <c r="N489" s="3" t="s">
        <v>257</v>
      </c>
      <c r="O489" s="3" t="s">
        <v>258</v>
      </c>
      <c r="P489" s="4">
        <v>44264.4166666667</v>
      </c>
      <c r="Q489" s="3" t="s">
        <v>56</v>
      </c>
      <c r="R489" s="5">
        <v>44264.0</v>
      </c>
      <c r="S489" s="3" t="s">
        <v>220</v>
      </c>
      <c r="T489" s="3">
        <v>3549805.0</v>
      </c>
      <c r="U489" s="3" t="s">
        <v>368</v>
      </c>
      <c r="V489" s="3" t="s">
        <v>139</v>
      </c>
      <c r="W489" s="3" t="s">
        <v>78</v>
      </c>
      <c r="X489" s="3"/>
      <c r="Y489" s="3"/>
      <c r="Z489" s="3" t="s">
        <v>260</v>
      </c>
      <c r="AA489" s="3" t="s">
        <v>6954</v>
      </c>
      <c r="AB489" s="3" t="str">
        <f>"***409668**"</f>
        <v>***409668**</v>
      </c>
      <c r="AC489" s="3"/>
      <c r="AD489" s="3"/>
      <c r="AE489" s="3"/>
      <c r="AF489" s="3">
        <v>-49.355556</v>
      </c>
      <c r="AG489" s="3">
        <v>-20.791667</v>
      </c>
      <c r="AH489" s="3" t="s">
        <v>6865</v>
      </c>
      <c r="AI489" s="3"/>
      <c r="AJ489" s="3" t="s">
        <v>371</v>
      </c>
      <c r="AK489" s="3"/>
      <c r="AL489" s="3" t="s">
        <v>128</v>
      </c>
      <c r="AM489" s="3" t="s">
        <v>65</v>
      </c>
      <c r="AN489" s="3"/>
      <c r="AO489" s="4">
        <v>44264.0</v>
      </c>
      <c r="AP489" s="4">
        <v>44264.4850578704</v>
      </c>
      <c r="AQ489" s="3" t="s">
        <v>132</v>
      </c>
      <c r="AR489" s="3" t="s">
        <v>1403</v>
      </c>
      <c r="AS489" s="3" t="s">
        <v>6955</v>
      </c>
      <c r="AT489" s="4">
        <v>44281.0337152778</v>
      </c>
    </row>
    <row r="490" ht="15.75" customHeight="1">
      <c r="A490" s="3"/>
      <c r="B490" s="3" t="s">
        <v>46</v>
      </c>
      <c r="C490" s="3" t="s">
        <v>47</v>
      </c>
      <c r="D490" s="3"/>
      <c r="E490" s="3" t="s">
        <v>6956</v>
      </c>
      <c r="F490" s="3"/>
      <c r="G490" s="3" t="s">
        <v>49</v>
      </c>
      <c r="H490" s="3" t="s">
        <v>50</v>
      </c>
      <c r="I490" s="3">
        <v>20500.0</v>
      </c>
      <c r="J490" s="3"/>
      <c r="K490" s="3"/>
      <c r="L490" s="3"/>
      <c r="M490" s="3" t="s">
        <v>6957</v>
      </c>
      <c r="N490" s="3" t="s">
        <v>381</v>
      </c>
      <c r="O490" s="3" t="s">
        <v>382</v>
      </c>
      <c r="P490" s="4">
        <v>44264.4037268519</v>
      </c>
      <c r="Q490" s="3" t="s">
        <v>56</v>
      </c>
      <c r="R490" s="3"/>
      <c r="S490" s="3" t="s">
        <v>1349</v>
      </c>
      <c r="T490" s="3">
        <v>1507805.0</v>
      </c>
      <c r="U490" s="3" t="s">
        <v>5222</v>
      </c>
      <c r="V490" s="3" t="s">
        <v>917</v>
      </c>
      <c r="W490" s="3" t="s">
        <v>100</v>
      </c>
      <c r="X490" s="3"/>
      <c r="Y490" s="3"/>
      <c r="Z490" s="3" t="s">
        <v>384</v>
      </c>
      <c r="AA490" s="3" t="s">
        <v>6855</v>
      </c>
      <c r="AB490" s="3" t="str">
        <f>"***901982**"</f>
        <v>***901982**</v>
      </c>
      <c r="AC490" s="3"/>
      <c r="AD490" s="3" t="s">
        <v>81</v>
      </c>
      <c r="AE490" s="3"/>
      <c r="AF490" s="3">
        <v>-51.723889</v>
      </c>
      <c r="AG490" s="3">
        <v>-3.397222</v>
      </c>
      <c r="AH490" s="3" t="s">
        <v>6958</v>
      </c>
      <c r="AI490" s="3"/>
      <c r="AJ490" s="3" t="s">
        <v>120</v>
      </c>
      <c r="AK490" s="3"/>
      <c r="AL490" s="3"/>
      <c r="AM490" s="3" t="s">
        <v>65</v>
      </c>
      <c r="AN490" s="3" t="s">
        <v>6041</v>
      </c>
      <c r="AO490" s="3"/>
      <c r="AP490" s="4">
        <v>44264.6533796296</v>
      </c>
      <c r="AQ490" s="3"/>
      <c r="AR490" s="3" t="s">
        <v>387</v>
      </c>
      <c r="AS490" s="3"/>
      <c r="AT490" s="4">
        <v>44281.0337152778</v>
      </c>
    </row>
    <row r="491" ht="15.75" customHeight="1">
      <c r="A491" s="3">
        <v>2044157.0</v>
      </c>
      <c r="B491" s="3" t="s">
        <v>116</v>
      </c>
      <c r="C491" s="3" t="s">
        <v>117</v>
      </c>
      <c r="D491" s="3" t="s">
        <v>46</v>
      </c>
      <c r="E491" s="3" t="s">
        <v>6959</v>
      </c>
      <c r="F491" s="3"/>
      <c r="G491" s="3" t="s">
        <v>119</v>
      </c>
      <c r="H491" s="3" t="s">
        <v>50</v>
      </c>
      <c r="I491" s="3">
        <v>4100.0</v>
      </c>
      <c r="J491" s="3"/>
      <c r="K491" s="3"/>
      <c r="L491" s="3" t="s">
        <v>371</v>
      </c>
      <c r="M491" s="3" t="s">
        <v>6960</v>
      </c>
      <c r="N491" s="3" t="s">
        <v>53</v>
      </c>
      <c r="O491" s="3" t="s">
        <v>333</v>
      </c>
      <c r="P491" s="4">
        <v>44264.375</v>
      </c>
      <c r="Q491" s="3" t="s">
        <v>56</v>
      </c>
      <c r="R491" s="3"/>
      <c r="S491" s="3" t="s">
        <v>280</v>
      </c>
      <c r="T491" s="3">
        <v>3549805.0</v>
      </c>
      <c r="U491" s="3" t="s">
        <v>368</v>
      </c>
      <c r="V491" s="3" t="s">
        <v>139</v>
      </c>
      <c r="W491" s="3" t="s">
        <v>78</v>
      </c>
      <c r="X491" s="3"/>
      <c r="Y491" s="3"/>
      <c r="Z491" s="3" t="s">
        <v>223</v>
      </c>
      <c r="AA491" s="3" t="s">
        <v>6961</v>
      </c>
      <c r="AB491" s="3" t="str">
        <f>"02894169000168"</f>
        <v>02894169000168</v>
      </c>
      <c r="AC491" s="3"/>
      <c r="AD491" s="3"/>
      <c r="AE491" s="3"/>
      <c r="AF491" s="3">
        <v>-49.355556</v>
      </c>
      <c r="AG491" s="3">
        <v>-20.791944</v>
      </c>
      <c r="AH491" s="3" t="s">
        <v>6962</v>
      </c>
      <c r="AI491" s="3"/>
      <c r="AJ491" s="3" t="s">
        <v>371</v>
      </c>
      <c r="AK491" s="3"/>
      <c r="AL491" s="3" t="s">
        <v>128</v>
      </c>
      <c r="AM491" s="3" t="s">
        <v>65</v>
      </c>
      <c r="AN491" s="3" t="s">
        <v>159</v>
      </c>
      <c r="AO491" s="4">
        <v>44264.0</v>
      </c>
      <c r="AP491" s="4">
        <v>44264.4499768518</v>
      </c>
      <c r="AQ491" s="3" t="s">
        <v>132</v>
      </c>
      <c r="AR491" s="3" t="s">
        <v>3975</v>
      </c>
      <c r="AS491" s="3"/>
      <c r="AT491" s="4">
        <v>44281.0337152778</v>
      </c>
    </row>
    <row r="492" ht="15.75" customHeight="1">
      <c r="A492" s="3">
        <v>2044452.0</v>
      </c>
      <c r="B492" s="3" t="s">
        <v>116</v>
      </c>
      <c r="C492" s="3" t="s">
        <v>117</v>
      </c>
      <c r="D492" s="3" t="s">
        <v>46</v>
      </c>
      <c r="E492" s="3" t="s">
        <v>6963</v>
      </c>
      <c r="F492" s="3"/>
      <c r="G492" s="3" t="s">
        <v>119</v>
      </c>
      <c r="H492" s="3" t="s">
        <v>72</v>
      </c>
      <c r="I492" s="3">
        <v>60000.0</v>
      </c>
      <c r="J492" s="3"/>
      <c r="K492" s="3"/>
      <c r="L492" s="3" t="s">
        <v>120</v>
      </c>
      <c r="M492" s="3" t="s">
        <v>6964</v>
      </c>
      <c r="N492" s="3" t="s">
        <v>109</v>
      </c>
      <c r="O492" s="3" t="s">
        <v>110</v>
      </c>
      <c r="P492" s="4">
        <v>44264.375</v>
      </c>
      <c r="Q492" s="3" t="s">
        <v>77</v>
      </c>
      <c r="R492" s="5">
        <v>44264.0</v>
      </c>
      <c r="S492" s="3" t="s">
        <v>915</v>
      </c>
      <c r="T492" s="3">
        <v>1505031.0</v>
      </c>
      <c r="U492" s="3" t="s">
        <v>5077</v>
      </c>
      <c r="V492" s="3" t="s">
        <v>917</v>
      </c>
      <c r="W492" s="3" t="s">
        <v>100</v>
      </c>
      <c r="X492" s="3"/>
      <c r="Y492" s="3" t="str">
        <f>"02001005388202193"</f>
        <v>02001005388202193</v>
      </c>
      <c r="Z492" s="3" t="s">
        <v>112</v>
      </c>
      <c r="AA492" s="3" t="s">
        <v>6965</v>
      </c>
      <c r="AB492" s="3" t="str">
        <f>"***726383**"</f>
        <v>***726383**</v>
      </c>
      <c r="AC492" s="3"/>
      <c r="AD492" s="3"/>
      <c r="AE492" s="3"/>
      <c r="AF492" s="3">
        <v>-55.137778</v>
      </c>
      <c r="AG492" s="3">
        <v>-7.57</v>
      </c>
      <c r="AH492" s="3" t="s">
        <v>6966</v>
      </c>
      <c r="AI492" s="3"/>
      <c r="AJ492" s="3" t="s">
        <v>120</v>
      </c>
      <c r="AK492" s="3"/>
      <c r="AL492" s="3" t="s">
        <v>128</v>
      </c>
      <c r="AM492" s="3" t="s">
        <v>65</v>
      </c>
      <c r="AN492" s="3" t="s">
        <v>6870</v>
      </c>
      <c r="AO492" s="4">
        <v>44271.0</v>
      </c>
      <c r="AP492" s="4">
        <v>44271.683275463</v>
      </c>
      <c r="AQ492" s="3" t="s">
        <v>132</v>
      </c>
      <c r="AR492" s="3" t="s">
        <v>3557</v>
      </c>
      <c r="AS492" s="3" t="s">
        <v>6967</v>
      </c>
      <c r="AT492" s="4">
        <v>44281.0337152778</v>
      </c>
    </row>
    <row r="493" ht="15.75" customHeight="1">
      <c r="A493" s="3">
        <v>2044470.0</v>
      </c>
      <c r="B493" s="3" t="s">
        <v>116</v>
      </c>
      <c r="C493" s="3" t="s">
        <v>117</v>
      </c>
      <c r="D493" s="3" t="s">
        <v>46</v>
      </c>
      <c r="E493" s="3" t="s">
        <v>6968</v>
      </c>
      <c r="F493" s="3"/>
      <c r="G493" s="3" t="s">
        <v>119</v>
      </c>
      <c r="H493" s="3" t="s">
        <v>72</v>
      </c>
      <c r="I493" s="3">
        <v>44000.0</v>
      </c>
      <c r="J493" s="3"/>
      <c r="K493" s="3"/>
      <c r="L493" s="3" t="s">
        <v>120</v>
      </c>
      <c r="M493" s="3" t="s">
        <v>6969</v>
      </c>
      <c r="N493" s="3" t="s">
        <v>109</v>
      </c>
      <c r="O493" s="3" t="s">
        <v>110</v>
      </c>
      <c r="P493" s="4">
        <v>44264.375</v>
      </c>
      <c r="Q493" s="3" t="s">
        <v>77</v>
      </c>
      <c r="R493" s="5">
        <v>44264.0</v>
      </c>
      <c r="S493" s="3" t="s">
        <v>220</v>
      </c>
      <c r="T493" s="3">
        <v>1504455.0</v>
      </c>
      <c r="U493" s="3" t="s">
        <v>3685</v>
      </c>
      <c r="V493" s="3" t="s">
        <v>917</v>
      </c>
      <c r="W493" s="3" t="s">
        <v>100</v>
      </c>
      <c r="X493" s="3"/>
      <c r="Y493" s="3" t="str">
        <f>"02001005414202183"</f>
        <v>02001005414202183</v>
      </c>
      <c r="Z493" s="3" t="s">
        <v>112</v>
      </c>
      <c r="AA493" s="3" t="s">
        <v>6970</v>
      </c>
      <c r="AB493" s="3" t="str">
        <f>"***357132**"</f>
        <v>***357132**</v>
      </c>
      <c r="AC493" s="3"/>
      <c r="AD493" s="3"/>
      <c r="AE493" s="3"/>
      <c r="AF493" s="3">
        <v>-52.947222</v>
      </c>
      <c r="AG493" s="3">
        <v>-2.9425</v>
      </c>
      <c r="AH493" s="3" t="s">
        <v>6971</v>
      </c>
      <c r="AI493" s="3"/>
      <c r="AJ493" s="3" t="s">
        <v>120</v>
      </c>
      <c r="AK493" s="3"/>
      <c r="AL493" s="3" t="s">
        <v>128</v>
      </c>
      <c r="AM493" s="3" t="s">
        <v>65</v>
      </c>
      <c r="AN493" s="3" t="s">
        <v>6041</v>
      </c>
      <c r="AO493" s="4">
        <v>44271.0</v>
      </c>
      <c r="AP493" s="4">
        <v>44271.8548611111</v>
      </c>
      <c r="AQ493" s="3" t="s">
        <v>132</v>
      </c>
      <c r="AR493" s="3" t="s">
        <v>3557</v>
      </c>
      <c r="AS493" s="3"/>
      <c r="AT493" s="4">
        <v>44281.0337152778</v>
      </c>
    </row>
    <row r="494" ht="15.75" customHeight="1">
      <c r="A494" s="3">
        <v>2044156.0</v>
      </c>
      <c r="B494" s="3" t="s">
        <v>116</v>
      </c>
      <c r="C494" s="3" t="s">
        <v>117</v>
      </c>
      <c r="D494" s="3" t="s">
        <v>46</v>
      </c>
      <c r="E494" s="3" t="s">
        <v>6972</v>
      </c>
      <c r="F494" s="3"/>
      <c r="G494" s="3" t="s">
        <v>119</v>
      </c>
      <c r="H494" s="3" t="s">
        <v>50</v>
      </c>
      <c r="I494" s="3">
        <v>1510.0</v>
      </c>
      <c r="J494" s="3"/>
      <c r="K494" s="3"/>
      <c r="L494" s="3" t="s">
        <v>371</v>
      </c>
      <c r="M494" s="3" t="s">
        <v>6973</v>
      </c>
      <c r="N494" s="3" t="s">
        <v>53</v>
      </c>
      <c r="O494" s="3" t="s">
        <v>333</v>
      </c>
      <c r="P494" s="4">
        <v>44264.3333333333</v>
      </c>
      <c r="Q494" s="3" t="s">
        <v>56</v>
      </c>
      <c r="R494" s="3"/>
      <c r="S494" s="3" t="s">
        <v>220</v>
      </c>
      <c r="T494" s="3">
        <v>3549805.0</v>
      </c>
      <c r="U494" s="3" t="s">
        <v>368</v>
      </c>
      <c r="V494" s="3" t="s">
        <v>139</v>
      </c>
      <c r="W494" s="3" t="s">
        <v>78</v>
      </c>
      <c r="X494" s="3"/>
      <c r="Y494" s="3"/>
      <c r="Z494" s="3" t="s">
        <v>223</v>
      </c>
      <c r="AA494" s="3" t="s">
        <v>6974</v>
      </c>
      <c r="AB494" s="3" t="str">
        <f>"01662081000158"</f>
        <v>01662081000158</v>
      </c>
      <c r="AC494" s="3"/>
      <c r="AD494" s="3"/>
      <c r="AE494" s="3"/>
      <c r="AF494" s="3">
        <v>-49.355556</v>
      </c>
      <c r="AG494" s="3">
        <v>-20.791944</v>
      </c>
      <c r="AH494" s="3" t="s">
        <v>6975</v>
      </c>
      <c r="AI494" s="3"/>
      <c r="AJ494" s="3" t="s">
        <v>371</v>
      </c>
      <c r="AK494" s="3"/>
      <c r="AL494" s="3" t="s">
        <v>128</v>
      </c>
      <c r="AM494" s="3" t="s">
        <v>65</v>
      </c>
      <c r="AN494" s="3" t="s">
        <v>159</v>
      </c>
      <c r="AO494" s="4">
        <v>44264.0</v>
      </c>
      <c r="AP494" s="4">
        <v>44264.4492939815</v>
      </c>
      <c r="AQ494" s="3" t="s">
        <v>132</v>
      </c>
      <c r="AR494" s="3" t="s">
        <v>3975</v>
      </c>
      <c r="AS494" s="3"/>
      <c r="AT494" s="4">
        <v>44281.0337152778</v>
      </c>
    </row>
    <row r="495" ht="15.75" customHeight="1">
      <c r="A495" s="3">
        <v>2044450.0</v>
      </c>
      <c r="B495" s="3" t="s">
        <v>116</v>
      </c>
      <c r="C495" s="3" t="s">
        <v>117</v>
      </c>
      <c r="D495" s="3" t="s">
        <v>46</v>
      </c>
      <c r="E495" s="3" t="s">
        <v>6976</v>
      </c>
      <c r="F495" s="3"/>
      <c r="G495" s="3" t="s">
        <v>119</v>
      </c>
      <c r="H495" s="3" t="s">
        <v>50</v>
      </c>
      <c r="I495" s="3">
        <v>20000.0</v>
      </c>
      <c r="J495" s="3"/>
      <c r="K495" s="3"/>
      <c r="L495" s="3" t="s">
        <v>120</v>
      </c>
      <c r="M495" s="3" t="s">
        <v>6977</v>
      </c>
      <c r="N495" s="3" t="s">
        <v>186</v>
      </c>
      <c r="O495" s="3" t="s">
        <v>302</v>
      </c>
      <c r="P495" s="4">
        <v>44264.3333333333</v>
      </c>
      <c r="Q495" s="3" t="s">
        <v>77</v>
      </c>
      <c r="R495" s="5">
        <v>44264.0</v>
      </c>
      <c r="S495" s="3" t="s">
        <v>220</v>
      </c>
      <c r="T495" s="3">
        <v>1505031.0</v>
      </c>
      <c r="U495" s="3" t="s">
        <v>5077</v>
      </c>
      <c r="V495" s="3" t="s">
        <v>917</v>
      </c>
      <c r="W495" s="3" t="s">
        <v>100</v>
      </c>
      <c r="X495" s="3"/>
      <c r="Y495" s="3" t="str">
        <f>"02001005387202149"</f>
        <v>02001005387202149</v>
      </c>
      <c r="Z495" s="3" t="s">
        <v>306</v>
      </c>
      <c r="AA495" s="3" t="s">
        <v>6978</v>
      </c>
      <c r="AB495" s="3" t="str">
        <f>"***846599**"</f>
        <v>***846599**</v>
      </c>
      <c r="AC495" s="3"/>
      <c r="AD495" s="3"/>
      <c r="AE495" s="3"/>
      <c r="AF495" s="3">
        <v>-55.264639</v>
      </c>
      <c r="AG495" s="3">
        <v>-7.513556</v>
      </c>
      <c r="AH495" s="3" t="s">
        <v>6979</v>
      </c>
      <c r="AI495" s="3"/>
      <c r="AJ495" s="3" t="s">
        <v>120</v>
      </c>
      <c r="AK495" s="3"/>
      <c r="AL495" s="3" t="s">
        <v>128</v>
      </c>
      <c r="AM495" s="3" t="s">
        <v>65</v>
      </c>
      <c r="AN495" s="3" t="s">
        <v>6870</v>
      </c>
      <c r="AO495" s="4">
        <v>44271.0</v>
      </c>
      <c r="AP495" s="4">
        <v>44271.6802546296</v>
      </c>
      <c r="AQ495" s="3" t="s">
        <v>132</v>
      </c>
      <c r="AR495" s="3" t="s">
        <v>1088</v>
      </c>
      <c r="AS495" s="3"/>
      <c r="AT495" s="4">
        <v>44281.0337152778</v>
      </c>
    </row>
    <row r="496" ht="15.75" customHeight="1">
      <c r="A496" s="3"/>
      <c r="B496" s="3" t="s">
        <v>46</v>
      </c>
      <c r="C496" s="3" t="s">
        <v>47</v>
      </c>
      <c r="D496" s="3"/>
      <c r="E496" s="3" t="s">
        <v>6980</v>
      </c>
      <c r="F496" s="3"/>
      <c r="G496" s="3" t="s">
        <v>49</v>
      </c>
      <c r="H496" s="3" t="s">
        <v>72</v>
      </c>
      <c r="I496" s="3">
        <v>9000.0</v>
      </c>
      <c r="J496" s="3"/>
      <c r="K496" s="3"/>
      <c r="L496" s="3"/>
      <c r="M496" s="3" t="s">
        <v>6981</v>
      </c>
      <c r="N496" s="3" t="s">
        <v>109</v>
      </c>
      <c r="O496" s="3" t="s">
        <v>110</v>
      </c>
      <c r="P496" s="4">
        <v>44264.326400463</v>
      </c>
      <c r="Q496" s="3" t="s">
        <v>137</v>
      </c>
      <c r="R496" s="3"/>
      <c r="S496" s="3" t="s">
        <v>437</v>
      </c>
      <c r="T496" s="3">
        <v>2310902.0</v>
      </c>
      <c r="U496" s="3" t="s">
        <v>6982</v>
      </c>
      <c r="V496" s="3" t="s">
        <v>439</v>
      </c>
      <c r="W496" s="3" t="s">
        <v>291</v>
      </c>
      <c r="X496" s="3"/>
      <c r="Y496" s="3"/>
      <c r="Z496" s="3" t="s">
        <v>112</v>
      </c>
      <c r="AA496" s="3" t="s">
        <v>6983</v>
      </c>
      <c r="AB496" s="3" t="str">
        <f>"***136523**"</f>
        <v>***136523**</v>
      </c>
      <c r="AC496" s="3">
        <v>5.56</v>
      </c>
      <c r="AD496" s="3" t="s">
        <v>325</v>
      </c>
      <c r="AE496" s="3"/>
      <c r="AF496" s="3">
        <v>-39.539167</v>
      </c>
      <c r="AG496" s="3">
        <v>-5.962222</v>
      </c>
      <c r="AH496" s="3" t="s">
        <v>6984</v>
      </c>
      <c r="AI496" s="3"/>
      <c r="AJ496" s="3" t="s">
        <v>442</v>
      </c>
      <c r="AK496" s="3"/>
      <c r="AL496" s="3"/>
      <c r="AM496" s="3" t="s">
        <v>65</v>
      </c>
      <c r="AN496" s="3" t="s">
        <v>159</v>
      </c>
      <c r="AO496" s="3"/>
      <c r="AP496" s="4">
        <v>44264.3605439815</v>
      </c>
      <c r="AQ496" s="3"/>
      <c r="AR496" s="3" t="s">
        <v>6985</v>
      </c>
      <c r="AS496" s="3"/>
      <c r="AT496" s="4">
        <v>44281.0337152778</v>
      </c>
    </row>
    <row r="497" ht="15.75" customHeight="1">
      <c r="A497" s="3">
        <v>2044154.0</v>
      </c>
      <c r="B497" s="3" t="s">
        <v>116</v>
      </c>
      <c r="C497" s="3" t="s">
        <v>117</v>
      </c>
      <c r="D497" s="3" t="s">
        <v>46</v>
      </c>
      <c r="E497" s="3" t="s">
        <v>6986</v>
      </c>
      <c r="F497" s="3"/>
      <c r="G497" s="3" t="s">
        <v>119</v>
      </c>
      <c r="H497" s="3" t="s">
        <v>50</v>
      </c>
      <c r="I497" s="3">
        <v>1000.0</v>
      </c>
      <c r="J497" s="3"/>
      <c r="K497" s="3"/>
      <c r="L497" s="3" t="s">
        <v>485</v>
      </c>
      <c r="M497" s="3" t="s">
        <v>6987</v>
      </c>
      <c r="N497" s="3" t="s">
        <v>285</v>
      </c>
      <c r="O497" s="3" t="s">
        <v>286</v>
      </c>
      <c r="P497" s="4">
        <v>44263.9583333333</v>
      </c>
      <c r="Q497" s="3" t="s">
        <v>56</v>
      </c>
      <c r="R497" s="3"/>
      <c r="S497" s="3" t="s">
        <v>488</v>
      </c>
      <c r="T497" s="3">
        <v>1713205.0</v>
      </c>
      <c r="U497" s="3" t="s">
        <v>6988</v>
      </c>
      <c r="V497" s="3" t="s">
        <v>490</v>
      </c>
      <c r="W497" s="3" t="s">
        <v>100</v>
      </c>
      <c r="X497" s="3"/>
      <c r="Y497" s="3" t="str">
        <f>"02029000260202125"</f>
        <v>02029000260202125</v>
      </c>
      <c r="Z497" s="3" t="s">
        <v>292</v>
      </c>
      <c r="AA497" s="3" t="s">
        <v>6989</v>
      </c>
      <c r="AB497" s="3" t="str">
        <f t="shared" ref="AB497:AB498" si="37">"03421948000109"</f>
        <v>03421948000109</v>
      </c>
      <c r="AC497" s="3"/>
      <c r="AD497" s="3"/>
      <c r="AE497" s="3"/>
      <c r="AF497" s="3">
        <v>-48.389722</v>
      </c>
      <c r="AG497" s="3">
        <v>-9.565</v>
      </c>
      <c r="AH497" s="3" t="s">
        <v>6990</v>
      </c>
      <c r="AI497" s="3"/>
      <c r="AJ497" s="3" t="s">
        <v>485</v>
      </c>
      <c r="AK497" s="3"/>
      <c r="AL497" s="3" t="s">
        <v>128</v>
      </c>
      <c r="AM497" s="3" t="s">
        <v>65</v>
      </c>
      <c r="AN497" s="3" t="s">
        <v>296</v>
      </c>
      <c r="AO497" s="4">
        <v>44264.0</v>
      </c>
      <c r="AP497" s="4">
        <v>44264.4173842593</v>
      </c>
      <c r="AQ497" s="3" t="s">
        <v>132</v>
      </c>
      <c r="AR497" s="3" t="s">
        <v>531</v>
      </c>
      <c r="AS497" s="3"/>
      <c r="AT497" s="4">
        <v>44281.0337152778</v>
      </c>
    </row>
    <row r="498" ht="15.75" customHeight="1">
      <c r="A498" s="3">
        <v>2044153.0</v>
      </c>
      <c r="B498" s="3" t="s">
        <v>116</v>
      </c>
      <c r="C498" s="3" t="s">
        <v>117</v>
      </c>
      <c r="D498" s="3" t="s">
        <v>46</v>
      </c>
      <c r="E498" s="3" t="s">
        <v>6991</v>
      </c>
      <c r="F498" s="3"/>
      <c r="G498" s="3" t="s">
        <v>119</v>
      </c>
      <c r="H498" s="3" t="s">
        <v>50</v>
      </c>
      <c r="I498" s="3">
        <v>1000.0</v>
      </c>
      <c r="J498" s="3"/>
      <c r="K498" s="3"/>
      <c r="L498" s="3" t="s">
        <v>485</v>
      </c>
      <c r="M498" s="3" t="s">
        <v>6992</v>
      </c>
      <c r="N498" s="3" t="s">
        <v>285</v>
      </c>
      <c r="O498" s="3" t="s">
        <v>286</v>
      </c>
      <c r="P498" s="4">
        <v>44263.9166666667</v>
      </c>
      <c r="Q498" s="3" t="s">
        <v>77</v>
      </c>
      <c r="R498" s="5">
        <v>44263.0</v>
      </c>
      <c r="S498" s="3" t="s">
        <v>220</v>
      </c>
      <c r="T498" s="3">
        <v>1713205.0</v>
      </c>
      <c r="U498" s="3" t="s">
        <v>6988</v>
      </c>
      <c r="V498" s="3" t="s">
        <v>490</v>
      </c>
      <c r="W498" s="3" t="s">
        <v>100</v>
      </c>
      <c r="X498" s="3"/>
      <c r="Y498" s="3" t="str">
        <f>"02029000259202109"</f>
        <v>02029000259202109</v>
      </c>
      <c r="Z498" s="3" t="s">
        <v>292</v>
      </c>
      <c r="AA498" s="3" t="s">
        <v>6989</v>
      </c>
      <c r="AB498" s="3" t="str">
        <f t="shared" si="37"/>
        <v>03421948000109</v>
      </c>
      <c r="AC498" s="3"/>
      <c r="AD498" s="3"/>
      <c r="AE498" s="3"/>
      <c r="AF498" s="3">
        <v>-48.389722</v>
      </c>
      <c r="AG498" s="3">
        <v>-9.565</v>
      </c>
      <c r="AH498" s="3" t="s">
        <v>6993</v>
      </c>
      <c r="AI498" s="3"/>
      <c r="AJ498" s="3" t="s">
        <v>485</v>
      </c>
      <c r="AK498" s="3"/>
      <c r="AL498" s="3" t="s">
        <v>128</v>
      </c>
      <c r="AM498" s="3" t="s">
        <v>65</v>
      </c>
      <c r="AN498" s="3" t="s">
        <v>296</v>
      </c>
      <c r="AO498" s="4">
        <v>44264.0</v>
      </c>
      <c r="AP498" s="4">
        <v>44264.4167708333</v>
      </c>
      <c r="AQ498" s="3" t="s">
        <v>132</v>
      </c>
      <c r="AR498" s="3" t="s">
        <v>693</v>
      </c>
      <c r="AS498" s="3"/>
      <c r="AT498" s="4">
        <v>44281.0337152778</v>
      </c>
    </row>
    <row r="499" ht="15.75" customHeight="1">
      <c r="A499" s="3">
        <v>2044249.0</v>
      </c>
      <c r="B499" s="3" t="s">
        <v>116</v>
      </c>
      <c r="C499" s="3" t="s">
        <v>117</v>
      </c>
      <c r="D499" s="3" t="s">
        <v>46</v>
      </c>
      <c r="E499" s="3" t="s">
        <v>6994</v>
      </c>
      <c r="F499" s="3"/>
      <c r="G499" s="3" t="s">
        <v>119</v>
      </c>
      <c r="H499" s="3" t="s">
        <v>50</v>
      </c>
      <c r="I499" s="3">
        <v>40500.0</v>
      </c>
      <c r="J499" s="3"/>
      <c r="K499" s="3"/>
      <c r="L499" s="3" t="s">
        <v>120</v>
      </c>
      <c r="M499" s="3" t="s">
        <v>6995</v>
      </c>
      <c r="N499" s="3" t="s">
        <v>109</v>
      </c>
      <c r="O499" s="3" t="s">
        <v>110</v>
      </c>
      <c r="P499" s="4">
        <v>44263.9166666667</v>
      </c>
      <c r="Q499" s="3" t="s">
        <v>77</v>
      </c>
      <c r="R499" s="5">
        <v>44263.0</v>
      </c>
      <c r="S499" s="3" t="s">
        <v>220</v>
      </c>
      <c r="T499" s="3">
        <v>1501725.0</v>
      </c>
      <c r="U499" s="3" t="s">
        <v>6996</v>
      </c>
      <c r="V499" s="3" t="s">
        <v>917</v>
      </c>
      <c r="W499" s="3" t="s">
        <v>100</v>
      </c>
      <c r="X499" s="3"/>
      <c r="Y499" s="3" t="str">
        <f>"02001004966202174"</f>
        <v>02001004966202174</v>
      </c>
      <c r="Z499" s="3" t="s">
        <v>112</v>
      </c>
      <c r="AA499" s="3" t="s">
        <v>6997</v>
      </c>
      <c r="AB499" s="3" t="str">
        <f>"***882972**"</f>
        <v>***882972**</v>
      </c>
      <c r="AC499" s="3"/>
      <c r="AD499" s="3"/>
      <c r="AE499" s="3"/>
      <c r="AF499" s="3">
        <v>-52.946944</v>
      </c>
      <c r="AG499" s="3">
        <v>-2.941944</v>
      </c>
      <c r="AH499" s="3" t="s">
        <v>6998</v>
      </c>
      <c r="AI499" s="3"/>
      <c r="AJ499" s="3" t="s">
        <v>120</v>
      </c>
      <c r="AK499" s="3"/>
      <c r="AL499" s="3" t="s">
        <v>128</v>
      </c>
      <c r="AM499" s="3" t="s">
        <v>65</v>
      </c>
      <c r="AN499" s="3" t="s">
        <v>6041</v>
      </c>
      <c r="AO499" s="4">
        <v>44266.0</v>
      </c>
      <c r="AP499" s="4">
        <v>44266.2246180556</v>
      </c>
      <c r="AQ499" s="3" t="s">
        <v>132</v>
      </c>
      <c r="AR499" s="3" t="s">
        <v>1242</v>
      </c>
      <c r="AS499" s="3"/>
      <c r="AT499" s="4">
        <v>44281.0337152778</v>
      </c>
    </row>
    <row r="500" ht="15.75" customHeight="1">
      <c r="A500" s="3"/>
      <c r="B500" s="3" t="s">
        <v>46</v>
      </c>
      <c r="C500" s="3" t="s">
        <v>47</v>
      </c>
      <c r="D500" s="3"/>
      <c r="E500" s="3" t="s">
        <v>6999</v>
      </c>
      <c r="F500" s="3"/>
      <c r="G500" s="3" t="s">
        <v>49</v>
      </c>
      <c r="H500" s="3" t="s">
        <v>72</v>
      </c>
      <c r="I500" s="3">
        <v>59300.0</v>
      </c>
      <c r="J500" s="3"/>
      <c r="K500" s="3"/>
      <c r="L500" s="3"/>
      <c r="M500" s="3" t="s">
        <v>7000</v>
      </c>
      <c r="N500" s="3" t="s">
        <v>109</v>
      </c>
      <c r="O500" s="3" t="s">
        <v>110</v>
      </c>
      <c r="P500" s="4">
        <v>44263.7930092593</v>
      </c>
      <c r="Q500" s="3" t="s">
        <v>56</v>
      </c>
      <c r="R500" s="5">
        <v>44266.0</v>
      </c>
      <c r="S500" s="3" t="s">
        <v>1468</v>
      </c>
      <c r="T500" s="3">
        <v>5003207.0</v>
      </c>
      <c r="U500" s="3" t="s">
        <v>2929</v>
      </c>
      <c r="V500" s="3" t="s">
        <v>1470</v>
      </c>
      <c r="W500" s="3" t="s">
        <v>1658</v>
      </c>
      <c r="X500" s="3"/>
      <c r="Y500" s="3"/>
      <c r="Z500" s="3" t="s">
        <v>112</v>
      </c>
      <c r="AA500" s="3" t="s">
        <v>7001</v>
      </c>
      <c r="AB500" s="3" t="str">
        <f>"***456221**"</f>
        <v>***456221**</v>
      </c>
      <c r="AC500" s="3"/>
      <c r="AD500" s="3" t="s">
        <v>325</v>
      </c>
      <c r="AE500" s="3"/>
      <c r="AF500" s="3">
        <v>-57.740833</v>
      </c>
      <c r="AG500" s="3">
        <v>-19.168333</v>
      </c>
      <c r="AH500" s="3" t="s">
        <v>7002</v>
      </c>
      <c r="AI500" s="3"/>
      <c r="AJ500" s="3" t="s">
        <v>1473</v>
      </c>
      <c r="AK500" s="3"/>
      <c r="AL500" s="3"/>
      <c r="AM500" s="3" t="s">
        <v>65</v>
      </c>
      <c r="AN500" s="3"/>
      <c r="AO500" s="3"/>
      <c r="AP500" s="4">
        <v>44278.7483449074</v>
      </c>
      <c r="AQ500" s="3"/>
      <c r="AR500" s="3" t="s">
        <v>991</v>
      </c>
      <c r="AS500" s="3"/>
      <c r="AT500" s="4">
        <v>44281.0337152778</v>
      </c>
    </row>
    <row r="501" ht="15.75" customHeight="1">
      <c r="A501" s="3">
        <v>2044136.0</v>
      </c>
      <c r="B501" s="3" t="s">
        <v>116</v>
      </c>
      <c r="C501" s="3" t="s">
        <v>117</v>
      </c>
      <c r="D501" s="3" t="s">
        <v>46</v>
      </c>
      <c r="E501" s="3" t="s">
        <v>7003</v>
      </c>
      <c r="F501" s="3"/>
      <c r="G501" s="3" t="s">
        <v>119</v>
      </c>
      <c r="H501" s="3" t="s">
        <v>50</v>
      </c>
      <c r="I501" s="3">
        <v>1000.0</v>
      </c>
      <c r="J501" s="3"/>
      <c r="K501" s="3"/>
      <c r="L501" s="3" t="s">
        <v>371</v>
      </c>
      <c r="M501" s="3" t="s">
        <v>7004</v>
      </c>
      <c r="N501" s="3" t="s">
        <v>186</v>
      </c>
      <c r="O501" s="3" t="s">
        <v>95</v>
      </c>
      <c r="P501" s="4">
        <v>44263.6666666667</v>
      </c>
      <c r="Q501" s="3" t="s">
        <v>56</v>
      </c>
      <c r="R501" s="5">
        <v>44263.0</v>
      </c>
      <c r="S501" s="3" t="s">
        <v>220</v>
      </c>
      <c r="T501" s="3">
        <v>3549805.0</v>
      </c>
      <c r="U501" s="3" t="s">
        <v>368</v>
      </c>
      <c r="V501" s="3" t="s">
        <v>139</v>
      </c>
      <c r="W501" s="3" t="s">
        <v>78</v>
      </c>
      <c r="X501" s="3"/>
      <c r="Y501" s="3"/>
      <c r="Z501" s="3" t="s">
        <v>101</v>
      </c>
      <c r="AA501" s="3" t="s">
        <v>7005</v>
      </c>
      <c r="AB501" s="3" t="str">
        <f>"***364488**"</f>
        <v>***364488**</v>
      </c>
      <c r="AC501" s="3"/>
      <c r="AD501" s="3"/>
      <c r="AE501" s="3"/>
      <c r="AF501" s="3">
        <v>-49.355556</v>
      </c>
      <c r="AG501" s="3">
        <v>-20.791667</v>
      </c>
      <c r="AH501" s="3" t="s">
        <v>6865</v>
      </c>
      <c r="AI501" s="3"/>
      <c r="AJ501" s="3" t="s">
        <v>371</v>
      </c>
      <c r="AK501" s="3"/>
      <c r="AL501" s="3" t="s">
        <v>128</v>
      </c>
      <c r="AM501" s="3" t="s">
        <v>65</v>
      </c>
      <c r="AN501" s="3"/>
      <c r="AO501" s="4">
        <v>44263.0</v>
      </c>
      <c r="AP501" s="4">
        <v>44263.7344791667</v>
      </c>
      <c r="AQ501" s="3" t="s">
        <v>132</v>
      </c>
      <c r="AR501" s="3" t="s">
        <v>693</v>
      </c>
      <c r="AS501" s="3"/>
      <c r="AT501" s="4">
        <v>44281.0337152778</v>
      </c>
    </row>
    <row r="502" ht="15.75" customHeight="1">
      <c r="A502" s="3">
        <v>2044133.0</v>
      </c>
      <c r="B502" s="3" t="s">
        <v>116</v>
      </c>
      <c r="C502" s="3" t="s">
        <v>117</v>
      </c>
      <c r="D502" s="3" t="s">
        <v>46</v>
      </c>
      <c r="E502" s="3" t="s">
        <v>7006</v>
      </c>
      <c r="F502" s="3"/>
      <c r="G502" s="3" t="s">
        <v>119</v>
      </c>
      <c r="H502" s="3" t="s">
        <v>72</v>
      </c>
      <c r="I502" s="3">
        <v>1500.0</v>
      </c>
      <c r="J502" s="3"/>
      <c r="K502" s="3"/>
      <c r="L502" s="3" t="s">
        <v>1365</v>
      </c>
      <c r="M502" s="3" t="s">
        <v>7007</v>
      </c>
      <c r="N502" s="3" t="s">
        <v>186</v>
      </c>
      <c r="O502" s="3" t="s">
        <v>95</v>
      </c>
      <c r="P502" s="4">
        <v>44263.625</v>
      </c>
      <c r="Q502" s="3" t="s">
        <v>56</v>
      </c>
      <c r="R502" s="3"/>
      <c r="S502" s="3" t="s">
        <v>475</v>
      </c>
      <c r="T502" s="3">
        <v>3106200.0</v>
      </c>
      <c r="U502" s="3" t="s">
        <v>1441</v>
      </c>
      <c r="V502" s="3" t="s">
        <v>477</v>
      </c>
      <c r="W502" s="3" t="s">
        <v>78</v>
      </c>
      <c r="X502" s="3"/>
      <c r="Y502" s="3" t="str">
        <f>"02015000767202138"</f>
        <v>02015000767202138</v>
      </c>
      <c r="Z502" s="3" t="s">
        <v>101</v>
      </c>
      <c r="AA502" s="3" t="s">
        <v>1453</v>
      </c>
      <c r="AB502" s="3" t="str">
        <f t="shared" ref="AB502:AB503" si="38">"18750612000167"</f>
        <v>18750612000167</v>
      </c>
      <c r="AC502" s="3"/>
      <c r="AD502" s="3"/>
      <c r="AE502" s="3"/>
      <c r="AF502" s="3">
        <v>-43.965833</v>
      </c>
      <c r="AG502" s="3">
        <v>-19.838056</v>
      </c>
      <c r="AH502" s="3" t="s">
        <v>1971</v>
      </c>
      <c r="AI502" s="3"/>
      <c r="AJ502" s="3" t="s">
        <v>1365</v>
      </c>
      <c r="AK502" s="3"/>
      <c r="AL502" s="3" t="s">
        <v>128</v>
      </c>
      <c r="AM502" s="3" t="s">
        <v>65</v>
      </c>
      <c r="AN502" s="3" t="s">
        <v>83</v>
      </c>
      <c r="AO502" s="4">
        <v>44263.0</v>
      </c>
      <c r="AP502" s="4">
        <v>44263.7297569445</v>
      </c>
      <c r="AQ502" s="3" t="s">
        <v>132</v>
      </c>
      <c r="AR502" s="3" t="s">
        <v>247</v>
      </c>
      <c r="AS502" s="3"/>
      <c r="AT502" s="4">
        <v>44281.0337152778</v>
      </c>
    </row>
    <row r="503" ht="15.75" customHeight="1">
      <c r="A503" s="3">
        <v>2044134.0</v>
      </c>
      <c r="B503" s="3" t="s">
        <v>116</v>
      </c>
      <c r="C503" s="3" t="s">
        <v>117</v>
      </c>
      <c r="D503" s="3" t="s">
        <v>46</v>
      </c>
      <c r="E503" s="3" t="s">
        <v>7008</v>
      </c>
      <c r="F503" s="3"/>
      <c r="G503" s="3" t="s">
        <v>119</v>
      </c>
      <c r="H503" s="3" t="s">
        <v>72</v>
      </c>
      <c r="I503" s="3">
        <v>1500.0</v>
      </c>
      <c r="J503" s="3"/>
      <c r="K503" s="3"/>
      <c r="L503" s="3" t="s">
        <v>1365</v>
      </c>
      <c r="M503" s="3" t="s">
        <v>7009</v>
      </c>
      <c r="N503" s="3" t="s">
        <v>186</v>
      </c>
      <c r="O503" s="3" t="s">
        <v>95</v>
      </c>
      <c r="P503" s="4">
        <v>44263.625</v>
      </c>
      <c r="Q503" s="3" t="s">
        <v>56</v>
      </c>
      <c r="R503" s="3"/>
      <c r="S503" s="3" t="s">
        <v>475</v>
      </c>
      <c r="T503" s="3">
        <v>3106200.0</v>
      </c>
      <c r="U503" s="3" t="s">
        <v>1441</v>
      </c>
      <c r="V503" s="3" t="s">
        <v>477</v>
      </c>
      <c r="W503" s="3" t="s">
        <v>78</v>
      </c>
      <c r="X503" s="3"/>
      <c r="Y503" s="3" t="str">
        <f>"02015000768202182"</f>
        <v>02015000768202182</v>
      </c>
      <c r="Z503" s="3" t="s">
        <v>101</v>
      </c>
      <c r="AA503" s="3" t="s">
        <v>1453</v>
      </c>
      <c r="AB503" s="3" t="str">
        <f t="shared" si="38"/>
        <v>18750612000167</v>
      </c>
      <c r="AC503" s="3"/>
      <c r="AD503" s="3"/>
      <c r="AE503" s="3"/>
      <c r="AF503" s="3">
        <v>-43.965833</v>
      </c>
      <c r="AG503" s="3">
        <v>-19.838056</v>
      </c>
      <c r="AH503" s="3" t="s">
        <v>1454</v>
      </c>
      <c r="AI503" s="3"/>
      <c r="AJ503" s="3" t="s">
        <v>1365</v>
      </c>
      <c r="AK503" s="3"/>
      <c r="AL503" s="3" t="s">
        <v>128</v>
      </c>
      <c r="AM503" s="3" t="s">
        <v>65</v>
      </c>
      <c r="AN503" s="3" t="s">
        <v>83</v>
      </c>
      <c r="AO503" s="4">
        <v>44263.0</v>
      </c>
      <c r="AP503" s="4">
        <v>44263.7304513889</v>
      </c>
      <c r="AQ503" s="3" t="s">
        <v>132</v>
      </c>
      <c r="AR503" s="3" t="s">
        <v>247</v>
      </c>
      <c r="AS503" s="3"/>
      <c r="AT503" s="4">
        <v>44281.0337152778</v>
      </c>
    </row>
    <row r="504" ht="15.75" customHeight="1">
      <c r="A504" s="3">
        <v>2044135.0</v>
      </c>
      <c r="B504" s="3" t="s">
        <v>116</v>
      </c>
      <c r="C504" s="3" t="s">
        <v>117</v>
      </c>
      <c r="D504" s="3" t="s">
        <v>46</v>
      </c>
      <c r="E504" s="3" t="s">
        <v>7010</v>
      </c>
      <c r="F504" s="3"/>
      <c r="G504" s="3" t="s">
        <v>119</v>
      </c>
      <c r="H504" s="3" t="s">
        <v>50</v>
      </c>
      <c r="I504" s="3">
        <v>500.0</v>
      </c>
      <c r="J504" s="3"/>
      <c r="K504" s="3"/>
      <c r="L504" s="3" t="s">
        <v>371</v>
      </c>
      <c r="M504" s="3" t="s">
        <v>7011</v>
      </c>
      <c r="N504" s="3" t="s">
        <v>257</v>
      </c>
      <c r="O504" s="3" t="s">
        <v>258</v>
      </c>
      <c r="P504" s="4">
        <v>44263.625</v>
      </c>
      <c r="Q504" s="3" t="s">
        <v>56</v>
      </c>
      <c r="R504" s="5">
        <v>44263.0</v>
      </c>
      <c r="S504" s="3" t="s">
        <v>220</v>
      </c>
      <c r="T504" s="3">
        <v>3549805.0</v>
      </c>
      <c r="U504" s="3" t="s">
        <v>368</v>
      </c>
      <c r="V504" s="3" t="s">
        <v>139</v>
      </c>
      <c r="W504" s="3" t="s">
        <v>78</v>
      </c>
      <c r="X504" s="3"/>
      <c r="Y504" s="3"/>
      <c r="Z504" s="3" t="s">
        <v>260</v>
      </c>
      <c r="AA504" s="3" t="s">
        <v>7005</v>
      </c>
      <c r="AB504" s="3" t="str">
        <f>"***364488**"</f>
        <v>***364488**</v>
      </c>
      <c r="AC504" s="3"/>
      <c r="AD504" s="3"/>
      <c r="AE504" s="3"/>
      <c r="AF504" s="3">
        <v>-49.355556</v>
      </c>
      <c r="AG504" s="3">
        <v>-20.791667</v>
      </c>
      <c r="AH504" s="3" t="s">
        <v>6865</v>
      </c>
      <c r="AI504" s="3"/>
      <c r="AJ504" s="3" t="s">
        <v>371</v>
      </c>
      <c r="AK504" s="3"/>
      <c r="AL504" s="3" t="s">
        <v>128</v>
      </c>
      <c r="AM504" s="3" t="s">
        <v>65</v>
      </c>
      <c r="AN504" s="3"/>
      <c r="AO504" s="4">
        <v>44263.0</v>
      </c>
      <c r="AP504" s="4">
        <v>44263.7341898148</v>
      </c>
      <c r="AQ504" s="3" t="s">
        <v>132</v>
      </c>
      <c r="AR504" s="3" t="s">
        <v>1403</v>
      </c>
      <c r="AS504" s="3" t="s">
        <v>7012</v>
      </c>
      <c r="AT504" s="4">
        <v>44281.0337152778</v>
      </c>
    </row>
    <row r="505" ht="15.75" customHeight="1">
      <c r="A505" s="3"/>
      <c r="B505" s="3" t="s">
        <v>46</v>
      </c>
      <c r="C505" s="3" t="s">
        <v>47</v>
      </c>
      <c r="D505" s="3"/>
      <c r="E505" s="3" t="s">
        <v>7013</v>
      </c>
      <c r="F505" s="3"/>
      <c r="G505" s="3" t="s">
        <v>49</v>
      </c>
      <c r="H505" s="3" t="s">
        <v>72</v>
      </c>
      <c r="I505" s="3">
        <v>11500.0</v>
      </c>
      <c r="J505" s="3"/>
      <c r="K505" s="3" t="s">
        <v>92</v>
      </c>
      <c r="L505" s="3"/>
      <c r="M505" s="3" t="s">
        <v>7014</v>
      </c>
      <c r="N505" s="3" t="s">
        <v>74</v>
      </c>
      <c r="O505" s="3" t="s">
        <v>75</v>
      </c>
      <c r="P505" s="4">
        <v>44263.6177430556</v>
      </c>
      <c r="Q505" s="3" t="s">
        <v>56</v>
      </c>
      <c r="R505" s="3"/>
      <c r="S505" s="3" t="s">
        <v>280</v>
      </c>
      <c r="T505" s="3">
        <v>3548500.0</v>
      </c>
      <c r="U505" s="3" t="s">
        <v>360</v>
      </c>
      <c r="V505" s="3" t="s">
        <v>139</v>
      </c>
      <c r="W505" s="3" t="s">
        <v>60</v>
      </c>
      <c r="X505" s="3"/>
      <c r="Y505" s="3"/>
      <c r="Z505" s="3" t="s">
        <v>79</v>
      </c>
      <c r="AA505" s="3" t="s">
        <v>7015</v>
      </c>
      <c r="AB505" s="3" t="str">
        <f>"***495779**"</f>
        <v>***495779**</v>
      </c>
      <c r="AC505" s="3"/>
      <c r="AD505" s="3" t="s">
        <v>81</v>
      </c>
      <c r="AE505" s="3"/>
      <c r="AF505" s="3">
        <v>-47.2925</v>
      </c>
      <c r="AG505" s="3">
        <v>-23.986111</v>
      </c>
      <c r="AH505" s="3" t="s">
        <v>7016</v>
      </c>
      <c r="AI505" s="3"/>
      <c r="AJ505" s="3" t="s">
        <v>1037</v>
      </c>
      <c r="AK505" s="3"/>
      <c r="AL505" s="3"/>
      <c r="AM505" s="3" t="s">
        <v>65</v>
      </c>
      <c r="AN505" s="3"/>
      <c r="AO505" s="3"/>
      <c r="AP505" s="4">
        <v>44263.6459837963</v>
      </c>
      <c r="AQ505" s="3"/>
      <c r="AR505" s="3" t="s">
        <v>3441</v>
      </c>
      <c r="AS505" s="3" t="s">
        <v>7017</v>
      </c>
      <c r="AT505" s="4">
        <v>44281.0337152778</v>
      </c>
    </row>
    <row r="506" ht="15.75" customHeight="1">
      <c r="A506" s="3">
        <v>2044132.0</v>
      </c>
      <c r="B506" s="3" t="s">
        <v>116</v>
      </c>
      <c r="C506" s="3" t="s">
        <v>117</v>
      </c>
      <c r="D506" s="3" t="s">
        <v>46</v>
      </c>
      <c r="E506" s="3" t="s">
        <v>7018</v>
      </c>
      <c r="F506" s="3"/>
      <c r="G506" s="3" t="s">
        <v>119</v>
      </c>
      <c r="H506" s="3" t="s">
        <v>72</v>
      </c>
      <c r="I506" s="3">
        <v>1500.0</v>
      </c>
      <c r="J506" s="3"/>
      <c r="K506" s="3"/>
      <c r="L506" s="3" t="s">
        <v>1365</v>
      </c>
      <c r="M506" s="3" t="s">
        <v>7019</v>
      </c>
      <c r="N506" s="3" t="s">
        <v>186</v>
      </c>
      <c r="O506" s="3" t="s">
        <v>95</v>
      </c>
      <c r="P506" s="4">
        <v>44263.5833333333</v>
      </c>
      <c r="Q506" s="3" t="s">
        <v>56</v>
      </c>
      <c r="R506" s="3"/>
      <c r="S506" s="3" t="s">
        <v>475</v>
      </c>
      <c r="T506" s="3">
        <v>3106200.0</v>
      </c>
      <c r="U506" s="3" t="s">
        <v>1441</v>
      </c>
      <c r="V506" s="3" t="s">
        <v>477</v>
      </c>
      <c r="W506" s="3" t="s">
        <v>78</v>
      </c>
      <c r="X506" s="3"/>
      <c r="Y506" s="3" t="str">
        <f>"02015000766202193"</f>
        <v>02015000766202193</v>
      </c>
      <c r="Z506" s="3" t="s">
        <v>101</v>
      </c>
      <c r="AA506" s="3" t="s">
        <v>7020</v>
      </c>
      <c r="AB506" s="3" t="str">
        <f>"31346288000184"</f>
        <v>31346288000184</v>
      </c>
      <c r="AC506" s="3"/>
      <c r="AD506" s="3"/>
      <c r="AE506" s="3"/>
      <c r="AF506" s="3">
        <v>-43.937778</v>
      </c>
      <c r="AG506" s="3">
        <v>-19.950556</v>
      </c>
      <c r="AH506" s="3" t="s">
        <v>7021</v>
      </c>
      <c r="AI506" s="3"/>
      <c r="AJ506" s="3" t="s">
        <v>1365</v>
      </c>
      <c r="AK506" s="3"/>
      <c r="AL506" s="3" t="s">
        <v>128</v>
      </c>
      <c r="AM506" s="3" t="s">
        <v>65</v>
      </c>
      <c r="AN506" s="3" t="s">
        <v>83</v>
      </c>
      <c r="AO506" s="4">
        <v>44263.0</v>
      </c>
      <c r="AP506" s="4">
        <v>44263.7288888889</v>
      </c>
      <c r="AQ506" s="3" t="s">
        <v>132</v>
      </c>
      <c r="AR506" s="3" t="s">
        <v>247</v>
      </c>
      <c r="AS506" s="3"/>
      <c r="AT506" s="4">
        <v>44281.0337152778</v>
      </c>
    </row>
    <row r="507" ht="15.75" customHeight="1">
      <c r="A507" s="3">
        <v>2044711.0</v>
      </c>
      <c r="B507" s="3" t="s">
        <v>116</v>
      </c>
      <c r="C507" s="3" t="s">
        <v>117</v>
      </c>
      <c r="D507" s="3" t="s">
        <v>46</v>
      </c>
      <c r="E507" s="3" t="s">
        <v>7022</v>
      </c>
      <c r="F507" s="3"/>
      <c r="G507" s="3" t="s">
        <v>119</v>
      </c>
      <c r="H507" s="3" t="s">
        <v>50</v>
      </c>
      <c r="I507" s="3">
        <v>569.96</v>
      </c>
      <c r="J507" s="3"/>
      <c r="K507" s="3"/>
      <c r="L507" s="3" t="s">
        <v>2062</v>
      </c>
      <c r="M507" s="3" t="s">
        <v>7023</v>
      </c>
      <c r="N507" s="3" t="s">
        <v>285</v>
      </c>
      <c r="O507" s="3" t="s">
        <v>286</v>
      </c>
      <c r="P507" s="4">
        <v>44263.5833333333</v>
      </c>
      <c r="Q507" s="3" t="s">
        <v>77</v>
      </c>
      <c r="R507" s="5">
        <v>44263.0</v>
      </c>
      <c r="S507" s="3" t="s">
        <v>148</v>
      </c>
      <c r="T507" s="3">
        <v>1100205.0</v>
      </c>
      <c r="U507" s="3" t="s">
        <v>242</v>
      </c>
      <c r="V507" s="3" t="s">
        <v>125</v>
      </c>
      <c r="W507" s="3" t="s">
        <v>100</v>
      </c>
      <c r="X507" s="3"/>
      <c r="Y507" s="3" t="str">
        <f>"02024000917202102"</f>
        <v>02024000917202102</v>
      </c>
      <c r="Z507" s="3" t="s">
        <v>292</v>
      </c>
      <c r="AA507" s="3" t="s">
        <v>7024</v>
      </c>
      <c r="AB507" s="3" t="str">
        <f>"02055441000116"</f>
        <v>02055441000116</v>
      </c>
      <c r="AC507" s="3"/>
      <c r="AD507" s="3"/>
      <c r="AE507" s="3"/>
      <c r="AF507" s="3">
        <v>-63.890556</v>
      </c>
      <c r="AG507" s="3">
        <v>-8.737778</v>
      </c>
      <c r="AH507" s="3" t="s">
        <v>7025</v>
      </c>
      <c r="AI507" s="3"/>
      <c r="AJ507" s="3" t="s">
        <v>2062</v>
      </c>
      <c r="AK507" s="3"/>
      <c r="AL507" s="3" t="s">
        <v>128</v>
      </c>
      <c r="AM507" s="3" t="s">
        <v>65</v>
      </c>
      <c r="AN507" s="3"/>
      <c r="AO507" s="4">
        <v>44280.0</v>
      </c>
      <c r="AP507" s="4">
        <v>44280.5704282407</v>
      </c>
      <c r="AQ507" s="3" t="s">
        <v>132</v>
      </c>
      <c r="AR507" s="3" t="s">
        <v>531</v>
      </c>
      <c r="AS507" s="3"/>
      <c r="AT507" s="4">
        <v>44281.0337152778</v>
      </c>
    </row>
    <row r="508" ht="15.75" customHeight="1">
      <c r="A508" s="3"/>
      <c r="B508" s="3" t="s">
        <v>46</v>
      </c>
      <c r="C508" s="3" t="s">
        <v>47</v>
      </c>
      <c r="D508" s="3"/>
      <c r="E508" s="3" t="s">
        <v>7026</v>
      </c>
      <c r="F508" s="3"/>
      <c r="G508" s="3" t="s">
        <v>49</v>
      </c>
      <c r="H508" s="3" t="s">
        <v>72</v>
      </c>
      <c r="I508" s="3">
        <v>6858.0</v>
      </c>
      <c r="J508" s="3"/>
      <c r="K508" s="3"/>
      <c r="L508" s="3"/>
      <c r="M508" s="3" t="s">
        <v>7027</v>
      </c>
      <c r="N508" s="3" t="s">
        <v>109</v>
      </c>
      <c r="O508" s="3" t="s">
        <v>110</v>
      </c>
      <c r="P508" s="4">
        <v>44263.5409953704</v>
      </c>
      <c r="Q508" s="3" t="s">
        <v>77</v>
      </c>
      <c r="R508" s="3"/>
      <c r="S508" s="3" t="s">
        <v>123</v>
      </c>
      <c r="T508" s="3">
        <v>1100205.0</v>
      </c>
      <c r="U508" s="3" t="s">
        <v>242</v>
      </c>
      <c r="V508" s="3" t="s">
        <v>125</v>
      </c>
      <c r="W508" s="3" t="s">
        <v>100</v>
      </c>
      <c r="X508" s="3"/>
      <c r="Y508" s="3"/>
      <c r="Z508" s="3" t="s">
        <v>112</v>
      </c>
      <c r="AA508" s="3" t="s">
        <v>7028</v>
      </c>
      <c r="AB508" s="3" t="str">
        <f>"***469991**"</f>
        <v>***469991**</v>
      </c>
      <c r="AC508" s="3"/>
      <c r="AD508" s="3" t="s">
        <v>81</v>
      </c>
      <c r="AE508" s="3"/>
      <c r="AF508" s="3">
        <v>-63.890556</v>
      </c>
      <c r="AG508" s="3">
        <v>-8.831389</v>
      </c>
      <c r="AH508" s="3" t="s">
        <v>7029</v>
      </c>
      <c r="AI508" s="3"/>
      <c r="AJ508" s="3" t="s">
        <v>2062</v>
      </c>
      <c r="AK508" s="3"/>
      <c r="AL508" s="3"/>
      <c r="AM508" s="3" t="s">
        <v>65</v>
      </c>
      <c r="AN508" s="3"/>
      <c r="AO508" s="3"/>
      <c r="AP508" s="4">
        <v>44280.6015625</v>
      </c>
      <c r="AQ508" s="3"/>
      <c r="AR508" s="3" t="s">
        <v>7030</v>
      </c>
      <c r="AS508" s="3"/>
      <c r="AT508" s="4">
        <v>44281.0337152778</v>
      </c>
    </row>
    <row r="509" ht="15.75" customHeight="1">
      <c r="A509" s="3">
        <v>2044131.0</v>
      </c>
      <c r="B509" s="3" t="s">
        <v>116</v>
      </c>
      <c r="C509" s="3" t="s">
        <v>117</v>
      </c>
      <c r="D509" s="3" t="s">
        <v>46</v>
      </c>
      <c r="E509" s="3" t="s">
        <v>7031</v>
      </c>
      <c r="F509" s="3"/>
      <c r="G509" s="3" t="s">
        <v>119</v>
      </c>
      <c r="H509" s="3" t="s">
        <v>72</v>
      </c>
      <c r="I509" s="3">
        <v>4500.0</v>
      </c>
      <c r="J509" s="3"/>
      <c r="K509" s="3"/>
      <c r="L509" s="3" t="s">
        <v>1365</v>
      </c>
      <c r="M509" s="3" t="s">
        <v>7032</v>
      </c>
      <c r="N509" s="3" t="s">
        <v>186</v>
      </c>
      <c r="O509" s="3" t="s">
        <v>95</v>
      </c>
      <c r="P509" s="4">
        <v>44263.5</v>
      </c>
      <c r="Q509" s="3" t="s">
        <v>56</v>
      </c>
      <c r="R509" s="3"/>
      <c r="S509" s="3" t="s">
        <v>475</v>
      </c>
      <c r="T509" s="3">
        <v>3106200.0</v>
      </c>
      <c r="U509" s="3" t="s">
        <v>1441</v>
      </c>
      <c r="V509" s="3" t="s">
        <v>477</v>
      </c>
      <c r="W509" s="3" t="s">
        <v>78</v>
      </c>
      <c r="X509" s="3"/>
      <c r="Y509" s="3" t="str">
        <f>"02015000765202149"</f>
        <v>02015000765202149</v>
      </c>
      <c r="Z509" s="3" t="s">
        <v>101</v>
      </c>
      <c r="AA509" s="3" t="s">
        <v>7033</v>
      </c>
      <c r="AB509" s="3" t="str">
        <f>"31312608000185"</f>
        <v>31312608000185</v>
      </c>
      <c r="AC509" s="3"/>
      <c r="AD509" s="3"/>
      <c r="AE509" s="3"/>
      <c r="AF509" s="3">
        <v>-43.958889</v>
      </c>
      <c r="AG509" s="3">
        <v>-19.907778</v>
      </c>
      <c r="AH509" s="3" t="s">
        <v>7034</v>
      </c>
      <c r="AI509" s="3"/>
      <c r="AJ509" s="3" t="s">
        <v>1365</v>
      </c>
      <c r="AK509" s="3"/>
      <c r="AL509" s="3" t="s">
        <v>128</v>
      </c>
      <c r="AM509" s="3" t="s">
        <v>65</v>
      </c>
      <c r="AN509" s="3" t="s">
        <v>83</v>
      </c>
      <c r="AO509" s="4">
        <v>44263.0</v>
      </c>
      <c r="AP509" s="4">
        <v>44263.7280208333</v>
      </c>
      <c r="AQ509" s="3" t="s">
        <v>132</v>
      </c>
      <c r="AR509" s="3" t="s">
        <v>247</v>
      </c>
      <c r="AS509" s="3"/>
      <c r="AT509" s="4">
        <v>44281.0337152778</v>
      </c>
    </row>
    <row r="510" ht="15.75" customHeight="1">
      <c r="A510" s="3">
        <v>2044341.0</v>
      </c>
      <c r="B510" s="3" t="s">
        <v>116</v>
      </c>
      <c r="C510" s="3" t="s">
        <v>117</v>
      </c>
      <c r="D510" s="3" t="s">
        <v>46</v>
      </c>
      <c r="E510" s="3" t="s">
        <v>7035</v>
      </c>
      <c r="F510" s="3"/>
      <c r="G510" s="3" t="s">
        <v>119</v>
      </c>
      <c r="H510" s="3" t="s">
        <v>50</v>
      </c>
      <c r="I510" s="3">
        <v>161500.0</v>
      </c>
      <c r="J510" s="3"/>
      <c r="K510" s="3"/>
      <c r="L510" s="3" t="s">
        <v>1227</v>
      </c>
      <c r="M510" s="3" t="s">
        <v>7036</v>
      </c>
      <c r="N510" s="3" t="s">
        <v>53</v>
      </c>
      <c r="O510" s="3" t="s">
        <v>187</v>
      </c>
      <c r="P510" s="4">
        <v>44263.5</v>
      </c>
      <c r="Q510" s="3" t="s">
        <v>77</v>
      </c>
      <c r="R510" s="5">
        <v>44263.0</v>
      </c>
      <c r="S510" s="3" t="s">
        <v>148</v>
      </c>
      <c r="T510" s="3">
        <v>1100098.0</v>
      </c>
      <c r="U510" s="3" t="s">
        <v>2306</v>
      </c>
      <c r="V510" s="3" t="s">
        <v>125</v>
      </c>
      <c r="W510" s="3" t="s">
        <v>100</v>
      </c>
      <c r="X510" s="3"/>
      <c r="Y510" s="3" t="str">
        <f>"02049000080202113"</f>
        <v>02049000080202113</v>
      </c>
      <c r="Z510" s="3" t="s">
        <v>223</v>
      </c>
      <c r="AA510" s="3" t="s">
        <v>7037</v>
      </c>
      <c r="AB510" s="3" t="str">
        <f>"17543445000110"</f>
        <v>17543445000110</v>
      </c>
      <c r="AC510" s="3"/>
      <c r="AD510" s="3"/>
      <c r="AE510" s="3"/>
      <c r="AF510" s="3">
        <v>-61.018056</v>
      </c>
      <c r="AG510" s="3">
        <v>-11.5275</v>
      </c>
      <c r="AH510" s="3" t="s">
        <v>7038</v>
      </c>
      <c r="AI510" s="3"/>
      <c r="AJ510" s="3" t="s">
        <v>1227</v>
      </c>
      <c r="AK510" s="3"/>
      <c r="AL510" s="3" t="s">
        <v>128</v>
      </c>
      <c r="AM510" s="3" t="s">
        <v>65</v>
      </c>
      <c r="AN510" s="3" t="s">
        <v>274</v>
      </c>
      <c r="AO510" s="4">
        <v>44270.0</v>
      </c>
      <c r="AP510" s="4">
        <v>44270.3569907407</v>
      </c>
      <c r="AQ510" s="3" t="s">
        <v>132</v>
      </c>
      <c r="AR510" s="3" t="s">
        <v>247</v>
      </c>
      <c r="AS510" s="3" t="s">
        <v>6805</v>
      </c>
      <c r="AT510" s="4">
        <v>44281.0337152778</v>
      </c>
    </row>
    <row r="511" ht="15.75" customHeight="1">
      <c r="A511" s="3">
        <v>2044129.0</v>
      </c>
      <c r="B511" s="3" t="s">
        <v>116</v>
      </c>
      <c r="C511" s="3" t="s">
        <v>117</v>
      </c>
      <c r="D511" s="3" t="s">
        <v>46</v>
      </c>
      <c r="E511" s="3" t="s">
        <v>7039</v>
      </c>
      <c r="F511" s="3"/>
      <c r="G511" s="3" t="s">
        <v>119</v>
      </c>
      <c r="H511" s="3" t="s">
        <v>72</v>
      </c>
      <c r="I511" s="3">
        <v>2500.0</v>
      </c>
      <c r="J511" s="3"/>
      <c r="K511" s="3"/>
      <c r="L511" s="3" t="s">
        <v>1365</v>
      </c>
      <c r="M511" s="3" t="s">
        <v>7040</v>
      </c>
      <c r="N511" s="3" t="s">
        <v>186</v>
      </c>
      <c r="O511" s="3" t="s">
        <v>95</v>
      </c>
      <c r="P511" s="4">
        <v>44263.4583333333</v>
      </c>
      <c r="Q511" s="3" t="s">
        <v>56</v>
      </c>
      <c r="R511" s="3"/>
      <c r="S511" s="3" t="s">
        <v>475</v>
      </c>
      <c r="T511" s="3">
        <v>3106200.0</v>
      </c>
      <c r="U511" s="3" t="s">
        <v>1441</v>
      </c>
      <c r="V511" s="3" t="s">
        <v>477</v>
      </c>
      <c r="W511" s="3" t="s">
        <v>78</v>
      </c>
      <c r="X511" s="3"/>
      <c r="Y511" s="3" t="str">
        <f>"02015000764202102"</f>
        <v>02015000764202102</v>
      </c>
      <c r="Z511" s="3" t="s">
        <v>101</v>
      </c>
      <c r="AA511" s="3" t="s">
        <v>7033</v>
      </c>
      <c r="AB511" s="3" t="str">
        <f>"31312608000185"</f>
        <v>31312608000185</v>
      </c>
      <c r="AC511" s="3"/>
      <c r="AD511" s="3"/>
      <c r="AE511" s="3"/>
      <c r="AF511" s="3">
        <v>-43.958889</v>
      </c>
      <c r="AG511" s="3">
        <v>-19.907778</v>
      </c>
      <c r="AH511" s="3" t="s">
        <v>7034</v>
      </c>
      <c r="AI511" s="3"/>
      <c r="AJ511" s="3" t="s">
        <v>1365</v>
      </c>
      <c r="AK511" s="3"/>
      <c r="AL511" s="3" t="s">
        <v>128</v>
      </c>
      <c r="AM511" s="3" t="s">
        <v>65</v>
      </c>
      <c r="AN511" s="3" t="s">
        <v>83</v>
      </c>
      <c r="AO511" s="4">
        <v>44263.0</v>
      </c>
      <c r="AP511" s="4">
        <v>44263.7271875</v>
      </c>
      <c r="AQ511" s="3" t="s">
        <v>132</v>
      </c>
      <c r="AR511" s="3" t="s">
        <v>247</v>
      </c>
      <c r="AS511" s="3"/>
      <c r="AT511" s="4">
        <v>44281.0337152778</v>
      </c>
    </row>
    <row r="512" ht="15.75" customHeight="1">
      <c r="A512" s="3">
        <v>2044286.0</v>
      </c>
      <c r="B512" s="3" t="s">
        <v>116</v>
      </c>
      <c r="C512" s="3" t="s">
        <v>117</v>
      </c>
      <c r="D512" s="3" t="s">
        <v>46</v>
      </c>
      <c r="E512" s="3" t="s">
        <v>7041</v>
      </c>
      <c r="F512" s="3"/>
      <c r="G512" s="3" t="s">
        <v>119</v>
      </c>
      <c r="H512" s="3" t="s">
        <v>50</v>
      </c>
      <c r="I512" s="3">
        <v>5000.0</v>
      </c>
      <c r="J512" s="3"/>
      <c r="K512" s="3"/>
      <c r="L512" s="3" t="s">
        <v>295</v>
      </c>
      <c r="M512" s="3" t="s">
        <v>7042</v>
      </c>
      <c r="N512" s="3" t="s">
        <v>186</v>
      </c>
      <c r="O512" s="3" t="s">
        <v>302</v>
      </c>
      <c r="P512" s="4">
        <v>44263.4583333333</v>
      </c>
      <c r="Q512" s="3" t="s">
        <v>137</v>
      </c>
      <c r="R512" s="3"/>
      <c r="S512" s="3" t="s">
        <v>288</v>
      </c>
      <c r="T512" s="3">
        <v>2200509.0</v>
      </c>
      <c r="U512" s="3" t="s">
        <v>7043</v>
      </c>
      <c r="V512" s="3" t="s">
        <v>290</v>
      </c>
      <c r="W512" s="3" t="s">
        <v>172</v>
      </c>
      <c r="X512" s="3"/>
      <c r="Y512" s="3" t="str">
        <f>"02020000422202113"</f>
        <v>02020000422202113</v>
      </c>
      <c r="Z512" s="3" t="s">
        <v>306</v>
      </c>
      <c r="AA512" s="3" t="s">
        <v>7044</v>
      </c>
      <c r="AB512" s="3" t="str">
        <f>"01632087000182"</f>
        <v>01632087000182</v>
      </c>
      <c r="AC512" s="3"/>
      <c r="AD512" s="3"/>
      <c r="AE512" s="3"/>
      <c r="AF512" s="3">
        <v>-42.840278</v>
      </c>
      <c r="AG512" s="3">
        <v>-6.264472</v>
      </c>
      <c r="AH512" s="3" t="s">
        <v>7045</v>
      </c>
      <c r="AI512" s="3"/>
      <c r="AJ512" s="3" t="s">
        <v>295</v>
      </c>
      <c r="AK512" s="3"/>
      <c r="AL512" s="3" t="s">
        <v>128</v>
      </c>
      <c r="AM512" s="3" t="s">
        <v>65</v>
      </c>
      <c r="AN512" s="3" t="s">
        <v>66</v>
      </c>
      <c r="AO512" s="4">
        <v>44267.0</v>
      </c>
      <c r="AP512" s="4">
        <v>44267.4905324074</v>
      </c>
      <c r="AQ512" s="3" t="s">
        <v>132</v>
      </c>
      <c r="AR512" s="3" t="s">
        <v>1242</v>
      </c>
      <c r="AS512" s="3"/>
      <c r="AT512" s="4">
        <v>44281.0337152778</v>
      </c>
    </row>
    <row r="513" ht="15.75" customHeight="1">
      <c r="A513" s="3">
        <v>2044128.0</v>
      </c>
      <c r="B513" s="3" t="s">
        <v>116</v>
      </c>
      <c r="C513" s="3" t="s">
        <v>117</v>
      </c>
      <c r="D513" s="3" t="s">
        <v>46</v>
      </c>
      <c r="E513" s="3" t="s">
        <v>7046</v>
      </c>
      <c r="F513" s="3"/>
      <c r="G513" s="3" t="s">
        <v>119</v>
      </c>
      <c r="H513" s="3" t="s">
        <v>72</v>
      </c>
      <c r="I513" s="3">
        <v>4500.0</v>
      </c>
      <c r="J513" s="3"/>
      <c r="K513" s="3"/>
      <c r="L513" s="3" t="s">
        <v>1365</v>
      </c>
      <c r="M513" s="3" t="s">
        <v>7047</v>
      </c>
      <c r="N513" s="3" t="s">
        <v>186</v>
      </c>
      <c r="O513" s="3" t="s">
        <v>95</v>
      </c>
      <c r="P513" s="4">
        <v>44263.4166666667</v>
      </c>
      <c r="Q513" s="3" t="s">
        <v>56</v>
      </c>
      <c r="R513" s="3"/>
      <c r="S513" s="3" t="s">
        <v>475</v>
      </c>
      <c r="T513" s="3">
        <v>3106200.0</v>
      </c>
      <c r="U513" s="3" t="s">
        <v>1441</v>
      </c>
      <c r="V513" s="3" t="s">
        <v>477</v>
      </c>
      <c r="W513" s="3" t="s">
        <v>78</v>
      </c>
      <c r="X513" s="3"/>
      <c r="Y513" s="3" t="str">
        <f>"02015000763202150"</f>
        <v>02015000763202150</v>
      </c>
      <c r="Z513" s="3" t="s">
        <v>101</v>
      </c>
      <c r="AA513" s="3" t="s">
        <v>7033</v>
      </c>
      <c r="AB513" s="3" t="str">
        <f>"31312608000185"</f>
        <v>31312608000185</v>
      </c>
      <c r="AC513" s="3"/>
      <c r="AD513" s="3"/>
      <c r="AE513" s="3"/>
      <c r="AF513" s="3">
        <v>-43.958889</v>
      </c>
      <c r="AG513" s="3">
        <v>-19.907778</v>
      </c>
      <c r="AH513" s="3" t="s">
        <v>7034</v>
      </c>
      <c r="AI513" s="3"/>
      <c r="AJ513" s="3" t="s">
        <v>1365</v>
      </c>
      <c r="AK513" s="3"/>
      <c r="AL513" s="3" t="s">
        <v>128</v>
      </c>
      <c r="AM513" s="3" t="s">
        <v>65</v>
      </c>
      <c r="AN513" s="3" t="s">
        <v>83</v>
      </c>
      <c r="AO513" s="4">
        <v>44263.0</v>
      </c>
      <c r="AP513" s="4">
        <v>44263.7263078704</v>
      </c>
      <c r="AQ513" s="3" t="s">
        <v>132</v>
      </c>
      <c r="AR513" s="3" t="s">
        <v>247</v>
      </c>
      <c r="AS513" s="3"/>
      <c r="AT513" s="4">
        <v>44281.0337152778</v>
      </c>
    </row>
    <row r="514" ht="15.75" customHeight="1">
      <c r="A514" s="3">
        <v>2044199.0</v>
      </c>
      <c r="B514" s="3" t="s">
        <v>116</v>
      </c>
      <c r="C514" s="3" t="s">
        <v>117</v>
      </c>
      <c r="D514" s="3" t="s">
        <v>46</v>
      </c>
      <c r="E514" s="3" t="s">
        <v>7048</v>
      </c>
      <c r="F514" s="3"/>
      <c r="G514" s="3" t="s">
        <v>119</v>
      </c>
      <c r="H514" s="3" t="s">
        <v>50</v>
      </c>
      <c r="I514" s="3">
        <v>1000.0</v>
      </c>
      <c r="J514" s="3"/>
      <c r="K514" s="3"/>
      <c r="L514" s="3" t="s">
        <v>417</v>
      </c>
      <c r="M514" s="3" t="s">
        <v>7049</v>
      </c>
      <c r="N514" s="3" t="s">
        <v>257</v>
      </c>
      <c r="O514" s="3" t="s">
        <v>258</v>
      </c>
      <c r="P514" s="4">
        <v>44263.4166666667</v>
      </c>
      <c r="Q514" s="3" t="s">
        <v>77</v>
      </c>
      <c r="R514" s="5">
        <v>44263.0</v>
      </c>
      <c r="S514" s="3" t="s">
        <v>412</v>
      </c>
      <c r="T514" s="3">
        <v>2704302.0</v>
      </c>
      <c r="U514" s="3" t="s">
        <v>3954</v>
      </c>
      <c r="V514" s="3" t="s">
        <v>414</v>
      </c>
      <c r="W514" s="3" t="s">
        <v>78</v>
      </c>
      <c r="X514" s="3"/>
      <c r="Y514" s="3" t="str">
        <f>"02003000251202122"</f>
        <v>02003000251202122</v>
      </c>
      <c r="Z514" s="3" t="s">
        <v>260</v>
      </c>
      <c r="AA514" s="3" t="s">
        <v>7050</v>
      </c>
      <c r="AB514" s="3" t="str">
        <f>"***524804**"</f>
        <v>***524804**</v>
      </c>
      <c r="AC514" s="3"/>
      <c r="AD514" s="3"/>
      <c r="AE514" s="3"/>
      <c r="AF514" s="3">
        <v>-35.721111</v>
      </c>
      <c r="AG514" s="3">
        <v>-9.640833</v>
      </c>
      <c r="AH514" s="3" t="s">
        <v>7051</v>
      </c>
      <c r="AI514" s="3"/>
      <c r="AJ514" s="3" t="s">
        <v>417</v>
      </c>
      <c r="AK514" s="3"/>
      <c r="AL514" s="3" t="s">
        <v>128</v>
      </c>
      <c r="AM514" s="3" t="s">
        <v>65</v>
      </c>
      <c r="AN514" s="3" t="s">
        <v>274</v>
      </c>
      <c r="AO514" s="4">
        <v>44265.0</v>
      </c>
      <c r="AP514" s="4">
        <v>44265.3950347222</v>
      </c>
      <c r="AQ514" s="3" t="s">
        <v>132</v>
      </c>
      <c r="AR514" s="3" t="s">
        <v>2824</v>
      </c>
      <c r="AS514" s="3"/>
      <c r="AT514" s="4">
        <v>44281.0337152778</v>
      </c>
    </row>
    <row r="515" ht="15.75" customHeight="1">
      <c r="A515" s="3">
        <v>2044295.0</v>
      </c>
      <c r="B515" s="3" t="s">
        <v>116</v>
      </c>
      <c r="C515" s="3" t="s">
        <v>117</v>
      </c>
      <c r="D515" s="3" t="s">
        <v>46</v>
      </c>
      <c r="E515" s="3" t="s">
        <v>7052</v>
      </c>
      <c r="F515" s="3"/>
      <c r="G515" s="3" t="s">
        <v>119</v>
      </c>
      <c r="H515" s="3" t="s">
        <v>72</v>
      </c>
      <c r="I515" s="3">
        <v>5500.0</v>
      </c>
      <c r="J515" s="3"/>
      <c r="K515" s="3"/>
      <c r="L515" s="3" t="s">
        <v>226</v>
      </c>
      <c r="M515" s="3" t="s">
        <v>7053</v>
      </c>
      <c r="N515" s="3" t="s">
        <v>109</v>
      </c>
      <c r="O515" s="3" t="s">
        <v>110</v>
      </c>
      <c r="P515" s="4">
        <v>44263.4166666667</v>
      </c>
      <c r="Q515" s="3" t="s">
        <v>77</v>
      </c>
      <c r="R515" s="5">
        <v>44263.0</v>
      </c>
      <c r="S515" s="3" t="s">
        <v>784</v>
      </c>
      <c r="T515" s="3">
        <v>4215703.0</v>
      </c>
      <c r="U515" s="3" t="s">
        <v>7054</v>
      </c>
      <c r="V515" s="3" t="s">
        <v>222</v>
      </c>
      <c r="W515" s="3" t="s">
        <v>78</v>
      </c>
      <c r="X515" s="3"/>
      <c r="Y515" s="3" t="str">
        <f>"02026000713202143"</f>
        <v>02026000713202143</v>
      </c>
      <c r="Z515" s="3" t="s">
        <v>112</v>
      </c>
      <c r="AA515" s="3" t="s">
        <v>7055</v>
      </c>
      <c r="AB515" s="3" t="str">
        <f>"***439139**"</f>
        <v>***439139**</v>
      </c>
      <c r="AC515" s="3"/>
      <c r="AD515" s="3"/>
      <c r="AE515" s="3"/>
      <c r="AF515" s="3">
        <v>-48.724167</v>
      </c>
      <c r="AG515" s="3">
        <v>-27.725278</v>
      </c>
      <c r="AH515" s="3" t="s">
        <v>7056</v>
      </c>
      <c r="AI515" s="3"/>
      <c r="AJ515" s="3" t="s">
        <v>226</v>
      </c>
      <c r="AK515" s="3"/>
      <c r="AL515" s="3" t="s">
        <v>128</v>
      </c>
      <c r="AM515" s="3" t="s">
        <v>65</v>
      </c>
      <c r="AN515" s="3" t="s">
        <v>227</v>
      </c>
      <c r="AO515" s="4">
        <v>44267.0</v>
      </c>
      <c r="AP515" s="4">
        <v>44267.645150463</v>
      </c>
      <c r="AQ515" s="3" t="s">
        <v>132</v>
      </c>
      <c r="AR515" s="3" t="s">
        <v>1545</v>
      </c>
      <c r="AS515" s="3" t="s">
        <v>7057</v>
      </c>
      <c r="AT515" s="4">
        <v>44281.0337152778</v>
      </c>
    </row>
    <row r="516" ht="15.75" customHeight="1">
      <c r="A516" s="3">
        <v>2044281.0</v>
      </c>
      <c r="B516" s="3" t="s">
        <v>116</v>
      </c>
      <c r="C516" s="3" t="s">
        <v>117</v>
      </c>
      <c r="D516" s="3" t="s">
        <v>46</v>
      </c>
      <c r="E516" s="3" t="s">
        <v>7058</v>
      </c>
      <c r="F516" s="3"/>
      <c r="G516" s="3" t="s">
        <v>119</v>
      </c>
      <c r="H516" s="3" t="s">
        <v>50</v>
      </c>
      <c r="I516" s="3">
        <v>100500.0</v>
      </c>
      <c r="J516" s="3"/>
      <c r="K516" s="3"/>
      <c r="L516" s="3" t="s">
        <v>120</v>
      </c>
      <c r="M516" s="3" t="s">
        <v>7059</v>
      </c>
      <c r="N516" s="3" t="s">
        <v>53</v>
      </c>
      <c r="O516" s="3" t="s">
        <v>333</v>
      </c>
      <c r="P516" s="4">
        <v>44263.2916666667</v>
      </c>
      <c r="Q516" s="3" t="s">
        <v>56</v>
      </c>
      <c r="R516" s="3"/>
      <c r="S516" s="3" t="s">
        <v>220</v>
      </c>
      <c r="T516" s="3">
        <v>3304557.0</v>
      </c>
      <c r="U516" s="3" t="s">
        <v>1740</v>
      </c>
      <c r="V516" s="3" t="s">
        <v>1741</v>
      </c>
      <c r="W516" s="3" t="s">
        <v>78</v>
      </c>
      <c r="X516" s="3"/>
      <c r="Y516" s="3" t="str">
        <f>"02001005099202194"</f>
        <v>02001005099202194</v>
      </c>
      <c r="Z516" s="3" t="s">
        <v>223</v>
      </c>
      <c r="AA516" s="3" t="s">
        <v>7060</v>
      </c>
      <c r="AB516" s="3" t="str">
        <f>"05482692000175"</f>
        <v>05482692000175</v>
      </c>
      <c r="AC516" s="3"/>
      <c r="AD516" s="3"/>
      <c r="AE516" s="3"/>
      <c r="AF516" s="3">
        <v>-44.040278</v>
      </c>
      <c r="AG516" s="3">
        <v>-22.9425</v>
      </c>
      <c r="AH516" s="3" t="s">
        <v>7061</v>
      </c>
      <c r="AI516" s="3"/>
      <c r="AJ516" s="3" t="s">
        <v>120</v>
      </c>
      <c r="AK516" s="3"/>
      <c r="AL516" s="3" t="s">
        <v>128</v>
      </c>
      <c r="AM516" s="3" t="s">
        <v>65</v>
      </c>
      <c r="AN516" s="3" t="s">
        <v>66</v>
      </c>
      <c r="AO516" s="4">
        <v>44266.0</v>
      </c>
      <c r="AP516" s="4">
        <v>44266.8500115741</v>
      </c>
      <c r="AQ516" s="3" t="s">
        <v>132</v>
      </c>
      <c r="AR516" s="3" t="s">
        <v>1242</v>
      </c>
      <c r="AS516" s="3"/>
      <c r="AT516" s="4">
        <v>44281.0337152778</v>
      </c>
    </row>
    <row r="517" ht="15.75" customHeight="1">
      <c r="A517" s="3">
        <v>2044398.0</v>
      </c>
      <c r="B517" s="3" t="s">
        <v>116</v>
      </c>
      <c r="C517" s="3" t="s">
        <v>117</v>
      </c>
      <c r="D517" s="3" t="s">
        <v>46</v>
      </c>
      <c r="E517" s="3" t="s">
        <v>7062</v>
      </c>
      <c r="F517" s="3"/>
      <c r="G517" s="3" t="s">
        <v>119</v>
      </c>
      <c r="H517" s="3" t="s">
        <v>50</v>
      </c>
      <c r="I517" s="3">
        <v>26900.0</v>
      </c>
      <c r="J517" s="3"/>
      <c r="K517" s="3"/>
      <c r="L517" s="3" t="s">
        <v>405</v>
      </c>
      <c r="M517" s="3" t="s">
        <v>7063</v>
      </c>
      <c r="N517" s="3" t="s">
        <v>74</v>
      </c>
      <c r="O517" s="3" t="s">
        <v>75</v>
      </c>
      <c r="P517" s="4">
        <v>44263.2916666667</v>
      </c>
      <c r="Q517" s="3" t="s">
        <v>56</v>
      </c>
      <c r="R517" s="3"/>
      <c r="S517" s="3" t="s">
        <v>400</v>
      </c>
      <c r="T517" s="3">
        <v>4313508.0</v>
      </c>
      <c r="U517" s="3" t="s">
        <v>5094</v>
      </c>
      <c r="V517" s="3" t="s">
        <v>402</v>
      </c>
      <c r="W517" s="3" t="s">
        <v>60</v>
      </c>
      <c r="X517" s="3"/>
      <c r="Y517" s="3"/>
      <c r="Z517" s="3" t="s">
        <v>79</v>
      </c>
      <c r="AA517" s="3" t="s">
        <v>7064</v>
      </c>
      <c r="AB517" s="3" t="str">
        <f>"***219620**"</f>
        <v>***219620**</v>
      </c>
      <c r="AC517" s="3"/>
      <c r="AD517" s="3"/>
      <c r="AE517" s="3"/>
      <c r="AF517" s="3">
        <v>-50.192778</v>
      </c>
      <c r="AG517" s="3">
        <v>-29.9825</v>
      </c>
      <c r="AH517" s="3" t="s">
        <v>7065</v>
      </c>
      <c r="AI517" s="3"/>
      <c r="AJ517" s="3" t="s">
        <v>405</v>
      </c>
      <c r="AK517" s="3"/>
      <c r="AL517" s="3" t="s">
        <v>128</v>
      </c>
      <c r="AM517" s="3" t="s">
        <v>65</v>
      </c>
      <c r="AN517" s="3"/>
      <c r="AO517" s="4">
        <v>44271.0</v>
      </c>
      <c r="AP517" s="4">
        <v>44271.4304050926</v>
      </c>
      <c r="AQ517" s="3" t="s">
        <v>132</v>
      </c>
      <c r="AR517" s="3" t="s">
        <v>1046</v>
      </c>
      <c r="AS517" s="3" t="s">
        <v>2777</v>
      </c>
      <c r="AT517" s="4">
        <v>44281.0337152778</v>
      </c>
    </row>
    <row r="518" ht="15.75" customHeight="1">
      <c r="A518" s="3">
        <v>2044162.0</v>
      </c>
      <c r="B518" s="3" t="s">
        <v>116</v>
      </c>
      <c r="C518" s="3" t="s">
        <v>117</v>
      </c>
      <c r="D518" s="3" t="s">
        <v>46</v>
      </c>
      <c r="E518" s="3" t="s">
        <v>7066</v>
      </c>
      <c r="F518" s="3"/>
      <c r="G518" s="3" t="s">
        <v>119</v>
      </c>
      <c r="H518" s="3" t="s">
        <v>50</v>
      </c>
      <c r="I518" s="3">
        <v>100500.0</v>
      </c>
      <c r="J518" s="3"/>
      <c r="K518" s="3"/>
      <c r="L518" s="3" t="s">
        <v>120</v>
      </c>
      <c r="M518" s="3" t="s">
        <v>7059</v>
      </c>
      <c r="N518" s="3" t="s">
        <v>186</v>
      </c>
      <c r="O518" s="3" t="s">
        <v>302</v>
      </c>
      <c r="P518" s="4">
        <v>44263.25</v>
      </c>
      <c r="Q518" s="3" t="s">
        <v>56</v>
      </c>
      <c r="R518" s="3"/>
      <c r="S518" s="3" t="s">
        <v>169</v>
      </c>
      <c r="T518" s="3">
        <v>5300108.0</v>
      </c>
      <c r="U518" s="3" t="s">
        <v>304</v>
      </c>
      <c r="V518" s="3" t="s">
        <v>305</v>
      </c>
      <c r="W518" s="3" t="s">
        <v>78</v>
      </c>
      <c r="X518" s="3"/>
      <c r="Y518" s="3" t="str">
        <f>"02001004792202140"</f>
        <v>02001004792202140</v>
      </c>
      <c r="Z518" s="3" t="s">
        <v>306</v>
      </c>
      <c r="AA518" s="3" t="s">
        <v>7060</v>
      </c>
      <c r="AB518" s="3" t="str">
        <f>"05482692000175"</f>
        <v>05482692000175</v>
      </c>
      <c r="AC518" s="3"/>
      <c r="AD518" s="3"/>
      <c r="AE518" s="3"/>
      <c r="AF518" s="3">
        <v>-47.882778</v>
      </c>
      <c r="AG518" s="3">
        <v>-15.800556</v>
      </c>
      <c r="AH518" s="3" t="s">
        <v>7067</v>
      </c>
      <c r="AI518" s="3"/>
      <c r="AJ518" s="3" t="s">
        <v>120</v>
      </c>
      <c r="AK518" s="3"/>
      <c r="AL518" s="3" t="s">
        <v>128</v>
      </c>
      <c r="AM518" s="3" t="s">
        <v>65</v>
      </c>
      <c r="AN518" s="3" t="s">
        <v>66</v>
      </c>
      <c r="AO518" s="4">
        <v>44264.0</v>
      </c>
      <c r="AP518" s="4">
        <v>44264.492025463</v>
      </c>
      <c r="AQ518" s="3" t="s">
        <v>132</v>
      </c>
      <c r="AR518" s="3" t="s">
        <v>1242</v>
      </c>
      <c r="AS518" s="3"/>
      <c r="AT518" s="4">
        <v>44281.0337152778</v>
      </c>
    </row>
    <row r="519" ht="15.75" customHeight="1">
      <c r="A519" s="3">
        <v>2044261.0</v>
      </c>
      <c r="B519" s="3" t="s">
        <v>116</v>
      </c>
      <c r="C519" s="3" t="s">
        <v>117</v>
      </c>
      <c r="D519" s="3" t="s">
        <v>46</v>
      </c>
      <c r="E519" s="3" t="s">
        <v>7068</v>
      </c>
      <c r="F519" s="3"/>
      <c r="G519" s="3" t="s">
        <v>119</v>
      </c>
      <c r="H519" s="3" t="s">
        <v>50</v>
      </c>
      <c r="I519" s="3">
        <v>1500.0</v>
      </c>
      <c r="J519" s="3"/>
      <c r="K519" s="3"/>
      <c r="L519" s="3" t="s">
        <v>295</v>
      </c>
      <c r="M519" s="3" t="s">
        <v>7069</v>
      </c>
      <c r="N519" s="3" t="s">
        <v>53</v>
      </c>
      <c r="O519" s="3" t="s">
        <v>333</v>
      </c>
      <c r="P519" s="4">
        <v>44262.7083333333</v>
      </c>
      <c r="Q519" s="3" t="s">
        <v>137</v>
      </c>
      <c r="R519" s="3"/>
      <c r="S519" s="3" t="s">
        <v>220</v>
      </c>
      <c r="T519" s="3">
        <v>2207702.0</v>
      </c>
      <c r="U519" s="3" t="s">
        <v>7070</v>
      </c>
      <c r="V519" s="3" t="s">
        <v>290</v>
      </c>
      <c r="W519" s="3" t="s">
        <v>291</v>
      </c>
      <c r="X519" s="3"/>
      <c r="Y519" s="3" t="str">
        <f>"02020000415202111"</f>
        <v>02020000415202111</v>
      </c>
      <c r="Z519" s="3" t="s">
        <v>223</v>
      </c>
      <c r="AA519" s="3" t="s">
        <v>7071</v>
      </c>
      <c r="AB519" s="3" t="str">
        <f>"19508136000135"</f>
        <v>19508136000135</v>
      </c>
      <c r="AC519" s="3"/>
      <c r="AD519" s="3"/>
      <c r="AE519" s="3"/>
      <c r="AF519" s="3">
        <v>-41.761111</v>
      </c>
      <c r="AG519" s="3">
        <v>-2.916667</v>
      </c>
      <c r="AH519" s="3" t="s">
        <v>7072</v>
      </c>
      <c r="AI519" s="3"/>
      <c r="AJ519" s="3" t="s">
        <v>295</v>
      </c>
      <c r="AK519" s="3"/>
      <c r="AL519" s="3" t="s">
        <v>128</v>
      </c>
      <c r="AM519" s="3" t="s">
        <v>65</v>
      </c>
      <c r="AN519" s="3" t="s">
        <v>296</v>
      </c>
      <c r="AO519" s="4">
        <v>44266.0</v>
      </c>
      <c r="AP519" s="4">
        <v>44266.6538888889</v>
      </c>
      <c r="AQ519" s="3" t="s">
        <v>132</v>
      </c>
      <c r="AR519" s="3" t="s">
        <v>247</v>
      </c>
      <c r="AS519" s="3"/>
      <c r="AT519" s="4">
        <v>44281.0337152778</v>
      </c>
    </row>
    <row r="520" ht="15.75" customHeight="1">
      <c r="A520" s="3">
        <v>2044210.0</v>
      </c>
      <c r="B520" s="3" t="s">
        <v>116</v>
      </c>
      <c r="C520" s="3" t="s">
        <v>117</v>
      </c>
      <c r="D520" s="3" t="s">
        <v>46</v>
      </c>
      <c r="E520" s="3" t="s">
        <v>7073</v>
      </c>
      <c r="F520" s="3"/>
      <c r="G520" s="3" t="s">
        <v>119</v>
      </c>
      <c r="H520" s="3" t="s">
        <v>72</v>
      </c>
      <c r="I520" s="3">
        <v>25000.0</v>
      </c>
      <c r="J520" s="3"/>
      <c r="K520" s="3"/>
      <c r="L520" s="3" t="s">
        <v>120</v>
      </c>
      <c r="M520" s="3" t="s">
        <v>7074</v>
      </c>
      <c r="N520" s="3" t="s">
        <v>109</v>
      </c>
      <c r="O520" s="3" t="s">
        <v>110</v>
      </c>
      <c r="P520" s="4">
        <v>44261.6666666667</v>
      </c>
      <c r="Q520" s="3" t="s">
        <v>56</v>
      </c>
      <c r="R520" s="3"/>
      <c r="S520" s="3" t="s">
        <v>220</v>
      </c>
      <c r="T520" s="3">
        <v>1505031.0</v>
      </c>
      <c r="U520" s="3" t="s">
        <v>5077</v>
      </c>
      <c r="V520" s="3" t="s">
        <v>917</v>
      </c>
      <c r="W520" s="3" t="s">
        <v>100</v>
      </c>
      <c r="X520" s="3"/>
      <c r="Y520" s="3" t="str">
        <f>"02001004883202185"</f>
        <v>02001004883202185</v>
      </c>
      <c r="Z520" s="3" t="s">
        <v>112</v>
      </c>
      <c r="AA520" s="3" t="s">
        <v>7075</v>
      </c>
      <c r="AB520" s="3" t="str">
        <f>"***393782**"</f>
        <v>***393782**</v>
      </c>
      <c r="AC520" s="3"/>
      <c r="AD520" s="3"/>
      <c r="AE520" s="3"/>
      <c r="AF520" s="3">
        <v>-55.135</v>
      </c>
      <c r="AG520" s="3">
        <v>-7.580833</v>
      </c>
      <c r="AH520" s="3" t="s">
        <v>7076</v>
      </c>
      <c r="AI520" s="3"/>
      <c r="AJ520" s="3" t="s">
        <v>120</v>
      </c>
      <c r="AK520" s="3"/>
      <c r="AL520" s="3" t="s">
        <v>128</v>
      </c>
      <c r="AM520" s="3" t="s">
        <v>65</v>
      </c>
      <c r="AN520" s="3" t="s">
        <v>6870</v>
      </c>
      <c r="AO520" s="4">
        <v>44265.0</v>
      </c>
      <c r="AP520" s="4">
        <v>44265.4449305556</v>
      </c>
      <c r="AQ520" s="3" t="s">
        <v>132</v>
      </c>
      <c r="AR520" s="3" t="s">
        <v>3557</v>
      </c>
      <c r="AS520" s="3" t="s">
        <v>7077</v>
      </c>
      <c r="AT520" s="4">
        <v>44281.0337152778</v>
      </c>
    </row>
    <row r="521" ht="15.75" customHeight="1">
      <c r="A521" s="3"/>
      <c r="B521" s="3" t="s">
        <v>46</v>
      </c>
      <c r="C521" s="3" t="s">
        <v>571</v>
      </c>
      <c r="D521" s="3" t="s">
        <v>116</v>
      </c>
      <c r="E521" s="3" t="s">
        <v>7078</v>
      </c>
      <c r="F521" s="3"/>
      <c r="G521" s="3" t="s">
        <v>49</v>
      </c>
      <c r="H521" s="3" t="s">
        <v>72</v>
      </c>
      <c r="I521" s="3">
        <v>560000.0</v>
      </c>
      <c r="J521" s="3"/>
      <c r="K521" s="3"/>
      <c r="L521" s="3"/>
      <c r="M521" s="3" t="s">
        <v>7079</v>
      </c>
      <c r="N521" s="3" t="s">
        <v>109</v>
      </c>
      <c r="O521" s="3" t="s">
        <v>110</v>
      </c>
      <c r="P521" s="4">
        <v>44261.4955208333</v>
      </c>
      <c r="Q521" s="3" t="s">
        <v>56</v>
      </c>
      <c r="R521" s="3"/>
      <c r="S521" s="3" t="s">
        <v>241</v>
      </c>
      <c r="T521" s="3">
        <v>1505031.0</v>
      </c>
      <c r="U521" s="3" t="s">
        <v>5077</v>
      </c>
      <c r="V521" s="3" t="s">
        <v>917</v>
      </c>
      <c r="W521" s="3" t="s">
        <v>100</v>
      </c>
      <c r="X521" s="3"/>
      <c r="Y521" s="3"/>
      <c r="Z521" s="3" t="s">
        <v>112</v>
      </c>
      <c r="AA521" s="3" t="s">
        <v>7080</v>
      </c>
      <c r="AB521" s="3" t="str">
        <f>"***512812**"</f>
        <v>***512812**</v>
      </c>
      <c r="AC521" s="3"/>
      <c r="AD521" s="3" t="s">
        <v>325</v>
      </c>
      <c r="AE521" s="3"/>
      <c r="AF521" s="3">
        <v>-55.243889</v>
      </c>
      <c r="AG521" s="3">
        <v>-7.798056</v>
      </c>
      <c r="AH521" s="3" t="s">
        <v>7081</v>
      </c>
      <c r="AI521" s="3"/>
      <c r="AJ521" s="3" t="s">
        <v>120</v>
      </c>
      <c r="AK521" s="3"/>
      <c r="AL521" s="3"/>
      <c r="AM521" s="3" t="s">
        <v>65</v>
      </c>
      <c r="AN521" s="3" t="s">
        <v>6870</v>
      </c>
      <c r="AO521" s="3"/>
      <c r="AP521" s="4">
        <v>44264.3706944445</v>
      </c>
      <c r="AQ521" s="3"/>
      <c r="AR521" s="3" t="s">
        <v>991</v>
      </c>
      <c r="AS521" s="3" t="s">
        <v>7082</v>
      </c>
      <c r="AT521" s="4">
        <v>44281.0337152778</v>
      </c>
    </row>
    <row r="522" ht="15.75" customHeight="1">
      <c r="A522" s="3"/>
      <c r="B522" s="3" t="s">
        <v>46</v>
      </c>
      <c r="C522" s="3" t="s">
        <v>47</v>
      </c>
      <c r="D522" s="3"/>
      <c r="E522" s="3" t="s">
        <v>7083</v>
      </c>
      <c r="F522" s="3"/>
      <c r="G522" s="3" t="s">
        <v>49</v>
      </c>
      <c r="H522" s="3" t="s">
        <v>50</v>
      </c>
      <c r="I522" s="3">
        <v>52500.0</v>
      </c>
      <c r="J522" s="3"/>
      <c r="K522" s="3"/>
      <c r="L522" s="3"/>
      <c r="M522" s="3" t="s">
        <v>7084</v>
      </c>
      <c r="N522" s="3" t="s">
        <v>186</v>
      </c>
      <c r="O522" s="3" t="s">
        <v>187</v>
      </c>
      <c r="P522" s="4">
        <v>44261.4697916667</v>
      </c>
      <c r="Q522" s="3" t="s">
        <v>56</v>
      </c>
      <c r="R522" s="3"/>
      <c r="S522" s="3" t="s">
        <v>123</v>
      </c>
      <c r="T522" s="3">
        <v>1100288.0</v>
      </c>
      <c r="U522" s="3" t="s">
        <v>423</v>
      </c>
      <c r="V522" s="3" t="s">
        <v>125</v>
      </c>
      <c r="W522" s="3" t="s">
        <v>100</v>
      </c>
      <c r="X522" s="3"/>
      <c r="Y522" s="3" t="str">
        <f>"02502000089202111"</f>
        <v>02502000089202111</v>
      </c>
      <c r="Z522" s="3"/>
      <c r="AA522" s="3" t="s">
        <v>424</v>
      </c>
      <c r="AB522" s="3" t="str">
        <f>"12535196000106"</f>
        <v>12535196000106</v>
      </c>
      <c r="AC522" s="3"/>
      <c r="AD522" s="3" t="s">
        <v>62</v>
      </c>
      <c r="AE522" s="3"/>
      <c r="AF522" s="3">
        <v>-61.923611</v>
      </c>
      <c r="AG522" s="3">
        <v>-10.881111</v>
      </c>
      <c r="AH522" s="3" t="s">
        <v>7085</v>
      </c>
      <c r="AI522" s="3"/>
      <c r="AJ522" s="3" t="s">
        <v>158</v>
      </c>
      <c r="AK522" s="3"/>
      <c r="AL522" s="3"/>
      <c r="AM522" s="3" t="s">
        <v>65</v>
      </c>
      <c r="AN522" s="3" t="s">
        <v>159</v>
      </c>
      <c r="AO522" s="3"/>
      <c r="AP522" s="4">
        <v>44264.7896296296</v>
      </c>
      <c r="AQ522" s="3"/>
      <c r="AR522" s="3" t="s">
        <v>106</v>
      </c>
      <c r="AS522" s="3"/>
      <c r="AT522" s="4">
        <v>44281.0337152778</v>
      </c>
    </row>
    <row r="523" ht="15.75" customHeight="1">
      <c r="A523" s="3">
        <v>2044671.0</v>
      </c>
      <c r="B523" s="3" t="s">
        <v>116</v>
      </c>
      <c r="C523" s="3" t="s">
        <v>117</v>
      </c>
      <c r="D523" s="3" t="s">
        <v>46</v>
      </c>
      <c r="E523" s="3" t="s">
        <v>7086</v>
      </c>
      <c r="F523" s="3"/>
      <c r="G523" s="3" t="s">
        <v>119</v>
      </c>
      <c r="H523" s="3" t="s">
        <v>72</v>
      </c>
      <c r="I523" s="3">
        <v>6061.89</v>
      </c>
      <c r="J523" s="3"/>
      <c r="K523" s="3"/>
      <c r="L523" s="3" t="s">
        <v>452</v>
      </c>
      <c r="M523" s="3" t="s">
        <v>7087</v>
      </c>
      <c r="N523" s="3" t="s">
        <v>109</v>
      </c>
      <c r="O523" s="3" t="s">
        <v>110</v>
      </c>
      <c r="P523" s="4">
        <v>44261.4583333333</v>
      </c>
      <c r="Q523" s="3" t="s">
        <v>77</v>
      </c>
      <c r="R523" s="5">
        <v>44261.0</v>
      </c>
      <c r="S523" s="3" t="s">
        <v>220</v>
      </c>
      <c r="T523" s="3">
        <v>2100055.0</v>
      </c>
      <c r="U523" s="3" t="s">
        <v>1291</v>
      </c>
      <c r="V523" s="3" t="s">
        <v>449</v>
      </c>
      <c r="W523" s="3" t="s">
        <v>100</v>
      </c>
      <c r="X523" s="3"/>
      <c r="Y523" s="3" t="str">
        <f>"02012000515202139"</f>
        <v>02012000515202139</v>
      </c>
      <c r="Z523" s="3" t="s">
        <v>112</v>
      </c>
      <c r="AA523" s="3" t="s">
        <v>7088</v>
      </c>
      <c r="AB523" s="3" t="str">
        <f>"***422869**"</f>
        <v>***422869**</v>
      </c>
      <c r="AC523" s="3"/>
      <c r="AD523" s="3"/>
      <c r="AE523" s="3"/>
      <c r="AF523" s="3">
        <v>-47.439722</v>
      </c>
      <c r="AG523" s="3">
        <v>-4.925833</v>
      </c>
      <c r="AH523" s="3" t="s">
        <v>7089</v>
      </c>
      <c r="AI523" s="3"/>
      <c r="AJ523" s="3" t="s">
        <v>452</v>
      </c>
      <c r="AK523" s="3"/>
      <c r="AL523" s="3" t="s">
        <v>128</v>
      </c>
      <c r="AM523" s="3" t="s">
        <v>65</v>
      </c>
      <c r="AN523" s="3"/>
      <c r="AO523" s="4">
        <v>44279.0</v>
      </c>
      <c r="AP523" s="4">
        <v>44279.6277893519</v>
      </c>
      <c r="AQ523" s="3" t="s">
        <v>132</v>
      </c>
      <c r="AR523" s="3" t="s">
        <v>2807</v>
      </c>
      <c r="AS523" s="3" t="s">
        <v>7090</v>
      </c>
      <c r="AT523" s="4">
        <v>44281.0337152778</v>
      </c>
    </row>
    <row r="524" ht="15.75" customHeight="1">
      <c r="A524" s="3">
        <v>2044202.0</v>
      </c>
      <c r="B524" s="3" t="s">
        <v>116</v>
      </c>
      <c r="C524" s="3" t="s">
        <v>117</v>
      </c>
      <c r="D524" s="3" t="s">
        <v>46</v>
      </c>
      <c r="E524" s="3" t="s">
        <v>7091</v>
      </c>
      <c r="F524" s="3"/>
      <c r="G524" s="3" t="s">
        <v>119</v>
      </c>
      <c r="H524" s="3" t="s">
        <v>72</v>
      </c>
      <c r="I524" s="3">
        <v>15000.0</v>
      </c>
      <c r="J524" s="3"/>
      <c r="K524" s="3"/>
      <c r="L524" s="3" t="s">
        <v>120</v>
      </c>
      <c r="M524" s="3" t="s">
        <v>7092</v>
      </c>
      <c r="N524" s="3" t="s">
        <v>109</v>
      </c>
      <c r="O524" s="3" t="s">
        <v>110</v>
      </c>
      <c r="P524" s="4">
        <v>44260.75</v>
      </c>
      <c r="Q524" s="3" t="s">
        <v>56</v>
      </c>
      <c r="R524" s="5">
        <v>44263.0</v>
      </c>
      <c r="S524" s="3" t="s">
        <v>915</v>
      </c>
      <c r="T524" s="3">
        <v>1505031.0</v>
      </c>
      <c r="U524" s="3" t="s">
        <v>5077</v>
      </c>
      <c r="V524" s="3" t="s">
        <v>917</v>
      </c>
      <c r="W524" s="3" t="s">
        <v>100</v>
      </c>
      <c r="X524" s="3"/>
      <c r="Y524" s="3" t="str">
        <f>"02001004868202137"</f>
        <v>02001004868202137</v>
      </c>
      <c r="Z524" s="3" t="s">
        <v>112</v>
      </c>
      <c r="AA524" s="3" t="s">
        <v>7093</v>
      </c>
      <c r="AB524" s="3" t="str">
        <f>"***615032**"</f>
        <v>***615032**</v>
      </c>
      <c r="AC524" s="3"/>
      <c r="AD524" s="3"/>
      <c r="AE524" s="3"/>
      <c r="AF524" s="3">
        <v>-55.135556</v>
      </c>
      <c r="AG524" s="3">
        <v>-7.584722</v>
      </c>
      <c r="AH524" s="3" t="s">
        <v>7094</v>
      </c>
      <c r="AI524" s="3"/>
      <c r="AJ524" s="3" t="s">
        <v>120</v>
      </c>
      <c r="AK524" s="3"/>
      <c r="AL524" s="3" t="s">
        <v>128</v>
      </c>
      <c r="AM524" s="3" t="s">
        <v>65</v>
      </c>
      <c r="AN524" s="3" t="s">
        <v>6870</v>
      </c>
      <c r="AO524" s="4">
        <v>44265.0</v>
      </c>
      <c r="AP524" s="4">
        <v>44265.3961689815</v>
      </c>
      <c r="AQ524" s="3" t="s">
        <v>132</v>
      </c>
      <c r="AR524" s="3" t="s">
        <v>3557</v>
      </c>
      <c r="AS524" s="3" t="s">
        <v>7095</v>
      </c>
      <c r="AT524" s="4">
        <v>44281.0337152778</v>
      </c>
    </row>
    <row r="525" ht="15.75" customHeight="1">
      <c r="A525" s="3"/>
      <c r="B525" s="3" t="s">
        <v>46</v>
      </c>
      <c r="C525" s="3" t="s">
        <v>47</v>
      </c>
      <c r="D525" s="3"/>
      <c r="E525" s="3" t="s">
        <v>7096</v>
      </c>
      <c r="F525" s="3"/>
      <c r="G525" s="3" t="s">
        <v>49</v>
      </c>
      <c r="H525" s="3" t="s">
        <v>50</v>
      </c>
      <c r="I525" s="3">
        <v>30000.0</v>
      </c>
      <c r="J525" s="3"/>
      <c r="K525" s="3" t="s">
        <v>92</v>
      </c>
      <c r="L525" s="3"/>
      <c r="M525" s="3" t="s">
        <v>7097</v>
      </c>
      <c r="N525" s="3" t="s">
        <v>301</v>
      </c>
      <c r="O525" s="3" t="s">
        <v>302</v>
      </c>
      <c r="P525" s="4">
        <v>44260.7236111111</v>
      </c>
      <c r="Q525" s="3" t="s">
        <v>77</v>
      </c>
      <c r="R525" s="3"/>
      <c r="S525" s="3" t="s">
        <v>220</v>
      </c>
      <c r="T525" s="3">
        <v>1507805.0</v>
      </c>
      <c r="U525" s="3" t="s">
        <v>5222</v>
      </c>
      <c r="V525" s="3" t="s">
        <v>917</v>
      </c>
      <c r="W525" s="3" t="s">
        <v>100</v>
      </c>
      <c r="X525" s="3"/>
      <c r="Y525" s="3" t="str">
        <f>"02001005413202139"</f>
        <v>02001005413202139</v>
      </c>
      <c r="Z525" s="3" t="s">
        <v>306</v>
      </c>
      <c r="AA525" s="3" t="s">
        <v>7098</v>
      </c>
      <c r="AB525" s="3"/>
      <c r="AC525" s="3"/>
      <c r="AD525" s="3" t="s">
        <v>81</v>
      </c>
      <c r="AE525" s="3"/>
      <c r="AF525" s="3">
        <v>-51.781111</v>
      </c>
      <c r="AG525" s="3">
        <v>-3.579444</v>
      </c>
      <c r="AH525" s="3" t="s">
        <v>7099</v>
      </c>
      <c r="AI525" s="3"/>
      <c r="AJ525" s="3" t="s">
        <v>120</v>
      </c>
      <c r="AK525" s="3"/>
      <c r="AL525" s="3"/>
      <c r="AM525" s="3" t="s">
        <v>65</v>
      </c>
      <c r="AN525" s="3" t="s">
        <v>6041</v>
      </c>
      <c r="AO525" s="3"/>
      <c r="AP525" s="4">
        <v>44266.4485763889</v>
      </c>
      <c r="AQ525" s="3"/>
      <c r="AR525" s="3" t="s">
        <v>310</v>
      </c>
      <c r="AS525" s="3"/>
      <c r="AT525" s="4">
        <v>44281.0337152778</v>
      </c>
    </row>
    <row r="526" ht="15.75" customHeight="1">
      <c r="A526" s="3"/>
      <c r="B526" s="3" t="s">
        <v>46</v>
      </c>
      <c r="C526" s="3" t="s">
        <v>47</v>
      </c>
      <c r="D526" s="3"/>
      <c r="E526" s="3" t="s">
        <v>7100</v>
      </c>
      <c r="F526" s="3"/>
      <c r="G526" s="3" t="s">
        <v>49</v>
      </c>
      <c r="H526" s="3" t="s">
        <v>72</v>
      </c>
      <c r="I526" s="3">
        <v>399000.0</v>
      </c>
      <c r="J526" s="3"/>
      <c r="K526" s="3"/>
      <c r="L526" s="3"/>
      <c r="M526" s="3" t="s">
        <v>7101</v>
      </c>
      <c r="N526" s="3" t="s">
        <v>109</v>
      </c>
      <c r="O526" s="3" t="s">
        <v>110</v>
      </c>
      <c r="P526" s="4">
        <v>44260.7234259259</v>
      </c>
      <c r="Q526" s="3" t="s">
        <v>56</v>
      </c>
      <c r="R526" s="3"/>
      <c r="S526" s="3" t="s">
        <v>268</v>
      </c>
      <c r="T526" s="3">
        <v>4127965.0</v>
      </c>
      <c r="U526" s="3" t="s">
        <v>344</v>
      </c>
      <c r="V526" s="3" t="s">
        <v>270</v>
      </c>
      <c r="W526" s="3" t="s">
        <v>78</v>
      </c>
      <c r="X526" s="3"/>
      <c r="Y526" s="3"/>
      <c r="Z526" s="3" t="s">
        <v>112</v>
      </c>
      <c r="AA526" s="3" t="s">
        <v>7102</v>
      </c>
      <c r="AB526" s="3" t="str">
        <f>"***067999**"</f>
        <v>***067999**</v>
      </c>
      <c r="AC526" s="3"/>
      <c r="AD526" s="3" t="s">
        <v>325</v>
      </c>
      <c r="AE526" s="3"/>
      <c r="AF526" s="3">
        <v>-52.576944</v>
      </c>
      <c r="AG526" s="3">
        <v>-25.044167</v>
      </c>
      <c r="AH526" s="3" t="s">
        <v>7103</v>
      </c>
      <c r="AI526" s="3"/>
      <c r="AJ526" s="3" t="s">
        <v>273</v>
      </c>
      <c r="AK526" s="3"/>
      <c r="AL526" s="3"/>
      <c r="AM526" s="3" t="s">
        <v>65</v>
      </c>
      <c r="AN526" s="3" t="s">
        <v>347</v>
      </c>
      <c r="AO526" s="3"/>
      <c r="AP526" s="4">
        <v>44260.7665625</v>
      </c>
      <c r="AQ526" s="3"/>
      <c r="AR526" s="3" t="s">
        <v>7104</v>
      </c>
      <c r="AS526" s="3" t="s">
        <v>7105</v>
      </c>
      <c r="AT526" s="4">
        <v>44281.0337152778</v>
      </c>
    </row>
    <row r="527" ht="15.75" customHeight="1">
      <c r="A527" s="3">
        <v>2044196.0</v>
      </c>
      <c r="B527" s="3" t="s">
        <v>116</v>
      </c>
      <c r="C527" s="3" t="s">
        <v>117</v>
      </c>
      <c r="D527" s="3" t="s">
        <v>46</v>
      </c>
      <c r="E527" s="3" t="s">
        <v>7106</v>
      </c>
      <c r="F527" s="3"/>
      <c r="G527" s="3" t="s">
        <v>119</v>
      </c>
      <c r="H527" s="3" t="s">
        <v>72</v>
      </c>
      <c r="I527" s="3">
        <v>30000.0</v>
      </c>
      <c r="J527" s="3"/>
      <c r="K527" s="3"/>
      <c r="L527" s="3" t="s">
        <v>120</v>
      </c>
      <c r="M527" s="3" t="s">
        <v>7107</v>
      </c>
      <c r="N527" s="3" t="s">
        <v>109</v>
      </c>
      <c r="O527" s="3" t="s">
        <v>110</v>
      </c>
      <c r="P527" s="4">
        <v>44260.7083333333</v>
      </c>
      <c r="Q527" s="3" t="s">
        <v>56</v>
      </c>
      <c r="R527" s="5">
        <v>44263.0</v>
      </c>
      <c r="S527" s="3" t="s">
        <v>915</v>
      </c>
      <c r="T527" s="3">
        <v>1505031.0</v>
      </c>
      <c r="U527" s="3" t="s">
        <v>5077</v>
      </c>
      <c r="V527" s="3" t="s">
        <v>917</v>
      </c>
      <c r="W527" s="3" t="s">
        <v>100</v>
      </c>
      <c r="X527" s="3"/>
      <c r="Y527" s="3" t="str">
        <f>"02001004867202192"</f>
        <v>02001004867202192</v>
      </c>
      <c r="Z527" s="3" t="s">
        <v>112</v>
      </c>
      <c r="AA527" s="3" t="s">
        <v>7108</v>
      </c>
      <c r="AB527" s="3" t="str">
        <f>"***767961**"</f>
        <v>***767961**</v>
      </c>
      <c r="AC527" s="3"/>
      <c r="AD527" s="3"/>
      <c r="AE527" s="3"/>
      <c r="AF527" s="3">
        <v>-55.133056</v>
      </c>
      <c r="AG527" s="3">
        <v>-7.585833</v>
      </c>
      <c r="AH527" s="3" t="s">
        <v>7109</v>
      </c>
      <c r="AI527" s="3"/>
      <c r="AJ527" s="3" t="s">
        <v>120</v>
      </c>
      <c r="AK527" s="3"/>
      <c r="AL527" s="3" t="s">
        <v>128</v>
      </c>
      <c r="AM527" s="3" t="s">
        <v>65</v>
      </c>
      <c r="AN527" s="3" t="s">
        <v>6870</v>
      </c>
      <c r="AO527" s="4">
        <v>44265.0</v>
      </c>
      <c r="AP527" s="4">
        <v>44265.3928125</v>
      </c>
      <c r="AQ527" s="3" t="s">
        <v>132</v>
      </c>
      <c r="AR527" s="3" t="s">
        <v>3557</v>
      </c>
      <c r="AS527" s="3" t="s">
        <v>7095</v>
      </c>
      <c r="AT527" s="4">
        <v>44281.0337152778</v>
      </c>
    </row>
    <row r="528" ht="15.75" customHeight="1">
      <c r="A528" s="3">
        <v>2044549.0</v>
      </c>
      <c r="B528" s="3" t="s">
        <v>116</v>
      </c>
      <c r="C528" s="3" t="s">
        <v>117</v>
      </c>
      <c r="D528" s="3" t="s">
        <v>46</v>
      </c>
      <c r="E528" s="3" t="s">
        <v>7110</v>
      </c>
      <c r="F528" s="3"/>
      <c r="G528" s="3" t="s">
        <v>119</v>
      </c>
      <c r="H528" s="3" t="s">
        <v>50</v>
      </c>
      <c r="I528" s="3">
        <v>30000.0</v>
      </c>
      <c r="J528" s="3"/>
      <c r="K528" s="3"/>
      <c r="L528" s="3" t="s">
        <v>120</v>
      </c>
      <c r="M528" s="3" t="s">
        <v>7111</v>
      </c>
      <c r="N528" s="3" t="s">
        <v>186</v>
      </c>
      <c r="O528" s="3" t="s">
        <v>302</v>
      </c>
      <c r="P528" s="4">
        <v>44260.7083333333</v>
      </c>
      <c r="Q528" s="3" t="s">
        <v>77</v>
      </c>
      <c r="R528" s="5">
        <v>44260.0</v>
      </c>
      <c r="S528" s="3" t="s">
        <v>220</v>
      </c>
      <c r="T528" s="3">
        <v>1507805.0</v>
      </c>
      <c r="U528" s="3" t="s">
        <v>5222</v>
      </c>
      <c r="V528" s="3" t="s">
        <v>917</v>
      </c>
      <c r="W528" s="3" t="s">
        <v>100</v>
      </c>
      <c r="X528" s="3"/>
      <c r="Y528" s="3" t="str">
        <f>"02001005769202172"</f>
        <v>02001005769202172</v>
      </c>
      <c r="Z528" s="3" t="s">
        <v>306</v>
      </c>
      <c r="AA528" s="3" t="s">
        <v>7112</v>
      </c>
      <c r="AB528" s="3" t="str">
        <f>"***026172**"</f>
        <v>***026172**</v>
      </c>
      <c r="AC528" s="3"/>
      <c r="AD528" s="3"/>
      <c r="AE528" s="3"/>
      <c r="AF528" s="3">
        <v>-51.781111</v>
      </c>
      <c r="AG528" s="3">
        <v>-3.579167</v>
      </c>
      <c r="AH528" s="3" t="s">
        <v>7113</v>
      </c>
      <c r="AI528" s="3"/>
      <c r="AJ528" s="3" t="s">
        <v>120</v>
      </c>
      <c r="AK528" s="3"/>
      <c r="AL528" s="3" t="s">
        <v>128</v>
      </c>
      <c r="AM528" s="3" t="s">
        <v>65</v>
      </c>
      <c r="AN528" s="3" t="s">
        <v>6041</v>
      </c>
      <c r="AO528" s="4">
        <v>44275.0</v>
      </c>
      <c r="AP528" s="4">
        <v>44275.3919560185</v>
      </c>
      <c r="AQ528" s="3" t="s">
        <v>132</v>
      </c>
      <c r="AR528" s="3" t="s">
        <v>1242</v>
      </c>
      <c r="AS528" s="3"/>
      <c r="AT528" s="4">
        <v>44281.0337152778</v>
      </c>
    </row>
    <row r="529" ht="15.75" customHeight="1">
      <c r="A529" s="3"/>
      <c r="B529" s="3" t="s">
        <v>46</v>
      </c>
      <c r="C529" s="3" t="s">
        <v>47</v>
      </c>
      <c r="D529" s="3"/>
      <c r="E529" s="3" t="s">
        <v>7114</v>
      </c>
      <c r="F529" s="3"/>
      <c r="G529" s="3" t="s">
        <v>49</v>
      </c>
      <c r="H529" s="3" t="s">
        <v>72</v>
      </c>
      <c r="I529" s="3">
        <v>399000.0</v>
      </c>
      <c r="J529" s="3"/>
      <c r="K529" s="3"/>
      <c r="L529" s="3"/>
      <c r="M529" s="3" t="s">
        <v>7101</v>
      </c>
      <c r="N529" s="3" t="s">
        <v>109</v>
      </c>
      <c r="O529" s="3" t="s">
        <v>110</v>
      </c>
      <c r="P529" s="4">
        <v>44260.7059143518</v>
      </c>
      <c r="Q529" s="3" t="s">
        <v>56</v>
      </c>
      <c r="R529" s="3"/>
      <c r="S529" s="3" t="s">
        <v>268</v>
      </c>
      <c r="T529" s="3">
        <v>4127965.0</v>
      </c>
      <c r="U529" s="3" t="s">
        <v>344</v>
      </c>
      <c r="V529" s="3" t="s">
        <v>270</v>
      </c>
      <c r="W529" s="3" t="s">
        <v>78</v>
      </c>
      <c r="X529" s="3"/>
      <c r="Y529" s="3"/>
      <c r="Z529" s="3" t="s">
        <v>112</v>
      </c>
      <c r="AA529" s="3" t="s">
        <v>7115</v>
      </c>
      <c r="AB529" s="3" t="str">
        <f>"***828209**"</f>
        <v>***828209**</v>
      </c>
      <c r="AC529" s="3"/>
      <c r="AD529" s="3" t="s">
        <v>325</v>
      </c>
      <c r="AE529" s="3"/>
      <c r="AF529" s="3">
        <v>-51.576944</v>
      </c>
      <c r="AG529" s="3">
        <v>-25.044167</v>
      </c>
      <c r="AH529" s="3" t="s">
        <v>7116</v>
      </c>
      <c r="AI529" s="3"/>
      <c r="AJ529" s="3" t="s">
        <v>273</v>
      </c>
      <c r="AK529" s="3"/>
      <c r="AL529" s="3"/>
      <c r="AM529" s="3" t="s">
        <v>65</v>
      </c>
      <c r="AN529" s="3" t="s">
        <v>347</v>
      </c>
      <c r="AO529" s="3"/>
      <c r="AP529" s="4">
        <v>44260.7668287037</v>
      </c>
      <c r="AQ529" s="3"/>
      <c r="AR529" s="3" t="s">
        <v>7117</v>
      </c>
      <c r="AS529" s="3" t="s">
        <v>7118</v>
      </c>
      <c r="AT529" s="4">
        <v>44281.0337152778</v>
      </c>
    </row>
    <row r="530" ht="15.75" customHeight="1">
      <c r="A530" s="3"/>
      <c r="B530" s="3" t="s">
        <v>46</v>
      </c>
      <c r="C530" s="3" t="s">
        <v>47</v>
      </c>
      <c r="D530" s="3"/>
      <c r="E530" s="3" t="s">
        <v>7119</v>
      </c>
      <c r="F530" s="3"/>
      <c r="G530" s="3" t="s">
        <v>49</v>
      </c>
      <c r="H530" s="3" t="s">
        <v>72</v>
      </c>
      <c r="I530" s="3">
        <v>7332.0</v>
      </c>
      <c r="J530" s="3"/>
      <c r="K530" s="3"/>
      <c r="L530" s="3"/>
      <c r="M530" s="3" t="s">
        <v>7120</v>
      </c>
      <c r="N530" s="3" t="s">
        <v>109</v>
      </c>
      <c r="O530" s="3" t="s">
        <v>110</v>
      </c>
      <c r="P530" s="4">
        <v>44260.7021527778</v>
      </c>
      <c r="Q530" s="3" t="s">
        <v>77</v>
      </c>
      <c r="R530" s="3"/>
      <c r="S530" s="3" t="s">
        <v>220</v>
      </c>
      <c r="T530" s="3">
        <v>2105401.0</v>
      </c>
      <c r="U530" s="3" t="s">
        <v>7121</v>
      </c>
      <c r="V530" s="3" t="s">
        <v>449</v>
      </c>
      <c r="W530" s="3" t="s">
        <v>100</v>
      </c>
      <c r="X530" s="3"/>
      <c r="Y530" s="3"/>
      <c r="Z530" s="3" t="s">
        <v>112</v>
      </c>
      <c r="AA530" s="3" t="s">
        <v>7122</v>
      </c>
      <c r="AB530" s="3" t="str">
        <f>"***700603**"</f>
        <v>***700603**</v>
      </c>
      <c r="AC530" s="3"/>
      <c r="AD530" s="3" t="s">
        <v>62</v>
      </c>
      <c r="AE530" s="3"/>
      <c r="AF530" s="3">
        <v>-44.349722</v>
      </c>
      <c r="AG530" s="3">
        <v>-3.410028</v>
      </c>
      <c r="AH530" s="3" t="s">
        <v>7123</v>
      </c>
      <c r="AI530" s="3"/>
      <c r="AJ530" s="3" t="s">
        <v>452</v>
      </c>
      <c r="AK530" s="3"/>
      <c r="AL530" s="3"/>
      <c r="AM530" s="3" t="s">
        <v>65</v>
      </c>
      <c r="AN530" s="3"/>
      <c r="AO530" s="3"/>
      <c r="AP530" s="4">
        <v>44260.712650463</v>
      </c>
      <c r="AQ530" s="3"/>
      <c r="AR530" s="3" t="s">
        <v>177</v>
      </c>
      <c r="AS530" s="3"/>
      <c r="AT530" s="4">
        <v>44281.0337152778</v>
      </c>
    </row>
    <row r="531" ht="15.75" customHeight="1">
      <c r="A531" s="3"/>
      <c r="B531" s="3" t="s">
        <v>46</v>
      </c>
      <c r="C531" s="3" t="s">
        <v>47</v>
      </c>
      <c r="D531" s="3"/>
      <c r="E531" s="3" t="s">
        <v>7124</v>
      </c>
      <c r="F531" s="3"/>
      <c r="G531" s="3" t="s">
        <v>49</v>
      </c>
      <c r="H531" s="3" t="s">
        <v>50</v>
      </c>
      <c r="I531" s="3">
        <v>30000.0</v>
      </c>
      <c r="J531" s="3"/>
      <c r="K531" s="3" t="s">
        <v>92</v>
      </c>
      <c r="L531" s="3"/>
      <c r="M531" s="3" t="s">
        <v>7125</v>
      </c>
      <c r="N531" s="3" t="s">
        <v>301</v>
      </c>
      <c r="O531" s="3" t="s">
        <v>302</v>
      </c>
      <c r="P531" s="4">
        <v>44260.6965972222</v>
      </c>
      <c r="Q531" s="3" t="s">
        <v>77</v>
      </c>
      <c r="R531" s="3"/>
      <c r="S531" s="3" t="s">
        <v>220</v>
      </c>
      <c r="T531" s="3">
        <v>1507805.0</v>
      </c>
      <c r="U531" s="3" t="s">
        <v>5222</v>
      </c>
      <c r="V531" s="3" t="s">
        <v>917</v>
      </c>
      <c r="W531" s="3" t="s">
        <v>100</v>
      </c>
      <c r="X531" s="3"/>
      <c r="Y531" s="3" t="str">
        <f>"02001005770202105"</f>
        <v>02001005770202105</v>
      </c>
      <c r="Z531" s="3" t="s">
        <v>306</v>
      </c>
      <c r="AA531" s="3" t="s">
        <v>6840</v>
      </c>
      <c r="AB531" s="3"/>
      <c r="AC531" s="3"/>
      <c r="AD531" s="3" t="s">
        <v>62</v>
      </c>
      <c r="AE531" s="3"/>
      <c r="AF531" s="3">
        <v>-51.781111</v>
      </c>
      <c r="AG531" s="3">
        <v>-3.579167</v>
      </c>
      <c r="AH531" s="3" t="s">
        <v>7126</v>
      </c>
      <c r="AI531" s="3"/>
      <c r="AJ531" s="3" t="s">
        <v>120</v>
      </c>
      <c r="AK531" s="3"/>
      <c r="AL531" s="3"/>
      <c r="AM531" s="3" t="s">
        <v>65</v>
      </c>
      <c r="AN531" s="3" t="s">
        <v>6041</v>
      </c>
      <c r="AO531" s="3"/>
      <c r="AP531" s="4">
        <v>44266.3976273148</v>
      </c>
      <c r="AQ531" s="3"/>
      <c r="AR531" s="3" t="s">
        <v>873</v>
      </c>
      <c r="AS531" s="3"/>
      <c r="AT531" s="4">
        <v>44281.0337152778</v>
      </c>
    </row>
    <row r="532" ht="15.75" customHeight="1">
      <c r="A532" s="3"/>
      <c r="B532" s="3" t="s">
        <v>46</v>
      </c>
      <c r="C532" s="3" t="s">
        <v>47</v>
      </c>
      <c r="D532" s="3"/>
      <c r="E532" s="3" t="s">
        <v>7127</v>
      </c>
      <c r="F532" s="3"/>
      <c r="G532" s="3" t="s">
        <v>49</v>
      </c>
      <c r="H532" s="3" t="s">
        <v>72</v>
      </c>
      <c r="I532" s="3">
        <v>8000.0</v>
      </c>
      <c r="J532" s="3"/>
      <c r="K532" s="3"/>
      <c r="L532" s="3"/>
      <c r="M532" s="3" t="s">
        <v>7128</v>
      </c>
      <c r="N532" s="3" t="s">
        <v>109</v>
      </c>
      <c r="O532" s="3" t="s">
        <v>110</v>
      </c>
      <c r="P532" s="4">
        <v>44260.6406828704</v>
      </c>
      <c r="Q532" s="3" t="s">
        <v>137</v>
      </c>
      <c r="R532" s="3"/>
      <c r="S532" s="3" t="s">
        <v>220</v>
      </c>
      <c r="T532" s="3">
        <v>2105401.0</v>
      </c>
      <c r="U532" s="3" t="s">
        <v>7121</v>
      </c>
      <c r="V532" s="3" t="s">
        <v>449</v>
      </c>
      <c r="W532" s="3" t="s">
        <v>100</v>
      </c>
      <c r="X532" s="3"/>
      <c r="Y532" s="3"/>
      <c r="Z532" s="3" t="s">
        <v>112</v>
      </c>
      <c r="AA532" s="3" t="s">
        <v>7129</v>
      </c>
      <c r="AB532" s="3" t="str">
        <f>"***700603**"</f>
        <v>***700603**</v>
      </c>
      <c r="AC532" s="3"/>
      <c r="AD532" s="3" t="s">
        <v>62</v>
      </c>
      <c r="AE532" s="3"/>
      <c r="AF532" s="3">
        <v>-44.349139</v>
      </c>
      <c r="AG532" s="3">
        <v>-3.41</v>
      </c>
      <c r="AH532" s="3" t="s">
        <v>7123</v>
      </c>
      <c r="AI532" s="3"/>
      <c r="AJ532" s="3" t="s">
        <v>452</v>
      </c>
      <c r="AK532" s="3"/>
      <c r="AL532" s="3"/>
      <c r="AM532" s="3" t="s">
        <v>65</v>
      </c>
      <c r="AN532" s="3"/>
      <c r="AO532" s="3"/>
      <c r="AP532" s="4">
        <v>44260.6488888889</v>
      </c>
      <c r="AQ532" s="3"/>
      <c r="AR532" s="3" t="s">
        <v>177</v>
      </c>
      <c r="AS532" s="3"/>
      <c r="AT532" s="4">
        <v>44281.0337152778</v>
      </c>
    </row>
    <row r="533" ht="15.75" customHeight="1">
      <c r="A533" s="3">
        <v>2044548.0</v>
      </c>
      <c r="B533" s="3" t="s">
        <v>116</v>
      </c>
      <c r="C533" s="3" t="s">
        <v>117</v>
      </c>
      <c r="D533" s="3" t="s">
        <v>46</v>
      </c>
      <c r="E533" s="3" t="s">
        <v>7130</v>
      </c>
      <c r="F533" s="3"/>
      <c r="G533" s="3" t="s">
        <v>119</v>
      </c>
      <c r="H533" s="3" t="s">
        <v>50</v>
      </c>
      <c r="I533" s="3">
        <v>1100.0</v>
      </c>
      <c r="J533" s="3"/>
      <c r="K533" s="3"/>
      <c r="L533" s="3" t="s">
        <v>417</v>
      </c>
      <c r="M533" s="3" t="s">
        <v>7131</v>
      </c>
      <c r="N533" s="3" t="s">
        <v>74</v>
      </c>
      <c r="O533" s="3" t="s">
        <v>75</v>
      </c>
      <c r="P533" s="4">
        <v>44260.5833333333</v>
      </c>
      <c r="Q533" s="3" t="s">
        <v>56</v>
      </c>
      <c r="R533" s="3"/>
      <c r="S533" s="3" t="s">
        <v>412</v>
      </c>
      <c r="T533" s="3">
        <v>2706802.0</v>
      </c>
      <c r="U533" s="3" t="s">
        <v>7132</v>
      </c>
      <c r="V533" s="3" t="s">
        <v>414</v>
      </c>
      <c r="W533" s="3" t="s">
        <v>60</v>
      </c>
      <c r="X533" s="3"/>
      <c r="Y533" s="3" t="str">
        <f>"02003000284202172"</f>
        <v>02003000284202172</v>
      </c>
      <c r="Z533" s="3" t="s">
        <v>79</v>
      </c>
      <c r="AA533" s="3" t="s">
        <v>7133</v>
      </c>
      <c r="AB533" s="3" t="str">
        <f>"***738004**"</f>
        <v>***738004**</v>
      </c>
      <c r="AC533" s="3"/>
      <c r="AD533" s="3"/>
      <c r="AE533" s="3"/>
      <c r="AF533" s="3">
        <v>-36.431667</v>
      </c>
      <c r="AG533" s="3">
        <v>-10.408056</v>
      </c>
      <c r="AH533" s="3" t="s">
        <v>7134</v>
      </c>
      <c r="AI533" s="3"/>
      <c r="AJ533" s="3" t="s">
        <v>417</v>
      </c>
      <c r="AK533" s="3"/>
      <c r="AL533" s="3" t="s">
        <v>128</v>
      </c>
      <c r="AM533" s="3" t="s">
        <v>65</v>
      </c>
      <c r="AN533" s="3" t="s">
        <v>274</v>
      </c>
      <c r="AO533" s="4">
        <v>44275.0</v>
      </c>
      <c r="AP533" s="4">
        <v>44275.3396527778</v>
      </c>
      <c r="AQ533" s="3" t="s">
        <v>132</v>
      </c>
      <c r="AR533" s="3" t="s">
        <v>6112</v>
      </c>
      <c r="AS533" s="3"/>
      <c r="AT533" s="4">
        <v>44281.0337152778</v>
      </c>
    </row>
    <row r="534" ht="15.75" customHeight="1">
      <c r="A534" s="3"/>
      <c r="B534" s="3" t="s">
        <v>46</v>
      </c>
      <c r="C534" s="3" t="s">
        <v>47</v>
      </c>
      <c r="D534" s="3"/>
      <c r="E534" s="3" t="s">
        <v>7135</v>
      </c>
      <c r="F534" s="3"/>
      <c r="G534" s="3" t="s">
        <v>49</v>
      </c>
      <c r="H534" s="3" t="s">
        <v>50</v>
      </c>
      <c r="I534" s="3">
        <v>211500.0</v>
      </c>
      <c r="J534" s="3"/>
      <c r="K534" s="3"/>
      <c r="L534" s="3"/>
      <c r="M534" s="3" t="s">
        <v>7136</v>
      </c>
      <c r="N534" s="3" t="s">
        <v>109</v>
      </c>
      <c r="O534" s="3" t="s">
        <v>110</v>
      </c>
      <c r="P534" s="4">
        <v>44260.5579398148</v>
      </c>
      <c r="Q534" s="3" t="s">
        <v>56</v>
      </c>
      <c r="R534" s="3"/>
      <c r="S534" s="3" t="s">
        <v>2859</v>
      </c>
      <c r="T534" s="3">
        <v>2408102.0</v>
      </c>
      <c r="U534" s="3" t="s">
        <v>1083</v>
      </c>
      <c r="V534" s="3" t="s">
        <v>1084</v>
      </c>
      <c r="W534" s="3" t="s">
        <v>100</v>
      </c>
      <c r="X534" s="3"/>
      <c r="Y534" s="3"/>
      <c r="Z534" s="3" t="s">
        <v>112</v>
      </c>
      <c r="AA534" s="3" t="s">
        <v>7137</v>
      </c>
      <c r="AB534" s="3" t="str">
        <f>"***156034**"</f>
        <v>***156034**</v>
      </c>
      <c r="AC534" s="3"/>
      <c r="AD534" s="3" t="s">
        <v>62</v>
      </c>
      <c r="AE534" s="3"/>
      <c r="AF534" s="3">
        <v>-35.194167</v>
      </c>
      <c r="AG534" s="3">
        <v>-5.809167</v>
      </c>
      <c r="AH534" s="3" t="s">
        <v>7138</v>
      </c>
      <c r="AI534" s="3"/>
      <c r="AJ534" s="3" t="s">
        <v>2856</v>
      </c>
      <c r="AK534" s="3"/>
      <c r="AL534" s="3"/>
      <c r="AM534" s="3" t="s">
        <v>65</v>
      </c>
      <c r="AN534" s="3" t="s">
        <v>159</v>
      </c>
      <c r="AO534" s="3"/>
      <c r="AP534" s="4">
        <v>44260.5645833333</v>
      </c>
      <c r="AQ534" s="3"/>
      <c r="AR534" s="3" t="s">
        <v>106</v>
      </c>
      <c r="AS534" s="3"/>
      <c r="AT534" s="4">
        <v>44281.0337152778</v>
      </c>
    </row>
    <row r="535" ht="15.75" customHeight="1">
      <c r="A535" s="3"/>
      <c r="B535" s="3" t="s">
        <v>46</v>
      </c>
      <c r="C535" s="3" t="s">
        <v>47</v>
      </c>
      <c r="D535" s="3"/>
      <c r="E535" s="3" t="s">
        <v>7139</v>
      </c>
      <c r="F535" s="3"/>
      <c r="G535" s="3" t="s">
        <v>49</v>
      </c>
      <c r="H535" s="3" t="s">
        <v>50</v>
      </c>
      <c r="I535" s="3">
        <v>211500.0</v>
      </c>
      <c r="J535" s="3"/>
      <c r="K535" s="3"/>
      <c r="L535" s="3"/>
      <c r="M535" s="3" t="s">
        <v>7140</v>
      </c>
      <c r="N535" s="3" t="s">
        <v>109</v>
      </c>
      <c r="O535" s="3" t="s">
        <v>110</v>
      </c>
      <c r="P535" s="4">
        <v>44260.5470486111</v>
      </c>
      <c r="Q535" s="3" t="s">
        <v>56</v>
      </c>
      <c r="R535" s="3"/>
      <c r="S535" s="3" t="s">
        <v>2859</v>
      </c>
      <c r="T535" s="3">
        <v>2408102.0</v>
      </c>
      <c r="U535" s="3" t="s">
        <v>1083</v>
      </c>
      <c r="V535" s="3" t="s">
        <v>1084</v>
      </c>
      <c r="W535" s="3" t="s">
        <v>100</v>
      </c>
      <c r="X535" s="3"/>
      <c r="Y535" s="3"/>
      <c r="Z535" s="3" t="s">
        <v>112</v>
      </c>
      <c r="AA535" s="3" t="s">
        <v>7141</v>
      </c>
      <c r="AB535" s="3" t="str">
        <f>"***621254**"</f>
        <v>***621254**</v>
      </c>
      <c r="AC535" s="3"/>
      <c r="AD535" s="3" t="s">
        <v>62</v>
      </c>
      <c r="AE535" s="3"/>
      <c r="AF535" s="3">
        <v>-35.194167</v>
      </c>
      <c r="AG535" s="3">
        <v>-5.809167</v>
      </c>
      <c r="AH535" s="3" t="s">
        <v>7138</v>
      </c>
      <c r="AI535" s="3"/>
      <c r="AJ535" s="3" t="s">
        <v>2856</v>
      </c>
      <c r="AK535" s="3"/>
      <c r="AL535" s="3"/>
      <c r="AM535" s="3" t="s">
        <v>65</v>
      </c>
      <c r="AN535" s="3" t="s">
        <v>159</v>
      </c>
      <c r="AO535" s="3"/>
      <c r="AP535" s="4">
        <v>44260.5542824074</v>
      </c>
      <c r="AQ535" s="3"/>
      <c r="AR535" s="3" t="s">
        <v>106</v>
      </c>
      <c r="AS535" s="3"/>
      <c r="AT535" s="4">
        <v>44281.0337152778</v>
      </c>
    </row>
    <row r="536" ht="15.75" customHeight="1">
      <c r="A536" s="3">
        <v>2044071.0</v>
      </c>
      <c r="B536" s="3" t="s">
        <v>116</v>
      </c>
      <c r="C536" s="3" t="s">
        <v>117</v>
      </c>
      <c r="D536" s="3" t="s">
        <v>46</v>
      </c>
      <c r="E536" s="3" t="s">
        <v>7142</v>
      </c>
      <c r="F536" s="3"/>
      <c r="G536" s="3" t="s">
        <v>119</v>
      </c>
      <c r="H536" s="3" t="s">
        <v>72</v>
      </c>
      <c r="I536" s="3">
        <v>102500.0</v>
      </c>
      <c r="J536" s="3"/>
      <c r="K536" s="3"/>
      <c r="L536" s="3" t="s">
        <v>273</v>
      </c>
      <c r="M536" s="3" t="s">
        <v>7143</v>
      </c>
      <c r="N536" s="3" t="s">
        <v>53</v>
      </c>
      <c r="O536" s="3" t="s">
        <v>382</v>
      </c>
      <c r="P536" s="4">
        <v>44260.5416666667</v>
      </c>
      <c r="Q536" s="3" t="s">
        <v>56</v>
      </c>
      <c r="R536" s="3"/>
      <c r="S536" s="3" t="s">
        <v>268</v>
      </c>
      <c r="T536" s="3">
        <v>4109401.0</v>
      </c>
      <c r="U536" s="3" t="s">
        <v>7144</v>
      </c>
      <c r="V536" s="3" t="s">
        <v>270</v>
      </c>
      <c r="W536" s="3" t="s">
        <v>78</v>
      </c>
      <c r="X536" s="3"/>
      <c r="Y536" s="3" t="str">
        <f>"02017000468202183"</f>
        <v>02017000468202183</v>
      </c>
      <c r="Z536" s="3" t="s">
        <v>384</v>
      </c>
      <c r="AA536" s="3" t="s">
        <v>7145</v>
      </c>
      <c r="AB536" s="3" t="str">
        <f>"***906340**"</f>
        <v>***906340**</v>
      </c>
      <c r="AC536" s="3"/>
      <c r="AD536" s="3"/>
      <c r="AE536" s="3"/>
      <c r="AF536" s="3">
        <v>-51.279722</v>
      </c>
      <c r="AG536" s="3">
        <v>-25.305</v>
      </c>
      <c r="AH536" s="3" t="s">
        <v>7146</v>
      </c>
      <c r="AI536" s="3"/>
      <c r="AJ536" s="3" t="s">
        <v>273</v>
      </c>
      <c r="AK536" s="3"/>
      <c r="AL536" s="3" t="s">
        <v>128</v>
      </c>
      <c r="AM536" s="3" t="s">
        <v>65</v>
      </c>
      <c r="AN536" s="3" t="s">
        <v>347</v>
      </c>
      <c r="AO536" s="4">
        <v>44260.0</v>
      </c>
      <c r="AP536" s="4">
        <v>44260.6936342593</v>
      </c>
      <c r="AQ536" s="3" t="s">
        <v>132</v>
      </c>
      <c r="AR536" s="3" t="s">
        <v>2610</v>
      </c>
      <c r="AS536" s="3"/>
      <c r="AT536" s="4">
        <v>44281.0337152778</v>
      </c>
    </row>
    <row r="537" ht="15.75" customHeight="1">
      <c r="A537" s="3">
        <v>2044446.0</v>
      </c>
      <c r="B537" s="3" t="s">
        <v>116</v>
      </c>
      <c r="C537" s="3" t="s">
        <v>117</v>
      </c>
      <c r="D537" s="3" t="s">
        <v>46</v>
      </c>
      <c r="E537" s="3" t="s">
        <v>7147</v>
      </c>
      <c r="F537" s="3"/>
      <c r="G537" s="3" t="s">
        <v>119</v>
      </c>
      <c r="H537" s="3" t="s">
        <v>72</v>
      </c>
      <c r="I537" s="3">
        <v>65000.0</v>
      </c>
      <c r="J537" s="3"/>
      <c r="K537" s="3"/>
      <c r="L537" s="3" t="s">
        <v>120</v>
      </c>
      <c r="M537" s="3" t="s">
        <v>7148</v>
      </c>
      <c r="N537" s="3" t="s">
        <v>109</v>
      </c>
      <c r="O537" s="3" t="s">
        <v>110</v>
      </c>
      <c r="P537" s="4">
        <v>44260.5416666667</v>
      </c>
      <c r="Q537" s="3" t="s">
        <v>77</v>
      </c>
      <c r="R537" s="5">
        <v>44260.0</v>
      </c>
      <c r="S537" s="3" t="s">
        <v>915</v>
      </c>
      <c r="T537" s="3">
        <v>1505031.0</v>
      </c>
      <c r="U537" s="3" t="s">
        <v>5077</v>
      </c>
      <c r="V537" s="3" t="s">
        <v>917</v>
      </c>
      <c r="W537" s="3" t="s">
        <v>100</v>
      </c>
      <c r="X537" s="3"/>
      <c r="Y537" s="3" t="str">
        <f>"02001005381202171"</f>
        <v>02001005381202171</v>
      </c>
      <c r="Z537" s="3" t="s">
        <v>112</v>
      </c>
      <c r="AA537" s="3" t="s">
        <v>7149</v>
      </c>
      <c r="AB537" s="3" t="str">
        <f>"***631902**"</f>
        <v>***631902**</v>
      </c>
      <c r="AC537" s="3"/>
      <c r="AD537" s="3"/>
      <c r="AE537" s="3"/>
      <c r="AF537" s="3">
        <v>-55.140556</v>
      </c>
      <c r="AG537" s="3">
        <v>-7.594167</v>
      </c>
      <c r="AH537" s="3" t="s">
        <v>7150</v>
      </c>
      <c r="AI537" s="3"/>
      <c r="AJ537" s="3" t="s">
        <v>120</v>
      </c>
      <c r="AK537" s="3"/>
      <c r="AL537" s="3" t="s">
        <v>128</v>
      </c>
      <c r="AM537" s="3" t="s">
        <v>65</v>
      </c>
      <c r="AN537" s="3" t="s">
        <v>6870</v>
      </c>
      <c r="AO537" s="4">
        <v>44271.0</v>
      </c>
      <c r="AP537" s="4">
        <v>44271.6687731481</v>
      </c>
      <c r="AQ537" s="3" t="s">
        <v>132</v>
      </c>
      <c r="AR537" s="3" t="s">
        <v>3557</v>
      </c>
      <c r="AS537" s="3" t="s">
        <v>7151</v>
      </c>
      <c r="AT537" s="4">
        <v>44281.0337152778</v>
      </c>
    </row>
    <row r="538" ht="15.75" customHeight="1">
      <c r="A538" s="3">
        <v>2044099.0</v>
      </c>
      <c r="B538" s="3" t="s">
        <v>116</v>
      </c>
      <c r="C538" s="3" t="s">
        <v>117</v>
      </c>
      <c r="D538" s="3" t="s">
        <v>46</v>
      </c>
      <c r="E538" s="3" t="s">
        <v>7152</v>
      </c>
      <c r="F538" s="3"/>
      <c r="G538" s="3" t="s">
        <v>119</v>
      </c>
      <c r="H538" s="3" t="s">
        <v>50</v>
      </c>
      <c r="I538" s="3">
        <v>3700.0</v>
      </c>
      <c r="J538" s="3"/>
      <c r="K538" s="3"/>
      <c r="L538" s="3" t="s">
        <v>273</v>
      </c>
      <c r="M538" s="3" t="s">
        <v>7153</v>
      </c>
      <c r="N538" s="3" t="s">
        <v>257</v>
      </c>
      <c r="O538" s="3" t="s">
        <v>258</v>
      </c>
      <c r="P538" s="4">
        <v>44260.5</v>
      </c>
      <c r="Q538" s="3" t="s">
        <v>56</v>
      </c>
      <c r="R538" s="3"/>
      <c r="S538" s="3" t="s">
        <v>268</v>
      </c>
      <c r="T538" s="3">
        <v>4119152.0</v>
      </c>
      <c r="U538" s="3" t="s">
        <v>269</v>
      </c>
      <c r="V538" s="3" t="s">
        <v>270</v>
      </c>
      <c r="W538" s="3" t="s">
        <v>78</v>
      </c>
      <c r="X538" s="3"/>
      <c r="Y538" s="3" t="str">
        <f>"02017000474202131"</f>
        <v>02017000474202131</v>
      </c>
      <c r="Z538" s="3" t="s">
        <v>260</v>
      </c>
      <c r="AA538" s="3" t="s">
        <v>7154</v>
      </c>
      <c r="AB538" s="3" t="str">
        <f>"***243218**"</f>
        <v>***243218**</v>
      </c>
      <c r="AC538" s="3"/>
      <c r="AD538" s="3"/>
      <c r="AE538" s="3"/>
      <c r="AF538" s="3">
        <v>-49.1875</v>
      </c>
      <c r="AG538" s="3">
        <v>-25.428056</v>
      </c>
      <c r="AH538" s="3" t="s">
        <v>6896</v>
      </c>
      <c r="AI538" s="3"/>
      <c r="AJ538" s="3" t="s">
        <v>273</v>
      </c>
      <c r="AK538" s="3"/>
      <c r="AL538" s="3" t="s">
        <v>128</v>
      </c>
      <c r="AM538" s="3" t="s">
        <v>65</v>
      </c>
      <c r="AN538" s="3" t="s">
        <v>274</v>
      </c>
      <c r="AO538" s="4">
        <v>44263.0</v>
      </c>
      <c r="AP538" s="4">
        <v>44263.3724074074</v>
      </c>
      <c r="AQ538" s="3" t="s">
        <v>132</v>
      </c>
      <c r="AR538" s="3" t="s">
        <v>7155</v>
      </c>
      <c r="AS538" s="3"/>
      <c r="AT538" s="4">
        <v>44281.0337152778</v>
      </c>
    </row>
    <row r="539" ht="15.75" customHeight="1">
      <c r="A539" s="3"/>
      <c r="B539" s="3" t="s">
        <v>46</v>
      </c>
      <c r="C539" s="3" t="s">
        <v>47</v>
      </c>
      <c r="D539" s="3"/>
      <c r="E539" s="3" t="s">
        <v>7156</v>
      </c>
      <c r="F539" s="3"/>
      <c r="G539" s="3" t="s">
        <v>217</v>
      </c>
      <c r="H539" s="3" t="s">
        <v>50</v>
      </c>
      <c r="I539" s="3"/>
      <c r="J539" s="3"/>
      <c r="K539" s="3"/>
      <c r="L539" s="3"/>
      <c r="M539" s="3" t="s">
        <v>7157</v>
      </c>
      <c r="N539" s="3" t="s">
        <v>186</v>
      </c>
      <c r="O539" s="3" t="s">
        <v>187</v>
      </c>
      <c r="P539" s="4">
        <v>44260.477349537</v>
      </c>
      <c r="Q539" s="3"/>
      <c r="R539" s="3"/>
      <c r="S539" s="3" t="s">
        <v>475</v>
      </c>
      <c r="T539" s="3">
        <v>3143906.0</v>
      </c>
      <c r="U539" s="3" t="s">
        <v>7158</v>
      </c>
      <c r="V539" s="3" t="s">
        <v>477</v>
      </c>
      <c r="W539" s="3" t="s">
        <v>100</v>
      </c>
      <c r="X539" s="3"/>
      <c r="Y539" s="3"/>
      <c r="Z539" s="3"/>
      <c r="AA539" s="3" t="s">
        <v>7159</v>
      </c>
      <c r="AB539" s="3" t="str">
        <f>"***075066**"</f>
        <v>***075066**</v>
      </c>
      <c r="AC539" s="3"/>
      <c r="AD539" s="3" t="s">
        <v>7160</v>
      </c>
      <c r="AE539" s="3"/>
      <c r="AF539" s="3">
        <v>-42.588944</v>
      </c>
      <c r="AG539" s="3">
        <v>-21.199722</v>
      </c>
      <c r="AH539" s="3" t="s">
        <v>7161</v>
      </c>
      <c r="AI539" s="3"/>
      <c r="AJ539" s="3" t="s">
        <v>480</v>
      </c>
      <c r="AK539" s="3"/>
      <c r="AL539" s="3"/>
      <c r="AM539" s="3" t="s">
        <v>65</v>
      </c>
      <c r="AN539" s="3" t="s">
        <v>83</v>
      </c>
      <c r="AO539" s="3"/>
      <c r="AP539" s="4">
        <v>44274.4276388889</v>
      </c>
      <c r="AQ539" s="3"/>
      <c r="AR539" s="3" t="s">
        <v>965</v>
      </c>
      <c r="AS539" s="3"/>
      <c r="AT539" s="4">
        <v>44281.0337152778</v>
      </c>
    </row>
    <row r="540" ht="15.75" customHeight="1">
      <c r="A540" s="3">
        <v>2044242.0</v>
      </c>
      <c r="B540" s="3" t="s">
        <v>116</v>
      </c>
      <c r="C540" s="3" t="s">
        <v>117</v>
      </c>
      <c r="D540" s="3" t="s">
        <v>46</v>
      </c>
      <c r="E540" s="3" t="s">
        <v>7162</v>
      </c>
      <c r="F540" s="3"/>
      <c r="G540" s="3" t="s">
        <v>119</v>
      </c>
      <c r="H540" s="3" t="s">
        <v>72</v>
      </c>
      <c r="I540" s="3">
        <v>5291.7</v>
      </c>
      <c r="J540" s="3"/>
      <c r="K540" s="3"/>
      <c r="L540" s="3" t="s">
        <v>295</v>
      </c>
      <c r="M540" s="3" t="s">
        <v>7163</v>
      </c>
      <c r="N540" s="3" t="s">
        <v>109</v>
      </c>
      <c r="O540" s="3" t="s">
        <v>110</v>
      </c>
      <c r="P540" s="4">
        <v>44260.4583333333</v>
      </c>
      <c r="Q540" s="3" t="s">
        <v>77</v>
      </c>
      <c r="R540" s="5">
        <v>44260.0</v>
      </c>
      <c r="S540" s="3" t="s">
        <v>288</v>
      </c>
      <c r="T540" s="3">
        <v>2210508.0</v>
      </c>
      <c r="U540" s="3" t="s">
        <v>3244</v>
      </c>
      <c r="V540" s="3" t="s">
        <v>290</v>
      </c>
      <c r="W540" s="3" t="s">
        <v>100</v>
      </c>
      <c r="X540" s="3"/>
      <c r="Y540" s="3" t="str">
        <f>"02020000411202125"</f>
        <v>02020000411202125</v>
      </c>
      <c r="Z540" s="3" t="s">
        <v>112</v>
      </c>
      <c r="AA540" s="3" t="s">
        <v>7164</v>
      </c>
      <c r="AB540" s="3" t="str">
        <f>"***260593**"</f>
        <v>***260593**</v>
      </c>
      <c r="AC540" s="3"/>
      <c r="AD540" s="3"/>
      <c r="AE540" s="3"/>
      <c r="AF540" s="3">
        <v>-42.709806</v>
      </c>
      <c r="AG540" s="3">
        <v>-5.937111</v>
      </c>
      <c r="AH540" s="3" t="s">
        <v>7165</v>
      </c>
      <c r="AI540" s="3"/>
      <c r="AJ540" s="3" t="s">
        <v>295</v>
      </c>
      <c r="AK540" s="3"/>
      <c r="AL540" s="3" t="s">
        <v>128</v>
      </c>
      <c r="AM540" s="3" t="s">
        <v>65</v>
      </c>
      <c r="AN540" s="3" t="s">
        <v>159</v>
      </c>
      <c r="AO540" s="4">
        <v>44265.0</v>
      </c>
      <c r="AP540" s="4">
        <v>44265.7317939815</v>
      </c>
      <c r="AQ540" s="3" t="s">
        <v>132</v>
      </c>
      <c r="AR540" s="3" t="s">
        <v>133</v>
      </c>
      <c r="AS540" s="3"/>
      <c r="AT540" s="4">
        <v>44281.0337152778</v>
      </c>
    </row>
    <row r="541" ht="15.75" customHeight="1">
      <c r="A541" s="3">
        <v>2044650.0</v>
      </c>
      <c r="B541" s="3" t="s">
        <v>116</v>
      </c>
      <c r="C541" s="3" t="s">
        <v>117</v>
      </c>
      <c r="D541" s="3" t="s">
        <v>46</v>
      </c>
      <c r="E541" s="3" t="s">
        <v>7166</v>
      </c>
      <c r="F541" s="3"/>
      <c r="G541" s="3" t="s">
        <v>119</v>
      </c>
      <c r="H541" s="3" t="s">
        <v>72</v>
      </c>
      <c r="I541" s="3">
        <v>10795.0</v>
      </c>
      <c r="J541" s="3"/>
      <c r="K541" s="3"/>
      <c r="L541" s="3" t="s">
        <v>120</v>
      </c>
      <c r="M541" s="3" t="s">
        <v>7167</v>
      </c>
      <c r="N541" s="3" t="s">
        <v>109</v>
      </c>
      <c r="O541" s="3" t="s">
        <v>110</v>
      </c>
      <c r="P541" s="4">
        <v>44260.4583333333</v>
      </c>
      <c r="Q541" s="3" t="s">
        <v>77</v>
      </c>
      <c r="R541" s="5">
        <v>44260.0</v>
      </c>
      <c r="S541" s="3" t="s">
        <v>220</v>
      </c>
      <c r="T541" s="3">
        <v>1100205.0</v>
      </c>
      <c r="U541" s="3" t="s">
        <v>242</v>
      </c>
      <c r="V541" s="3" t="s">
        <v>125</v>
      </c>
      <c r="W541" s="3" t="s">
        <v>100</v>
      </c>
      <c r="X541" s="3"/>
      <c r="Y541" s="3" t="str">
        <f>"02001005997202142"</f>
        <v>02001005997202142</v>
      </c>
      <c r="Z541" s="3" t="s">
        <v>112</v>
      </c>
      <c r="AA541" s="3" t="s">
        <v>5544</v>
      </c>
      <c r="AB541" s="3" t="str">
        <f>"33741503000177"</f>
        <v>33741503000177</v>
      </c>
      <c r="AC541" s="3"/>
      <c r="AD541" s="3"/>
      <c r="AE541" s="3"/>
      <c r="AF541" s="3">
        <v>-66.630278</v>
      </c>
      <c r="AG541" s="3">
        <v>-9.785833</v>
      </c>
      <c r="AH541" s="3" t="s">
        <v>7168</v>
      </c>
      <c r="AI541" s="3"/>
      <c r="AJ541" s="3" t="s">
        <v>120</v>
      </c>
      <c r="AK541" s="3"/>
      <c r="AL541" s="3" t="s">
        <v>128</v>
      </c>
      <c r="AM541" s="3" t="s">
        <v>65</v>
      </c>
      <c r="AN541" s="3" t="s">
        <v>129</v>
      </c>
      <c r="AO541" s="4">
        <v>44279.0</v>
      </c>
      <c r="AP541" s="4">
        <v>44279.437025463</v>
      </c>
      <c r="AQ541" s="3" t="s">
        <v>132</v>
      </c>
      <c r="AR541" s="3" t="s">
        <v>3108</v>
      </c>
      <c r="AS541" s="3"/>
      <c r="AT541" s="4">
        <v>44281.0337152778</v>
      </c>
    </row>
    <row r="542" ht="15.75" customHeight="1">
      <c r="A542" s="3"/>
      <c r="B542" s="3" t="s">
        <v>46</v>
      </c>
      <c r="C542" s="3" t="s">
        <v>47</v>
      </c>
      <c r="D542" s="3"/>
      <c r="E542" s="3" t="s">
        <v>7169</v>
      </c>
      <c r="F542" s="3"/>
      <c r="G542" s="3" t="s">
        <v>49</v>
      </c>
      <c r="H542" s="3" t="s">
        <v>50</v>
      </c>
      <c r="I542" s="3">
        <v>25500.0</v>
      </c>
      <c r="J542" s="3"/>
      <c r="K542" s="3" t="s">
        <v>92</v>
      </c>
      <c r="L542" s="3"/>
      <c r="M542" s="3" t="s">
        <v>7170</v>
      </c>
      <c r="N542" s="3" t="s">
        <v>53</v>
      </c>
      <c r="O542" s="3" t="s">
        <v>333</v>
      </c>
      <c r="P542" s="4">
        <v>44260.4396759259</v>
      </c>
      <c r="Q542" s="3" t="s">
        <v>56</v>
      </c>
      <c r="R542" s="3"/>
      <c r="S542" s="3" t="s">
        <v>608</v>
      </c>
      <c r="T542" s="3">
        <v>4321477.0</v>
      </c>
      <c r="U542" s="3" t="s">
        <v>609</v>
      </c>
      <c r="V542" s="3" t="s">
        <v>402</v>
      </c>
      <c r="W542" s="3" t="s">
        <v>78</v>
      </c>
      <c r="X542" s="3"/>
      <c r="Y542" s="3"/>
      <c r="Z542" s="3" t="s">
        <v>223</v>
      </c>
      <c r="AA542" s="3" t="s">
        <v>7171</v>
      </c>
      <c r="AB542" s="3" t="str">
        <f>"94726320000177"</f>
        <v>94726320000177</v>
      </c>
      <c r="AC542" s="3"/>
      <c r="AD542" s="3" t="s">
        <v>81</v>
      </c>
      <c r="AE542" s="3"/>
      <c r="AF542" s="3">
        <v>-54.211111</v>
      </c>
      <c r="AG542" s="3">
        <v>-27.363333</v>
      </c>
      <c r="AH542" s="3" t="s">
        <v>630</v>
      </c>
      <c r="AI542" s="3"/>
      <c r="AJ542" s="3" t="s">
        <v>405</v>
      </c>
      <c r="AK542" s="3"/>
      <c r="AL542" s="3"/>
      <c r="AM542" s="3" t="s">
        <v>65</v>
      </c>
      <c r="AN542" s="3" t="s">
        <v>274</v>
      </c>
      <c r="AO542" s="3"/>
      <c r="AP542" s="4">
        <v>44271.4095601852</v>
      </c>
      <c r="AQ542" s="3"/>
      <c r="AR542" s="3" t="s">
        <v>463</v>
      </c>
      <c r="AS542" s="3"/>
      <c r="AT542" s="4">
        <v>44281.0337152778</v>
      </c>
    </row>
    <row r="543" ht="15.75" customHeight="1">
      <c r="A543" s="3"/>
      <c r="B543" s="3" t="s">
        <v>46</v>
      </c>
      <c r="C543" s="3" t="s">
        <v>47</v>
      </c>
      <c r="D543" s="3"/>
      <c r="E543" s="3" t="s">
        <v>7172</v>
      </c>
      <c r="F543" s="3"/>
      <c r="G543" s="3" t="s">
        <v>49</v>
      </c>
      <c r="H543" s="3" t="s">
        <v>50</v>
      </c>
      <c r="I543" s="3">
        <v>1300.0</v>
      </c>
      <c r="J543" s="3"/>
      <c r="K543" s="3" t="s">
        <v>51</v>
      </c>
      <c r="L543" s="3"/>
      <c r="M543" s="3" t="s">
        <v>7173</v>
      </c>
      <c r="N543" s="3" t="s">
        <v>53</v>
      </c>
      <c r="O543" s="3" t="s">
        <v>333</v>
      </c>
      <c r="P543" s="4">
        <v>44260.4254861111</v>
      </c>
      <c r="Q543" s="3" t="s">
        <v>56</v>
      </c>
      <c r="R543" s="3"/>
      <c r="S543" s="3" t="s">
        <v>1173</v>
      </c>
      <c r="T543" s="3">
        <v>2510808.0</v>
      </c>
      <c r="U543" s="3" t="s">
        <v>7174</v>
      </c>
      <c r="V543" s="3" t="s">
        <v>1175</v>
      </c>
      <c r="W543" s="3" t="s">
        <v>291</v>
      </c>
      <c r="X543" s="3"/>
      <c r="Y543" s="3"/>
      <c r="Z543" s="3" t="s">
        <v>223</v>
      </c>
      <c r="AA543" s="3" t="s">
        <v>7175</v>
      </c>
      <c r="AB543" s="3" t="str">
        <f>"08065021000288"</f>
        <v>08065021000288</v>
      </c>
      <c r="AC543" s="3"/>
      <c r="AD543" s="3" t="s">
        <v>81</v>
      </c>
      <c r="AE543" s="3"/>
      <c r="AF543" s="3">
        <v>-37.25025</v>
      </c>
      <c r="AG543" s="3">
        <v>-7.016917</v>
      </c>
      <c r="AH543" s="3" t="s">
        <v>7176</v>
      </c>
      <c r="AI543" s="3"/>
      <c r="AJ543" s="3" t="s">
        <v>1178</v>
      </c>
      <c r="AK543" s="3"/>
      <c r="AL543" s="3"/>
      <c r="AM543" s="3" t="s">
        <v>65</v>
      </c>
      <c r="AN543" s="3" t="s">
        <v>296</v>
      </c>
      <c r="AO543" s="3"/>
      <c r="AP543" s="4">
        <v>44260.4717361111</v>
      </c>
      <c r="AQ543" s="3"/>
      <c r="AR543" s="3" t="s">
        <v>7177</v>
      </c>
      <c r="AS543" s="3" t="s">
        <v>7178</v>
      </c>
      <c r="AT543" s="4">
        <v>44281.0337152778</v>
      </c>
    </row>
    <row r="544" ht="15.75" customHeight="1">
      <c r="A544" s="3">
        <v>2044086.0</v>
      </c>
      <c r="B544" s="3" t="s">
        <v>116</v>
      </c>
      <c r="C544" s="3" t="s">
        <v>117</v>
      </c>
      <c r="D544" s="3" t="s">
        <v>46</v>
      </c>
      <c r="E544" s="3" t="s">
        <v>7179</v>
      </c>
      <c r="F544" s="3"/>
      <c r="G544" s="3" t="s">
        <v>119</v>
      </c>
      <c r="H544" s="3" t="s">
        <v>50</v>
      </c>
      <c r="I544" s="3">
        <v>500.0</v>
      </c>
      <c r="J544" s="3"/>
      <c r="K544" s="3"/>
      <c r="L544" s="3" t="s">
        <v>371</v>
      </c>
      <c r="M544" s="3" t="s">
        <v>7180</v>
      </c>
      <c r="N544" s="3" t="s">
        <v>257</v>
      </c>
      <c r="O544" s="3" t="s">
        <v>258</v>
      </c>
      <c r="P544" s="4">
        <v>44260.4166666667</v>
      </c>
      <c r="Q544" s="3" t="s">
        <v>56</v>
      </c>
      <c r="R544" s="5">
        <v>44260.0</v>
      </c>
      <c r="S544" s="3" t="s">
        <v>220</v>
      </c>
      <c r="T544" s="3">
        <v>3549805.0</v>
      </c>
      <c r="U544" s="3" t="s">
        <v>368</v>
      </c>
      <c r="V544" s="3" t="s">
        <v>139</v>
      </c>
      <c r="W544" s="3" t="s">
        <v>78</v>
      </c>
      <c r="X544" s="3"/>
      <c r="Y544" s="3"/>
      <c r="Z544" s="3" t="s">
        <v>260</v>
      </c>
      <c r="AA544" s="3" t="s">
        <v>7181</v>
      </c>
      <c r="AB544" s="3" t="str">
        <f>"***621298**"</f>
        <v>***621298**</v>
      </c>
      <c r="AC544" s="3"/>
      <c r="AD544" s="3"/>
      <c r="AE544" s="3"/>
      <c r="AF544" s="3">
        <v>-49.429444</v>
      </c>
      <c r="AG544" s="3">
        <v>-20.816667</v>
      </c>
      <c r="AH544" s="3" t="s">
        <v>7182</v>
      </c>
      <c r="AI544" s="3"/>
      <c r="AJ544" s="3" t="s">
        <v>371</v>
      </c>
      <c r="AK544" s="3"/>
      <c r="AL544" s="3" t="s">
        <v>128</v>
      </c>
      <c r="AM544" s="3" t="s">
        <v>65</v>
      </c>
      <c r="AN544" s="3" t="s">
        <v>159</v>
      </c>
      <c r="AO544" s="4">
        <v>44260.0</v>
      </c>
      <c r="AP544" s="4">
        <v>44260.8054166667</v>
      </c>
      <c r="AQ544" s="3" t="s">
        <v>132</v>
      </c>
      <c r="AR544" s="3" t="s">
        <v>834</v>
      </c>
      <c r="AS544" s="3"/>
      <c r="AT544" s="4">
        <v>44281.0337152778</v>
      </c>
    </row>
    <row r="545" ht="15.75" customHeight="1">
      <c r="A545" s="3">
        <v>2044100.0</v>
      </c>
      <c r="B545" s="3" t="s">
        <v>116</v>
      </c>
      <c r="C545" s="3" t="s">
        <v>117</v>
      </c>
      <c r="D545" s="3" t="s">
        <v>46</v>
      </c>
      <c r="E545" s="3" t="s">
        <v>7183</v>
      </c>
      <c r="F545" s="3"/>
      <c r="G545" s="3" t="s">
        <v>119</v>
      </c>
      <c r="H545" s="3" t="s">
        <v>72</v>
      </c>
      <c r="I545" s="3">
        <v>4000.0</v>
      </c>
      <c r="J545" s="3"/>
      <c r="K545" s="3"/>
      <c r="L545" s="3" t="s">
        <v>480</v>
      </c>
      <c r="M545" s="3" t="s">
        <v>7184</v>
      </c>
      <c r="N545" s="3" t="s">
        <v>257</v>
      </c>
      <c r="O545" s="3" t="s">
        <v>258</v>
      </c>
      <c r="P545" s="4">
        <v>44260.4166666667</v>
      </c>
      <c r="Q545" s="3" t="s">
        <v>56</v>
      </c>
      <c r="R545" s="3"/>
      <c r="S545" s="3" t="s">
        <v>220</v>
      </c>
      <c r="T545" s="3">
        <v>3136702.0</v>
      </c>
      <c r="U545" s="3" t="s">
        <v>476</v>
      </c>
      <c r="V545" s="3" t="s">
        <v>477</v>
      </c>
      <c r="W545" s="3" t="s">
        <v>78</v>
      </c>
      <c r="X545" s="3"/>
      <c r="Y545" s="3" t="str">
        <f>"02555000038202174"</f>
        <v>02555000038202174</v>
      </c>
      <c r="Z545" s="3" t="s">
        <v>260</v>
      </c>
      <c r="AA545" s="3" t="s">
        <v>7185</v>
      </c>
      <c r="AB545" s="3" t="str">
        <f>"***357496**"</f>
        <v>***357496**</v>
      </c>
      <c r="AC545" s="3"/>
      <c r="AD545" s="3"/>
      <c r="AE545" s="3"/>
      <c r="AF545" s="3">
        <v>-43.348111</v>
      </c>
      <c r="AG545" s="3">
        <v>-21.693778</v>
      </c>
      <c r="AH545" s="3" t="s">
        <v>7186</v>
      </c>
      <c r="AI545" s="3"/>
      <c r="AJ545" s="3" t="s">
        <v>480</v>
      </c>
      <c r="AK545" s="3"/>
      <c r="AL545" s="3" t="s">
        <v>128</v>
      </c>
      <c r="AM545" s="3" t="s">
        <v>65</v>
      </c>
      <c r="AN545" s="3" t="s">
        <v>83</v>
      </c>
      <c r="AO545" s="4">
        <v>44263.0</v>
      </c>
      <c r="AP545" s="4">
        <v>44263.3969444444</v>
      </c>
      <c r="AQ545" s="3" t="s">
        <v>132</v>
      </c>
      <c r="AR545" s="3" t="s">
        <v>7187</v>
      </c>
      <c r="AS545" s="3"/>
      <c r="AT545" s="4">
        <v>44281.0337152778</v>
      </c>
    </row>
    <row r="546" ht="15.75" customHeight="1">
      <c r="A546" s="3">
        <v>2044632.0</v>
      </c>
      <c r="B546" s="3" t="s">
        <v>116</v>
      </c>
      <c r="C546" s="3" t="s">
        <v>117</v>
      </c>
      <c r="D546" s="3" t="s">
        <v>46</v>
      </c>
      <c r="E546" s="3" t="s">
        <v>7188</v>
      </c>
      <c r="F546" s="3"/>
      <c r="G546" s="3" t="s">
        <v>119</v>
      </c>
      <c r="H546" s="3" t="s">
        <v>50</v>
      </c>
      <c r="I546" s="3">
        <v>1000.0</v>
      </c>
      <c r="J546" s="3"/>
      <c r="K546" s="3"/>
      <c r="L546" s="3" t="s">
        <v>273</v>
      </c>
      <c r="M546" s="3" t="s">
        <v>7189</v>
      </c>
      <c r="N546" s="3" t="s">
        <v>186</v>
      </c>
      <c r="O546" s="3" t="s">
        <v>95</v>
      </c>
      <c r="P546" s="4">
        <v>44260.4166666667</v>
      </c>
      <c r="Q546" s="3" t="s">
        <v>56</v>
      </c>
      <c r="R546" s="5">
        <v>44266.0</v>
      </c>
      <c r="S546" s="3" t="s">
        <v>268</v>
      </c>
      <c r="T546" s="3">
        <v>4113700.0</v>
      </c>
      <c r="U546" s="3" t="s">
        <v>830</v>
      </c>
      <c r="V546" s="3" t="s">
        <v>270</v>
      </c>
      <c r="W546" s="3" t="s">
        <v>78</v>
      </c>
      <c r="X546" s="3"/>
      <c r="Y546" s="3" t="str">
        <f>"02017000582202111"</f>
        <v>02017000582202111</v>
      </c>
      <c r="Z546" s="3" t="s">
        <v>101</v>
      </c>
      <c r="AA546" s="3" t="s">
        <v>7190</v>
      </c>
      <c r="AB546" s="3" t="str">
        <f>"***007279**"</f>
        <v>***007279**</v>
      </c>
      <c r="AC546" s="3"/>
      <c r="AD546" s="3"/>
      <c r="AE546" s="3"/>
      <c r="AF546" s="3">
        <v>-51.205389</v>
      </c>
      <c r="AG546" s="3">
        <v>-23.274583</v>
      </c>
      <c r="AH546" s="3" t="s">
        <v>7191</v>
      </c>
      <c r="AI546" s="3"/>
      <c r="AJ546" s="3" t="s">
        <v>273</v>
      </c>
      <c r="AK546" s="3"/>
      <c r="AL546" s="3" t="s">
        <v>128</v>
      </c>
      <c r="AM546" s="3" t="s">
        <v>65</v>
      </c>
      <c r="AN546" s="3" t="s">
        <v>159</v>
      </c>
      <c r="AO546" s="4">
        <v>44278.0</v>
      </c>
      <c r="AP546" s="4">
        <v>44278.724375</v>
      </c>
      <c r="AQ546" s="3" t="s">
        <v>132</v>
      </c>
      <c r="AR546" s="3" t="s">
        <v>531</v>
      </c>
      <c r="AS546" s="3"/>
      <c r="AT546" s="4">
        <v>44281.0337152778</v>
      </c>
    </row>
    <row r="547" ht="15.75" customHeight="1">
      <c r="A547" s="3"/>
      <c r="B547" s="3" t="s">
        <v>46</v>
      </c>
      <c r="C547" s="3" t="s">
        <v>47</v>
      </c>
      <c r="D547" s="3"/>
      <c r="E547" s="3" t="s">
        <v>7192</v>
      </c>
      <c r="F547" s="3"/>
      <c r="G547" s="3" t="s">
        <v>49</v>
      </c>
      <c r="H547" s="3" t="s">
        <v>72</v>
      </c>
      <c r="I547" s="3">
        <v>7000.0</v>
      </c>
      <c r="J547" s="3"/>
      <c r="K547" s="3"/>
      <c r="L547" s="3"/>
      <c r="M547" s="3" t="s">
        <v>7193</v>
      </c>
      <c r="N547" s="3" t="s">
        <v>53</v>
      </c>
      <c r="O547" s="3" t="s">
        <v>333</v>
      </c>
      <c r="P547" s="4">
        <v>44260.4099768518</v>
      </c>
      <c r="Q547" s="3" t="s">
        <v>56</v>
      </c>
      <c r="R547" s="3"/>
      <c r="S547" s="3" t="s">
        <v>608</v>
      </c>
      <c r="T547" s="3">
        <v>4321477.0</v>
      </c>
      <c r="U547" s="3" t="s">
        <v>609</v>
      </c>
      <c r="V547" s="3" t="s">
        <v>402</v>
      </c>
      <c r="W547" s="3" t="s">
        <v>78</v>
      </c>
      <c r="X547" s="3"/>
      <c r="Y547" s="3"/>
      <c r="Z547" s="3" t="s">
        <v>223</v>
      </c>
      <c r="AA547" s="3" t="s">
        <v>7171</v>
      </c>
      <c r="AB547" s="3" t="str">
        <f>"94726320000177"</f>
        <v>94726320000177</v>
      </c>
      <c r="AC547" s="3"/>
      <c r="AD547" s="3" t="s">
        <v>325</v>
      </c>
      <c r="AE547" s="3"/>
      <c r="AF547" s="3">
        <v>-54.211111</v>
      </c>
      <c r="AG547" s="3">
        <v>-27.363333</v>
      </c>
      <c r="AH547" s="3" t="s">
        <v>611</v>
      </c>
      <c r="AI547" s="3"/>
      <c r="AJ547" s="3" t="s">
        <v>405</v>
      </c>
      <c r="AK547" s="3"/>
      <c r="AL547" s="3"/>
      <c r="AM547" s="3" t="s">
        <v>65</v>
      </c>
      <c r="AN547" s="3" t="s">
        <v>274</v>
      </c>
      <c r="AO547" s="3"/>
      <c r="AP547" s="4">
        <v>44271.4097106482</v>
      </c>
      <c r="AQ547" s="3"/>
      <c r="AR547" s="3" t="s">
        <v>636</v>
      </c>
      <c r="AS547" s="3"/>
      <c r="AT547" s="4">
        <v>44281.0337152778</v>
      </c>
    </row>
    <row r="548" ht="15.75" customHeight="1">
      <c r="A548" s="3"/>
      <c r="B548" s="3" t="s">
        <v>46</v>
      </c>
      <c r="C548" s="3" t="s">
        <v>47</v>
      </c>
      <c r="D548" s="3"/>
      <c r="E548" s="3" t="s">
        <v>7194</v>
      </c>
      <c r="F548" s="3"/>
      <c r="G548" s="3" t="s">
        <v>49</v>
      </c>
      <c r="H548" s="3" t="s">
        <v>72</v>
      </c>
      <c r="I548" s="3">
        <v>670000.0</v>
      </c>
      <c r="J548" s="3"/>
      <c r="K548" s="3"/>
      <c r="L548" s="3"/>
      <c r="M548" s="3" t="s">
        <v>7195</v>
      </c>
      <c r="N548" s="3" t="s">
        <v>109</v>
      </c>
      <c r="O548" s="3" t="s">
        <v>110</v>
      </c>
      <c r="P548" s="4">
        <v>44260.4091087963</v>
      </c>
      <c r="Q548" s="3" t="s">
        <v>56</v>
      </c>
      <c r="R548" s="3"/>
      <c r="S548" s="3" t="s">
        <v>241</v>
      </c>
      <c r="T548" s="3">
        <v>1505031.0</v>
      </c>
      <c r="U548" s="3" t="s">
        <v>5077</v>
      </c>
      <c r="V548" s="3" t="s">
        <v>917</v>
      </c>
      <c r="W548" s="3" t="s">
        <v>100</v>
      </c>
      <c r="X548" s="3"/>
      <c r="Y548" s="3"/>
      <c r="Z548" s="3" t="s">
        <v>112</v>
      </c>
      <c r="AA548" s="3" t="s">
        <v>7196</v>
      </c>
      <c r="AB548" s="3" t="str">
        <f>"***645509**"</f>
        <v>***645509**</v>
      </c>
      <c r="AC548" s="3"/>
      <c r="AD548" s="3" t="s">
        <v>325</v>
      </c>
      <c r="AE548" s="3"/>
      <c r="AF548" s="3">
        <v>-55.140556</v>
      </c>
      <c r="AG548" s="3">
        <v>-7.594167</v>
      </c>
      <c r="AH548" s="3" t="s">
        <v>7197</v>
      </c>
      <c r="AI548" s="3"/>
      <c r="AJ548" s="3" t="s">
        <v>120</v>
      </c>
      <c r="AK548" s="3"/>
      <c r="AL548" s="3"/>
      <c r="AM548" s="3" t="s">
        <v>65</v>
      </c>
      <c r="AN548" s="3" t="s">
        <v>6870</v>
      </c>
      <c r="AO548" s="3"/>
      <c r="AP548" s="4">
        <v>44264.2776157407</v>
      </c>
      <c r="AQ548" s="3"/>
      <c r="AR548" s="3" t="s">
        <v>991</v>
      </c>
      <c r="AS548" s="3" t="s">
        <v>7198</v>
      </c>
      <c r="AT548" s="4">
        <v>44281.0337152778</v>
      </c>
    </row>
    <row r="549" ht="15.75" customHeight="1">
      <c r="A549" s="3"/>
      <c r="B549" s="3" t="s">
        <v>46</v>
      </c>
      <c r="C549" s="3" t="s">
        <v>47</v>
      </c>
      <c r="D549" s="3"/>
      <c r="E549" s="3" t="s">
        <v>7199</v>
      </c>
      <c r="F549" s="3"/>
      <c r="G549" s="3" t="s">
        <v>49</v>
      </c>
      <c r="H549" s="3" t="s">
        <v>50</v>
      </c>
      <c r="I549" s="3">
        <v>1000.0</v>
      </c>
      <c r="J549" s="3"/>
      <c r="K549" s="3" t="s">
        <v>51</v>
      </c>
      <c r="L549" s="3"/>
      <c r="M549" s="3" t="s">
        <v>7200</v>
      </c>
      <c r="N549" s="3" t="s">
        <v>285</v>
      </c>
      <c r="O549" s="3" t="s">
        <v>286</v>
      </c>
      <c r="P549" s="4">
        <v>44260.4063310185</v>
      </c>
      <c r="Q549" s="3" t="s">
        <v>56</v>
      </c>
      <c r="R549" s="3"/>
      <c r="S549" s="3" t="s">
        <v>288</v>
      </c>
      <c r="T549" s="3">
        <v>2211001.0</v>
      </c>
      <c r="U549" s="3" t="s">
        <v>527</v>
      </c>
      <c r="V549" s="3" t="s">
        <v>290</v>
      </c>
      <c r="W549" s="3" t="s">
        <v>291</v>
      </c>
      <c r="X549" s="3"/>
      <c r="Y549" s="3"/>
      <c r="Z549" s="3" t="s">
        <v>292</v>
      </c>
      <c r="AA549" s="3" t="s">
        <v>7201</v>
      </c>
      <c r="AB549" s="3" t="str">
        <f>"02906109000118"</f>
        <v>02906109000118</v>
      </c>
      <c r="AC549" s="3"/>
      <c r="AD549" s="3" t="s">
        <v>62</v>
      </c>
      <c r="AE549" s="3"/>
      <c r="AF549" s="3">
        <v>-42.784167</v>
      </c>
      <c r="AG549" s="3">
        <v>-5.065</v>
      </c>
      <c r="AH549" s="3" t="s">
        <v>7202</v>
      </c>
      <c r="AI549" s="3"/>
      <c r="AJ549" s="3" t="s">
        <v>295</v>
      </c>
      <c r="AK549" s="3"/>
      <c r="AL549" s="3"/>
      <c r="AM549" s="3" t="s">
        <v>65</v>
      </c>
      <c r="AN549" s="3" t="s">
        <v>296</v>
      </c>
      <c r="AO549" s="3"/>
      <c r="AP549" s="4">
        <v>44260.4088078704</v>
      </c>
      <c r="AQ549" s="3"/>
      <c r="AR549" s="3" t="s">
        <v>298</v>
      </c>
      <c r="AS549" s="3"/>
      <c r="AT549" s="4">
        <v>44281.0337152778</v>
      </c>
    </row>
    <row r="550" ht="15.75" customHeight="1">
      <c r="A550" s="3"/>
      <c r="B550" s="3" t="s">
        <v>46</v>
      </c>
      <c r="C550" s="3" t="s">
        <v>47</v>
      </c>
      <c r="D550" s="3"/>
      <c r="E550" s="3" t="s">
        <v>7203</v>
      </c>
      <c r="F550" s="3"/>
      <c r="G550" s="3" t="s">
        <v>49</v>
      </c>
      <c r="H550" s="3" t="s">
        <v>50</v>
      </c>
      <c r="I550" s="3">
        <v>1100.0</v>
      </c>
      <c r="J550" s="3"/>
      <c r="K550" s="3" t="s">
        <v>51</v>
      </c>
      <c r="L550" s="3"/>
      <c r="M550" s="3" t="s">
        <v>7204</v>
      </c>
      <c r="N550" s="3" t="s">
        <v>285</v>
      </c>
      <c r="O550" s="3" t="s">
        <v>286</v>
      </c>
      <c r="P550" s="4">
        <v>44260.4005439815</v>
      </c>
      <c r="Q550" s="3" t="s">
        <v>56</v>
      </c>
      <c r="R550" s="3"/>
      <c r="S550" s="3" t="s">
        <v>288</v>
      </c>
      <c r="T550" s="3">
        <v>2204154.0</v>
      </c>
      <c r="U550" s="3" t="s">
        <v>7205</v>
      </c>
      <c r="V550" s="3" t="s">
        <v>290</v>
      </c>
      <c r="W550" s="3" t="s">
        <v>291</v>
      </c>
      <c r="X550" s="3"/>
      <c r="Y550" s="3"/>
      <c r="Z550" s="3" t="s">
        <v>292</v>
      </c>
      <c r="AA550" s="3" t="s">
        <v>7206</v>
      </c>
      <c r="AB550" s="3" t="str">
        <f>"15292838000173"</f>
        <v>15292838000173</v>
      </c>
      <c r="AC550" s="3"/>
      <c r="AD550" s="3" t="s">
        <v>62</v>
      </c>
      <c r="AE550" s="3"/>
      <c r="AF550" s="3">
        <v>-42.784444</v>
      </c>
      <c r="AG550" s="3">
        <v>-5.064722</v>
      </c>
      <c r="AH550" s="3" t="s">
        <v>7207</v>
      </c>
      <c r="AI550" s="3"/>
      <c r="AJ550" s="3" t="s">
        <v>295</v>
      </c>
      <c r="AK550" s="3"/>
      <c r="AL550" s="3"/>
      <c r="AM550" s="3" t="s">
        <v>65</v>
      </c>
      <c r="AN550" s="3" t="s">
        <v>296</v>
      </c>
      <c r="AO550" s="3"/>
      <c r="AP550" s="4">
        <v>44260.4033101852</v>
      </c>
      <c r="AQ550" s="3"/>
      <c r="AR550" s="3" t="s">
        <v>298</v>
      </c>
      <c r="AS550" s="3"/>
      <c r="AT550" s="4">
        <v>44281.0337152778</v>
      </c>
    </row>
    <row r="551" ht="15.75" customHeight="1">
      <c r="A551" s="3"/>
      <c r="B551" s="3" t="s">
        <v>46</v>
      </c>
      <c r="C551" s="3" t="s">
        <v>47</v>
      </c>
      <c r="D551" s="3"/>
      <c r="E551" s="3" t="s">
        <v>7208</v>
      </c>
      <c r="F551" s="3"/>
      <c r="G551" s="3" t="s">
        <v>49</v>
      </c>
      <c r="H551" s="3" t="s">
        <v>50</v>
      </c>
      <c r="I551" s="3">
        <v>1100.0</v>
      </c>
      <c r="J551" s="3"/>
      <c r="K551" s="3" t="s">
        <v>51</v>
      </c>
      <c r="L551" s="3"/>
      <c r="M551" s="3" t="s">
        <v>7209</v>
      </c>
      <c r="N551" s="3" t="s">
        <v>285</v>
      </c>
      <c r="O551" s="3" t="s">
        <v>286</v>
      </c>
      <c r="P551" s="4">
        <v>44260.3922453704</v>
      </c>
      <c r="Q551" s="3" t="s">
        <v>56</v>
      </c>
      <c r="R551" s="3"/>
      <c r="S551" s="3" t="s">
        <v>288</v>
      </c>
      <c r="T551" s="3">
        <v>2211001.0</v>
      </c>
      <c r="U551" s="3" t="s">
        <v>527</v>
      </c>
      <c r="V551" s="3" t="s">
        <v>290</v>
      </c>
      <c r="W551" s="3" t="s">
        <v>291</v>
      </c>
      <c r="X551" s="3"/>
      <c r="Y551" s="3"/>
      <c r="Z551" s="3" t="s">
        <v>292</v>
      </c>
      <c r="AA551" s="3" t="s">
        <v>6193</v>
      </c>
      <c r="AB551" s="3" t="str">
        <f>"00744954000109"</f>
        <v>00744954000109</v>
      </c>
      <c r="AC551" s="3"/>
      <c r="AD551" s="3" t="s">
        <v>62</v>
      </c>
      <c r="AE551" s="3"/>
      <c r="AF551" s="3">
        <v>-42.784444</v>
      </c>
      <c r="AG551" s="3">
        <v>-5.064722</v>
      </c>
      <c r="AH551" s="3" t="s">
        <v>7210</v>
      </c>
      <c r="AI551" s="3"/>
      <c r="AJ551" s="3" t="s">
        <v>295</v>
      </c>
      <c r="AK551" s="3"/>
      <c r="AL551" s="3"/>
      <c r="AM551" s="3" t="s">
        <v>65</v>
      </c>
      <c r="AN551" s="3" t="s">
        <v>296</v>
      </c>
      <c r="AO551" s="3"/>
      <c r="AP551" s="4">
        <v>44260.3946875</v>
      </c>
      <c r="AQ551" s="3"/>
      <c r="AR551" s="3" t="s">
        <v>298</v>
      </c>
      <c r="AS551" s="3"/>
      <c r="AT551" s="4">
        <v>44281.0337152778</v>
      </c>
    </row>
    <row r="552" ht="15.75" customHeight="1">
      <c r="A552" s="3"/>
      <c r="B552" s="3" t="s">
        <v>46</v>
      </c>
      <c r="C552" s="3" t="s">
        <v>47</v>
      </c>
      <c r="D552" s="3"/>
      <c r="E552" s="3" t="s">
        <v>7211</v>
      </c>
      <c r="F552" s="3"/>
      <c r="G552" s="3" t="s">
        <v>49</v>
      </c>
      <c r="H552" s="3" t="s">
        <v>50</v>
      </c>
      <c r="I552" s="3">
        <v>1000.0</v>
      </c>
      <c r="J552" s="3"/>
      <c r="K552" s="3" t="s">
        <v>51</v>
      </c>
      <c r="L552" s="3"/>
      <c r="M552" s="3" t="s">
        <v>7200</v>
      </c>
      <c r="N552" s="3" t="s">
        <v>285</v>
      </c>
      <c r="O552" s="3" t="s">
        <v>286</v>
      </c>
      <c r="P552" s="4">
        <v>44260.3874074074</v>
      </c>
      <c r="Q552" s="3" t="s">
        <v>56</v>
      </c>
      <c r="R552" s="3"/>
      <c r="S552" s="3" t="s">
        <v>288</v>
      </c>
      <c r="T552" s="3">
        <v>2209005.0</v>
      </c>
      <c r="U552" s="3" t="s">
        <v>7212</v>
      </c>
      <c r="V552" s="3" t="s">
        <v>290</v>
      </c>
      <c r="W552" s="3" t="s">
        <v>291</v>
      </c>
      <c r="X552" s="3"/>
      <c r="Y552" s="3"/>
      <c r="Z552" s="3" t="s">
        <v>292</v>
      </c>
      <c r="AA552" s="3" t="s">
        <v>7213</v>
      </c>
      <c r="AB552" s="3" t="str">
        <f>"17337159000107"</f>
        <v>17337159000107</v>
      </c>
      <c r="AC552" s="3"/>
      <c r="AD552" s="3" t="s">
        <v>62</v>
      </c>
      <c r="AE552" s="3"/>
      <c r="AF552" s="3">
        <v>-42.784444</v>
      </c>
      <c r="AG552" s="3">
        <v>-5.064722</v>
      </c>
      <c r="AH552" s="3" t="s">
        <v>7214</v>
      </c>
      <c r="AI552" s="3"/>
      <c r="AJ552" s="3" t="s">
        <v>295</v>
      </c>
      <c r="AK552" s="3"/>
      <c r="AL552" s="3"/>
      <c r="AM552" s="3" t="s">
        <v>65</v>
      </c>
      <c r="AN552" s="3" t="s">
        <v>296</v>
      </c>
      <c r="AO552" s="3"/>
      <c r="AP552" s="4">
        <v>44260.3899189815</v>
      </c>
      <c r="AQ552" s="3"/>
      <c r="AR552" s="3" t="s">
        <v>298</v>
      </c>
      <c r="AS552" s="3"/>
      <c r="AT552" s="4">
        <v>44281.0337152778</v>
      </c>
    </row>
    <row r="553" ht="15.75" customHeight="1">
      <c r="A553" s="3"/>
      <c r="B553" s="3" t="s">
        <v>46</v>
      </c>
      <c r="C553" s="3" t="s">
        <v>47</v>
      </c>
      <c r="D553" s="3"/>
      <c r="E553" s="3" t="s">
        <v>7215</v>
      </c>
      <c r="F553" s="3"/>
      <c r="G553" s="3" t="s">
        <v>49</v>
      </c>
      <c r="H553" s="3" t="s">
        <v>50</v>
      </c>
      <c r="I553" s="3">
        <v>1000.0</v>
      </c>
      <c r="J553" s="3"/>
      <c r="K553" s="3" t="s">
        <v>51</v>
      </c>
      <c r="L553" s="3"/>
      <c r="M553" s="3" t="s">
        <v>7216</v>
      </c>
      <c r="N553" s="3" t="s">
        <v>285</v>
      </c>
      <c r="O553" s="3" t="s">
        <v>286</v>
      </c>
      <c r="P553" s="4">
        <v>44260.3829050926</v>
      </c>
      <c r="Q553" s="3" t="s">
        <v>56</v>
      </c>
      <c r="R553" s="3"/>
      <c r="S553" s="3" t="s">
        <v>288</v>
      </c>
      <c r="T553" s="3">
        <v>2205516.0</v>
      </c>
      <c r="U553" s="3" t="s">
        <v>7217</v>
      </c>
      <c r="V553" s="3" t="s">
        <v>290</v>
      </c>
      <c r="W553" s="3" t="s">
        <v>291</v>
      </c>
      <c r="X553" s="3"/>
      <c r="Y553" s="3"/>
      <c r="Z553" s="3" t="s">
        <v>292</v>
      </c>
      <c r="AA553" s="3" t="s">
        <v>7218</v>
      </c>
      <c r="AB553" s="3" t="str">
        <f>"07056588000144"</f>
        <v>07056588000144</v>
      </c>
      <c r="AC553" s="3"/>
      <c r="AD553" s="3" t="s">
        <v>62</v>
      </c>
      <c r="AE553" s="3"/>
      <c r="AF553" s="3">
        <v>-42.784444</v>
      </c>
      <c r="AG553" s="3">
        <v>-5.064722</v>
      </c>
      <c r="AH553" s="3" t="s">
        <v>7219</v>
      </c>
      <c r="AI553" s="3"/>
      <c r="AJ553" s="3" t="s">
        <v>295</v>
      </c>
      <c r="AK553" s="3"/>
      <c r="AL553" s="3"/>
      <c r="AM553" s="3" t="s">
        <v>65</v>
      </c>
      <c r="AN553" s="3" t="s">
        <v>296</v>
      </c>
      <c r="AO553" s="3"/>
      <c r="AP553" s="4">
        <v>44260.3861921296</v>
      </c>
      <c r="AQ553" s="3"/>
      <c r="AR553" s="3" t="s">
        <v>298</v>
      </c>
      <c r="AS553" s="3"/>
      <c r="AT553" s="4">
        <v>44281.0337152778</v>
      </c>
    </row>
    <row r="554" ht="15.75" customHeight="1">
      <c r="A554" s="3"/>
      <c r="B554" s="3" t="s">
        <v>46</v>
      </c>
      <c r="C554" s="3" t="s">
        <v>47</v>
      </c>
      <c r="D554" s="3"/>
      <c r="E554" s="3" t="s">
        <v>7220</v>
      </c>
      <c r="F554" s="3"/>
      <c r="G554" s="3" t="s">
        <v>49</v>
      </c>
      <c r="H554" s="3" t="s">
        <v>50</v>
      </c>
      <c r="I554" s="3">
        <v>1000.0</v>
      </c>
      <c r="J554" s="3"/>
      <c r="K554" s="3" t="s">
        <v>51</v>
      </c>
      <c r="L554" s="3"/>
      <c r="M554" s="3" t="s">
        <v>7200</v>
      </c>
      <c r="N554" s="3" t="s">
        <v>285</v>
      </c>
      <c r="O554" s="3" t="s">
        <v>286</v>
      </c>
      <c r="P554" s="4">
        <v>44260.3766898148</v>
      </c>
      <c r="Q554" s="3" t="s">
        <v>56</v>
      </c>
      <c r="R554" s="3"/>
      <c r="S554" s="3" t="s">
        <v>288</v>
      </c>
      <c r="T554" s="3">
        <v>2202851.0</v>
      </c>
      <c r="U554" s="3" t="s">
        <v>7221</v>
      </c>
      <c r="V554" s="3" t="s">
        <v>290</v>
      </c>
      <c r="W554" s="3" t="s">
        <v>291</v>
      </c>
      <c r="X554" s="3"/>
      <c r="Y554" s="3"/>
      <c r="Z554" s="3" t="s">
        <v>292</v>
      </c>
      <c r="AA554" s="3" t="s">
        <v>7222</v>
      </c>
      <c r="AB554" s="3" t="str">
        <f>"07365670000150"</f>
        <v>07365670000150</v>
      </c>
      <c r="AC554" s="3"/>
      <c r="AD554" s="3" t="s">
        <v>62</v>
      </c>
      <c r="AE554" s="3"/>
      <c r="AF554" s="3">
        <v>-42.784444</v>
      </c>
      <c r="AG554" s="3">
        <v>-5.064722</v>
      </c>
      <c r="AH554" s="3" t="s">
        <v>7223</v>
      </c>
      <c r="AI554" s="3"/>
      <c r="AJ554" s="3" t="s">
        <v>295</v>
      </c>
      <c r="AK554" s="3"/>
      <c r="AL554" s="3"/>
      <c r="AM554" s="3" t="s">
        <v>65</v>
      </c>
      <c r="AN554" s="3" t="s">
        <v>296</v>
      </c>
      <c r="AO554" s="3"/>
      <c r="AP554" s="4">
        <v>44260.3811111111</v>
      </c>
      <c r="AQ554" s="3"/>
      <c r="AR554" s="3" t="s">
        <v>298</v>
      </c>
      <c r="AS554" s="3"/>
      <c r="AT554" s="4">
        <v>44281.0337152778</v>
      </c>
    </row>
    <row r="555" ht="15.75" customHeight="1">
      <c r="A555" s="3">
        <v>2044121.0</v>
      </c>
      <c r="B555" s="3" t="s">
        <v>116</v>
      </c>
      <c r="C555" s="3" t="s">
        <v>117</v>
      </c>
      <c r="D555" s="3" t="s">
        <v>46</v>
      </c>
      <c r="E555" s="3" t="s">
        <v>7224</v>
      </c>
      <c r="F555" s="3"/>
      <c r="G555" s="3" t="s">
        <v>119</v>
      </c>
      <c r="H555" s="3" t="s">
        <v>50</v>
      </c>
      <c r="I555" s="3">
        <v>4000.0</v>
      </c>
      <c r="J555" s="3"/>
      <c r="K555" s="3"/>
      <c r="L555" s="3" t="s">
        <v>295</v>
      </c>
      <c r="M555" s="3" t="s">
        <v>350</v>
      </c>
      <c r="N555" s="3" t="s">
        <v>186</v>
      </c>
      <c r="O555" s="3" t="s">
        <v>95</v>
      </c>
      <c r="P555" s="4">
        <v>44260.3333333333</v>
      </c>
      <c r="Q555" s="3" t="s">
        <v>56</v>
      </c>
      <c r="R555" s="5">
        <v>44260.0</v>
      </c>
      <c r="S555" s="3" t="s">
        <v>288</v>
      </c>
      <c r="T555" s="3">
        <v>2201200.0</v>
      </c>
      <c r="U555" s="3" t="s">
        <v>7225</v>
      </c>
      <c r="V555" s="3" t="s">
        <v>290</v>
      </c>
      <c r="W555" s="3" t="s">
        <v>172</v>
      </c>
      <c r="X555" s="3"/>
      <c r="Y555" s="3" t="str">
        <f>"02020000389202113"</f>
        <v>02020000389202113</v>
      </c>
      <c r="Z555" s="3" t="s">
        <v>101</v>
      </c>
      <c r="AA555" s="3" t="s">
        <v>7226</v>
      </c>
      <c r="AB555" s="3" t="str">
        <f>"10473937000138"</f>
        <v>10473937000138</v>
      </c>
      <c r="AC555" s="3"/>
      <c r="AD555" s="3"/>
      <c r="AE555" s="3"/>
      <c r="AF555" s="3">
        <v>-42.784167</v>
      </c>
      <c r="AG555" s="3">
        <v>-5.065</v>
      </c>
      <c r="AH555" s="3" t="s">
        <v>354</v>
      </c>
      <c r="AI555" s="3"/>
      <c r="AJ555" s="3" t="s">
        <v>295</v>
      </c>
      <c r="AK555" s="3"/>
      <c r="AL555" s="3" t="s">
        <v>128</v>
      </c>
      <c r="AM555" s="3" t="s">
        <v>65</v>
      </c>
      <c r="AN555" s="3" t="s">
        <v>296</v>
      </c>
      <c r="AO555" s="4">
        <v>44263.0</v>
      </c>
      <c r="AP555" s="4">
        <v>44263.6272222222</v>
      </c>
      <c r="AQ555" s="3" t="s">
        <v>132</v>
      </c>
      <c r="AR555" s="3" t="s">
        <v>531</v>
      </c>
      <c r="AS555" s="3"/>
      <c r="AT555" s="4">
        <v>44281.0337152778</v>
      </c>
    </row>
    <row r="556" ht="15.75" customHeight="1">
      <c r="A556" s="3">
        <v>2044445.0</v>
      </c>
      <c r="B556" s="3" t="s">
        <v>116</v>
      </c>
      <c r="C556" s="3" t="s">
        <v>117</v>
      </c>
      <c r="D556" s="3" t="s">
        <v>46</v>
      </c>
      <c r="E556" s="3" t="s">
        <v>7227</v>
      </c>
      <c r="F556" s="3"/>
      <c r="G556" s="3" t="s">
        <v>119</v>
      </c>
      <c r="H556" s="3" t="s">
        <v>72</v>
      </c>
      <c r="I556" s="3">
        <v>90000.0</v>
      </c>
      <c r="J556" s="3"/>
      <c r="K556" s="3"/>
      <c r="L556" s="3" t="s">
        <v>120</v>
      </c>
      <c r="M556" s="3" t="s">
        <v>7228</v>
      </c>
      <c r="N556" s="3" t="s">
        <v>109</v>
      </c>
      <c r="O556" s="3" t="s">
        <v>110</v>
      </c>
      <c r="P556" s="4">
        <v>44260.3333333333</v>
      </c>
      <c r="Q556" s="3" t="s">
        <v>77</v>
      </c>
      <c r="R556" s="5">
        <v>44260.0</v>
      </c>
      <c r="S556" s="3" t="s">
        <v>915</v>
      </c>
      <c r="T556" s="3">
        <v>1505031.0</v>
      </c>
      <c r="U556" s="3" t="s">
        <v>5077</v>
      </c>
      <c r="V556" s="3" t="s">
        <v>917</v>
      </c>
      <c r="W556" s="3" t="s">
        <v>100</v>
      </c>
      <c r="X556" s="3"/>
      <c r="Y556" s="3" t="str">
        <f>"02001005380202127"</f>
        <v>02001005380202127</v>
      </c>
      <c r="Z556" s="3" t="s">
        <v>112</v>
      </c>
      <c r="AA556" s="3" t="s">
        <v>7229</v>
      </c>
      <c r="AB556" s="3" t="str">
        <f>"***219921**"</f>
        <v>***219921**</v>
      </c>
      <c r="AC556" s="3"/>
      <c r="AD556" s="3"/>
      <c r="AE556" s="3"/>
      <c r="AF556" s="3">
        <v>-55.144778</v>
      </c>
      <c r="AG556" s="3">
        <v>-7.585278</v>
      </c>
      <c r="AH556" s="3" t="s">
        <v>7230</v>
      </c>
      <c r="AI556" s="3"/>
      <c r="AJ556" s="3" t="s">
        <v>120</v>
      </c>
      <c r="AK556" s="3"/>
      <c r="AL556" s="3" t="s">
        <v>128</v>
      </c>
      <c r="AM556" s="3" t="s">
        <v>65</v>
      </c>
      <c r="AN556" s="3" t="s">
        <v>6870</v>
      </c>
      <c r="AO556" s="4">
        <v>44271.0</v>
      </c>
      <c r="AP556" s="4">
        <v>44271.6658796296</v>
      </c>
      <c r="AQ556" s="3" t="s">
        <v>132</v>
      </c>
      <c r="AR556" s="3" t="s">
        <v>3557</v>
      </c>
      <c r="AS556" s="3" t="s">
        <v>7231</v>
      </c>
      <c r="AT556" s="4">
        <v>44281.0337152778</v>
      </c>
    </row>
    <row r="557" ht="15.75" customHeight="1">
      <c r="A557" s="3">
        <v>2044161.0</v>
      </c>
      <c r="B557" s="3" t="s">
        <v>116</v>
      </c>
      <c r="C557" s="3" t="s">
        <v>117</v>
      </c>
      <c r="D557" s="3" t="s">
        <v>46</v>
      </c>
      <c r="E557" s="3" t="s">
        <v>7232</v>
      </c>
      <c r="F557" s="3"/>
      <c r="G557" s="3" t="s">
        <v>119</v>
      </c>
      <c r="H557" s="3" t="s">
        <v>50</v>
      </c>
      <c r="I557" s="3">
        <v>500500.0</v>
      </c>
      <c r="J557" s="3"/>
      <c r="K557" s="3"/>
      <c r="L557" s="3" t="s">
        <v>120</v>
      </c>
      <c r="M557" s="3" t="s">
        <v>7233</v>
      </c>
      <c r="N557" s="3" t="s">
        <v>53</v>
      </c>
      <c r="O557" s="3" t="s">
        <v>333</v>
      </c>
      <c r="P557" s="4">
        <v>44260.25</v>
      </c>
      <c r="Q557" s="3" t="s">
        <v>56</v>
      </c>
      <c r="R557" s="3"/>
      <c r="S557" s="3" t="s">
        <v>241</v>
      </c>
      <c r="T557" s="3">
        <v>5300108.0</v>
      </c>
      <c r="U557" s="3" t="s">
        <v>304</v>
      </c>
      <c r="V557" s="3" t="s">
        <v>305</v>
      </c>
      <c r="W557" s="3" t="s">
        <v>291</v>
      </c>
      <c r="X557" s="3"/>
      <c r="Y557" s="3" t="str">
        <f>"02001004791202103"</f>
        <v>02001004791202103</v>
      </c>
      <c r="Z557" s="3" t="s">
        <v>223</v>
      </c>
      <c r="AA557" s="3" t="s">
        <v>1085</v>
      </c>
      <c r="AB557" s="3" t="str">
        <f>"33000167104900"</f>
        <v>33000167104900</v>
      </c>
      <c r="AC557" s="3"/>
      <c r="AD557" s="3"/>
      <c r="AE557" s="3"/>
      <c r="AF557" s="3">
        <v>-35.221667</v>
      </c>
      <c r="AG557" s="3">
        <v>-5.8225</v>
      </c>
      <c r="AH557" s="3" t="s">
        <v>7234</v>
      </c>
      <c r="AI557" s="3"/>
      <c r="AJ557" s="3" t="s">
        <v>120</v>
      </c>
      <c r="AK557" s="3"/>
      <c r="AL557" s="3" t="s">
        <v>128</v>
      </c>
      <c r="AM557" s="3" t="s">
        <v>65</v>
      </c>
      <c r="AN557" s="3" t="s">
        <v>66</v>
      </c>
      <c r="AO557" s="4">
        <v>44264.0</v>
      </c>
      <c r="AP557" s="4">
        <v>44264.4917361111</v>
      </c>
      <c r="AQ557" s="3" t="s">
        <v>132</v>
      </c>
      <c r="AR557" s="3" t="s">
        <v>1088</v>
      </c>
      <c r="AS557" s="3"/>
      <c r="AT557" s="4">
        <v>44281.0337152778</v>
      </c>
    </row>
    <row r="558" ht="15.75" customHeight="1">
      <c r="A558" s="3"/>
      <c r="B558" s="3" t="s">
        <v>46</v>
      </c>
      <c r="C558" s="3" t="s">
        <v>47</v>
      </c>
      <c r="D558" s="3"/>
      <c r="E558" s="3" t="s">
        <v>7235</v>
      </c>
      <c r="F558" s="3"/>
      <c r="G558" s="3" t="s">
        <v>49</v>
      </c>
      <c r="H558" s="3" t="s">
        <v>50</v>
      </c>
      <c r="I558" s="3">
        <v>51000.0</v>
      </c>
      <c r="J558" s="3"/>
      <c r="K558" s="3" t="s">
        <v>92</v>
      </c>
      <c r="L558" s="3"/>
      <c r="M558" s="3" t="s">
        <v>7236</v>
      </c>
      <c r="N558" s="3" t="s">
        <v>53</v>
      </c>
      <c r="O558" s="3" t="s">
        <v>333</v>
      </c>
      <c r="P558" s="4">
        <v>44260.1935532407</v>
      </c>
      <c r="Q558" s="3" t="s">
        <v>56</v>
      </c>
      <c r="R558" s="3"/>
      <c r="S558" s="3" t="s">
        <v>148</v>
      </c>
      <c r="T558" s="3">
        <v>1100049.0</v>
      </c>
      <c r="U558" s="3" t="s">
        <v>202</v>
      </c>
      <c r="V558" s="3" t="s">
        <v>125</v>
      </c>
      <c r="W558" s="3" t="s">
        <v>100</v>
      </c>
      <c r="X558" s="3"/>
      <c r="Y558" s="3" t="str">
        <f>"02502000078202131"</f>
        <v>02502000078202131</v>
      </c>
      <c r="Z558" s="3" t="s">
        <v>223</v>
      </c>
      <c r="AA558" s="3" t="s">
        <v>7237</v>
      </c>
      <c r="AB558" s="3" t="str">
        <f>"04262645000153"</f>
        <v>04262645000153</v>
      </c>
      <c r="AC558" s="3"/>
      <c r="AD558" s="3" t="s">
        <v>81</v>
      </c>
      <c r="AE558" s="3"/>
      <c r="AF558" s="3">
        <v>-61.447778</v>
      </c>
      <c r="AG558" s="3">
        <v>-11.431389</v>
      </c>
      <c r="AH558" s="3" t="s">
        <v>7238</v>
      </c>
      <c r="AI558" s="3"/>
      <c r="AJ558" s="3" t="s">
        <v>158</v>
      </c>
      <c r="AK558" s="3"/>
      <c r="AL558" s="3"/>
      <c r="AM558" s="3" t="s">
        <v>65</v>
      </c>
      <c r="AN558" s="3" t="s">
        <v>159</v>
      </c>
      <c r="AO558" s="3"/>
      <c r="AP558" s="4">
        <v>44260.1985532407</v>
      </c>
      <c r="AQ558" s="3"/>
      <c r="AR558" s="3" t="s">
        <v>339</v>
      </c>
      <c r="AS558" s="3" t="s">
        <v>7239</v>
      </c>
      <c r="AT558" s="4">
        <v>44281.0337152778</v>
      </c>
    </row>
    <row r="559" ht="15.75" customHeight="1">
      <c r="A559" s="3"/>
      <c r="B559" s="3" t="s">
        <v>46</v>
      </c>
      <c r="C559" s="3" t="s">
        <v>47</v>
      </c>
      <c r="D559" s="3"/>
      <c r="E559" s="3" t="s">
        <v>7240</v>
      </c>
      <c r="F559" s="3"/>
      <c r="G559" s="3" t="s">
        <v>49</v>
      </c>
      <c r="H559" s="3" t="s">
        <v>72</v>
      </c>
      <c r="I559" s="3">
        <v>6315.0</v>
      </c>
      <c r="J559" s="3"/>
      <c r="K559" s="3"/>
      <c r="L559" s="3"/>
      <c r="M559" s="3" t="s">
        <v>7241</v>
      </c>
      <c r="N559" s="3" t="s">
        <v>109</v>
      </c>
      <c r="O559" s="3" t="s">
        <v>110</v>
      </c>
      <c r="P559" s="4">
        <v>44259.7119907407</v>
      </c>
      <c r="Q559" s="3" t="s">
        <v>56</v>
      </c>
      <c r="R559" s="5">
        <v>44259.0</v>
      </c>
      <c r="S559" s="3" t="s">
        <v>220</v>
      </c>
      <c r="T559" s="3">
        <v>1302603.0</v>
      </c>
      <c r="U559" s="3" t="s">
        <v>4149</v>
      </c>
      <c r="V559" s="3" t="s">
        <v>99</v>
      </c>
      <c r="W559" s="3" t="s">
        <v>100</v>
      </c>
      <c r="X559" s="3"/>
      <c r="Y559" s="3"/>
      <c r="Z559" s="3" t="s">
        <v>112</v>
      </c>
      <c r="AA559" s="3" t="s">
        <v>7242</v>
      </c>
      <c r="AB559" s="3" t="str">
        <f>"00236105000225"</f>
        <v>00236105000225</v>
      </c>
      <c r="AC559" s="3"/>
      <c r="AD559" s="3" t="s">
        <v>62</v>
      </c>
      <c r="AE559" s="3"/>
      <c r="AF559" s="3">
        <v>-4.985278</v>
      </c>
      <c r="AG559" s="3">
        <v>38.494444</v>
      </c>
      <c r="AH559" s="3" t="s">
        <v>7243</v>
      </c>
      <c r="AI559" s="3"/>
      <c r="AJ559" s="3" t="s">
        <v>104</v>
      </c>
      <c r="AK559" s="3"/>
      <c r="AL559" s="3"/>
      <c r="AM559" s="3" t="s">
        <v>65</v>
      </c>
      <c r="AN559" s="3"/>
      <c r="AO559" s="3"/>
      <c r="AP559" s="4">
        <v>44260.4829513889</v>
      </c>
      <c r="AQ559" s="3"/>
      <c r="AR559" s="3" t="s">
        <v>115</v>
      </c>
      <c r="AS559" s="3"/>
      <c r="AT559" s="4">
        <v>44281.0337152778</v>
      </c>
    </row>
    <row r="560" ht="15.75" customHeight="1">
      <c r="A560" s="3">
        <v>2044439.0</v>
      </c>
      <c r="B560" s="3" t="s">
        <v>116</v>
      </c>
      <c r="C560" s="3" t="s">
        <v>117</v>
      </c>
      <c r="D560" s="3" t="s">
        <v>46</v>
      </c>
      <c r="E560" s="3" t="s">
        <v>7244</v>
      </c>
      <c r="F560" s="3"/>
      <c r="G560" s="3" t="s">
        <v>119</v>
      </c>
      <c r="H560" s="3" t="s">
        <v>50</v>
      </c>
      <c r="I560" s="3">
        <v>20500.0</v>
      </c>
      <c r="J560" s="3"/>
      <c r="K560" s="3"/>
      <c r="L560" s="3" t="s">
        <v>405</v>
      </c>
      <c r="M560" s="3" t="s">
        <v>7245</v>
      </c>
      <c r="N560" s="3" t="s">
        <v>53</v>
      </c>
      <c r="O560" s="3" t="s">
        <v>333</v>
      </c>
      <c r="P560" s="4">
        <v>44259.7083333333</v>
      </c>
      <c r="Q560" s="3" t="s">
        <v>56</v>
      </c>
      <c r="R560" s="3"/>
      <c r="S560" s="3" t="s">
        <v>220</v>
      </c>
      <c r="T560" s="3">
        <v>4300406.0</v>
      </c>
      <c r="U560" s="3" t="s">
        <v>7246</v>
      </c>
      <c r="V560" s="3" t="s">
        <v>402</v>
      </c>
      <c r="W560" s="3" t="s">
        <v>314</v>
      </c>
      <c r="X560" s="3"/>
      <c r="Y560" s="3" t="str">
        <f>"02023000590202171"</f>
        <v>02023000590202171</v>
      </c>
      <c r="Z560" s="3" t="s">
        <v>223</v>
      </c>
      <c r="AA560" s="3" t="s">
        <v>7247</v>
      </c>
      <c r="AB560" s="3" t="str">
        <f>"***496240**"</f>
        <v>***496240**</v>
      </c>
      <c r="AC560" s="3"/>
      <c r="AD560" s="3"/>
      <c r="AE560" s="3"/>
      <c r="AF560" s="3">
        <v>-55.7325</v>
      </c>
      <c r="AG560" s="3">
        <v>-29.816667</v>
      </c>
      <c r="AH560" s="3" t="s">
        <v>7248</v>
      </c>
      <c r="AI560" s="3"/>
      <c r="AJ560" s="3" t="s">
        <v>405</v>
      </c>
      <c r="AK560" s="3"/>
      <c r="AL560" s="3" t="s">
        <v>128</v>
      </c>
      <c r="AM560" s="3" t="s">
        <v>65</v>
      </c>
      <c r="AN560" s="3" t="s">
        <v>159</v>
      </c>
      <c r="AO560" s="4">
        <v>44271.0</v>
      </c>
      <c r="AP560" s="4">
        <v>44271.6188773148</v>
      </c>
      <c r="AQ560" s="3" t="s">
        <v>132</v>
      </c>
      <c r="AR560" s="3" t="s">
        <v>2761</v>
      </c>
      <c r="AS560" s="3" t="s">
        <v>7249</v>
      </c>
      <c r="AT560" s="4">
        <v>44281.0337152778</v>
      </c>
    </row>
    <row r="561" ht="15.75" customHeight="1">
      <c r="A561" s="3">
        <v>2044440.0</v>
      </c>
      <c r="B561" s="3" t="s">
        <v>116</v>
      </c>
      <c r="C561" s="3" t="s">
        <v>117</v>
      </c>
      <c r="D561" s="3" t="s">
        <v>46</v>
      </c>
      <c r="E561" s="3" t="s">
        <v>7250</v>
      </c>
      <c r="F561" s="3"/>
      <c r="G561" s="3" t="s">
        <v>119</v>
      </c>
      <c r="H561" s="3" t="s">
        <v>50</v>
      </c>
      <c r="I561" s="3">
        <v>20500.0</v>
      </c>
      <c r="J561" s="3"/>
      <c r="K561" s="3"/>
      <c r="L561" s="3" t="s">
        <v>405</v>
      </c>
      <c r="M561" s="3" t="s">
        <v>7251</v>
      </c>
      <c r="N561" s="3" t="s">
        <v>53</v>
      </c>
      <c r="O561" s="3" t="s">
        <v>333</v>
      </c>
      <c r="P561" s="4">
        <v>44259.7083333333</v>
      </c>
      <c r="Q561" s="3" t="s">
        <v>56</v>
      </c>
      <c r="R561" s="3"/>
      <c r="S561" s="3" t="s">
        <v>220</v>
      </c>
      <c r="T561" s="3">
        <v>4300406.0</v>
      </c>
      <c r="U561" s="3" t="s">
        <v>7246</v>
      </c>
      <c r="V561" s="3" t="s">
        <v>402</v>
      </c>
      <c r="W561" s="3" t="s">
        <v>314</v>
      </c>
      <c r="X561" s="3"/>
      <c r="Y561" s="3" t="str">
        <f>"02023000591202115"</f>
        <v>02023000591202115</v>
      </c>
      <c r="Z561" s="3" t="s">
        <v>223</v>
      </c>
      <c r="AA561" s="3" t="s">
        <v>7252</v>
      </c>
      <c r="AB561" s="3" t="str">
        <f>"***462730**"</f>
        <v>***462730**</v>
      </c>
      <c r="AC561" s="3"/>
      <c r="AD561" s="3"/>
      <c r="AE561" s="3"/>
      <c r="AF561" s="3">
        <v>-55.7325</v>
      </c>
      <c r="AG561" s="3">
        <v>-29.816667</v>
      </c>
      <c r="AH561" s="3" t="s">
        <v>7248</v>
      </c>
      <c r="AI561" s="3"/>
      <c r="AJ561" s="3" t="s">
        <v>405</v>
      </c>
      <c r="AK561" s="3"/>
      <c r="AL561" s="3" t="s">
        <v>128</v>
      </c>
      <c r="AM561" s="3" t="s">
        <v>65</v>
      </c>
      <c r="AN561" s="3" t="s">
        <v>159</v>
      </c>
      <c r="AO561" s="4">
        <v>44271.0</v>
      </c>
      <c r="AP561" s="4">
        <v>44271.6196296296</v>
      </c>
      <c r="AQ561" s="3" t="s">
        <v>132</v>
      </c>
      <c r="AR561" s="3" t="s">
        <v>2761</v>
      </c>
      <c r="AS561" s="3" t="s">
        <v>7253</v>
      </c>
      <c r="AT561" s="4">
        <v>44281.0337152778</v>
      </c>
    </row>
    <row r="562" ht="15.75" customHeight="1">
      <c r="A562" s="3"/>
      <c r="B562" s="3" t="s">
        <v>46</v>
      </c>
      <c r="C562" s="3" t="s">
        <v>571</v>
      </c>
      <c r="D562" s="3" t="s">
        <v>116</v>
      </c>
      <c r="E562" s="3" t="s">
        <v>7254</v>
      </c>
      <c r="F562" s="3"/>
      <c r="G562" s="3" t="s">
        <v>49</v>
      </c>
      <c r="H562" s="3" t="s">
        <v>72</v>
      </c>
      <c r="I562" s="3">
        <v>6315.0</v>
      </c>
      <c r="J562" s="3"/>
      <c r="K562" s="3"/>
      <c r="L562" s="3"/>
      <c r="M562" s="3"/>
      <c r="N562" s="3" t="s">
        <v>109</v>
      </c>
      <c r="O562" s="3" t="s">
        <v>110</v>
      </c>
      <c r="P562" s="4">
        <v>44259.7036805556</v>
      </c>
      <c r="Q562" s="3" t="s">
        <v>56</v>
      </c>
      <c r="R562" s="5">
        <v>44259.0</v>
      </c>
      <c r="S562" s="3" t="s">
        <v>220</v>
      </c>
      <c r="T562" s="3">
        <v>1302603.0</v>
      </c>
      <c r="U562" s="3" t="s">
        <v>4149</v>
      </c>
      <c r="V562" s="3" t="s">
        <v>99</v>
      </c>
      <c r="W562" s="3" t="s">
        <v>100</v>
      </c>
      <c r="X562" s="3"/>
      <c r="Y562" s="3"/>
      <c r="Z562" s="3" t="s">
        <v>112</v>
      </c>
      <c r="AA562" s="3" t="s">
        <v>7255</v>
      </c>
      <c r="AB562" s="3" t="str">
        <f>"00236105000225"</f>
        <v>00236105000225</v>
      </c>
      <c r="AC562" s="3"/>
      <c r="AD562" s="3" t="s">
        <v>62</v>
      </c>
      <c r="AE562" s="3"/>
      <c r="AF562" s="3">
        <v>-4.985278</v>
      </c>
      <c r="AG562" s="3">
        <v>38.485278</v>
      </c>
      <c r="AH562" s="3" t="s">
        <v>7256</v>
      </c>
      <c r="AI562" s="3"/>
      <c r="AJ562" s="3" t="s">
        <v>104</v>
      </c>
      <c r="AK562" s="3"/>
      <c r="AL562" s="3"/>
      <c r="AM562" s="3" t="s">
        <v>65</v>
      </c>
      <c r="AN562" s="3"/>
      <c r="AO562" s="3"/>
      <c r="AP562" s="4">
        <v>44260.4838310185</v>
      </c>
      <c r="AQ562" s="3"/>
      <c r="AR562" s="3" t="s">
        <v>115</v>
      </c>
      <c r="AS562" s="3"/>
      <c r="AT562" s="4">
        <v>44281.0337152778</v>
      </c>
    </row>
    <row r="563" ht="15.75" customHeight="1">
      <c r="A563" s="3"/>
      <c r="B563" s="3" t="s">
        <v>46</v>
      </c>
      <c r="C563" s="3" t="s">
        <v>47</v>
      </c>
      <c r="D563" s="3"/>
      <c r="E563" s="3" t="s">
        <v>7257</v>
      </c>
      <c r="F563" s="3"/>
      <c r="G563" s="3" t="s">
        <v>49</v>
      </c>
      <c r="H563" s="3" t="s">
        <v>72</v>
      </c>
      <c r="I563" s="3">
        <v>1.248E7</v>
      </c>
      <c r="J563" s="3"/>
      <c r="K563" s="3"/>
      <c r="L563" s="3"/>
      <c r="M563" s="3" t="s">
        <v>7258</v>
      </c>
      <c r="N563" s="3" t="s">
        <v>109</v>
      </c>
      <c r="O563" s="3" t="s">
        <v>110</v>
      </c>
      <c r="P563" s="4">
        <v>44259.6996990741</v>
      </c>
      <c r="Q563" s="3" t="s">
        <v>56</v>
      </c>
      <c r="R563" s="3"/>
      <c r="S563" s="3" t="s">
        <v>241</v>
      </c>
      <c r="T563" s="3">
        <v>5100805.0</v>
      </c>
      <c r="U563" s="3" t="s">
        <v>7259</v>
      </c>
      <c r="V563" s="3" t="s">
        <v>323</v>
      </c>
      <c r="W563" s="3" t="s">
        <v>100</v>
      </c>
      <c r="X563" s="3"/>
      <c r="Y563" s="3"/>
      <c r="Z563" s="3" t="s">
        <v>112</v>
      </c>
      <c r="AA563" s="3" t="s">
        <v>7260</v>
      </c>
      <c r="AB563" s="3" t="str">
        <f>"27491927000128"</f>
        <v>27491927000128</v>
      </c>
      <c r="AC563" s="3"/>
      <c r="AD563" s="3" t="s">
        <v>325</v>
      </c>
      <c r="AE563" s="3"/>
      <c r="AF563" s="3">
        <v>-57.190278</v>
      </c>
      <c r="AG563" s="3">
        <v>-9.243611</v>
      </c>
      <c r="AH563" s="3" t="s">
        <v>7261</v>
      </c>
      <c r="AI563" s="3"/>
      <c r="AJ563" s="3" t="s">
        <v>1763</v>
      </c>
      <c r="AK563" s="3"/>
      <c r="AL563" s="3"/>
      <c r="AM563" s="3" t="s">
        <v>65</v>
      </c>
      <c r="AN563" s="3" t="s">
        <v>7262</v>
      </c>
      <c r="AO563" s="3"/>
      <c r="AP563" s="4">
        <v>44259.7033333333</v>
      </c>
      <c r="AQ563" s="3"/>
      <c r="AR563" s="3" t="s">
        <v>7263</v>
      </c>
      <c r="AS563" s="3"/>
      <c r="AT563" s="4">
        <v>44281.0337152778</v>
      </c>
    </row>
    <row r="564" ht="15.75" customHeight="1">
      <c r="A564" s="3"/>
      <c r="B564" s="3" t="s">
        <v>46</v>
      </c>
      <c r="C564" s="3" t="s">
        <v>47</v>
      </c>
      <c r="D564" s="3"/>
      <c r="E564" s="3" t="s">
        <v>7264</v>
      </c>
      <c r="F564" s="3"/>
      <c r="G564" s="3" t="s">
        <v>49</v>
      </c>
      <c r="H564" s="3" t="s">
        <v>72</v>
      </c>
      <c r="I564" s="3">
        <v>29115.21</v>
      </c>
      <c r="J564" s="3"/>
      <c r="K564" s="3"/>
      <c r="L564" s="3"/>
      <c r="M564" s="3" t="s">
        <v>7265</v>
      </c>
      <c r="N564" s="3" t="s">
        <v>109</v>
      </c>
      <c r="O564" s="3" t="s">
        <v>110</v>
      </c>
      <c r="P564" s="4">
        <v>44259.6916203704</v>
      </c>
      <c r="Q564" s="3" t="s">
        <v>56</v>
      </c>
      <c r="R564" s="5">
        <v>44259.0</v>
      </c>
      <c r="S564" s="3" t="s">
        <v>220</v>
      </c>
      <c r="T564" s="3">
        <v>1302603.0</v>
      </c>
      <c r="U564" s="3" t="s">
        <v>4149</v>
      </c>
      <c r="V564" s="3" t="s">
        <v>99</v>
      </c>
      <c r="W564" s="3" t="s">
        <v>100</v>
      </c>
      <c r="X564" s="3"/>
      <c r="Y564" s="3"/>
      <c r="Z564" s="3" t="s">
        <v>112</v>
      </c>
      <c r="AA564" s="3" t="s">
        <v>7266</v>
      </c>
      <c r="AB564" s="3" t="str">
        <f>"11721263000106"</f>
        <v>11721263000106</v>
      </c>
      <c r="AC564" s="3"/>
      <c r="AD564" s="3" t="s">
        <v>62</v>
      </c>
      <c r="AE564" s="3"/>
      <c r="AF564" s="3">
        <v>-4.131667</v>
      </c>
      <c r="AG564" s="3">
        <v>38.247778</v>
      </c>
      <c r="AH564" s="3" t="s">
        <v>7267</v>
      </c>
      <c r="AI564" s="3"/>
      <c r="AJ564" s="3" t="s">
        <v>104</v>
      </c>
      <c r="AK564" s="3"/>
      <c r="AL564" s="3"/>
      <c r="AM564" s="3" t="s">
        <v>65</v>
      </c>
      <c r="AN564" s="3"/>
      <c r="AO564" s="3"/>
      <c r="AP564" s="4">
        <v>44260.4847453704</v>
      </c>
      <c r="AQ564" s="3"/>
      <c r="AR564" s="3" t="s">
        <v>115</v>
      </c>
      <c r="AS564" s="3"/>
      <c r="AT564" s="4">
        <v>44281.0337152778</v>
      </c>
    </row>
    <row r="565" ht="15.75" customHeight="1">
      <c r="A565" s="3">
        <v>2044120.0</v>
      </c>
      <c r="B565" s="3" t="s">
        <v>116</v>
      </c>
      <c r="C565" s="3" t="s">
        <v>117</v>
      </c>
      <c r="D565" s="3" t="s">
        <v>46</v>
      </c>
      <c r="E565" s="3" t="s">
        <v>7268</v>
      </c>
      <c r="F565" s="3"/>
      <c r="G565" s="3" t="s">
        <v>119</v>
      </c>
      <c r="H565" s="3" t="s">
        <v>50</v>
      </c>
      <c r="I565" s="3">
        <v>4000.0</v>
      </c>
      <c r="J565" s="3"/>
      <c r="K565" s="3"/>
      <c r="L565" s="3" t="s">
        <v>295</v>
      </c>
      <c r="M565" s="3" t="s">
        <v>350</v>
      </c>
      <c r="N565" s="3" t="s">
        <v>186</v>
      </c>
      <c r="O565" s="3" t="s">
        <v>95</v>
      </c>
      <c r="P565" s="4">
        <v>44259.6666666667</v>
      </c>
      <c r="Q565" s="3" t="s">
        <v>56</v>
      </c>
      <c r="R565" s="5">
        <v>44259.0</v>
      </c>
      <c r="S565" s="3" t="s">
        <v>288</v>
      </c>
      <c r="T565" s="3">
        <v>2207702.0</v>
      </c>
      <c r="U565" s="3" t="s">
        <v>7070</v>
      </c>
      <c r="V565" s="3" t="s">
        <v>290</v>
      </c>
      <c r="W565" s="3" t="s">
        <v>172</v>
      </c>
      <c r="X565" s="3"/>
      <c r="Y565" s="3" t="str">
        <f>"02020000388202179"</f>
        <v>02020000388202179</v>
      </c>
      <c r="Z565" s="3" t="s">
        <v>101</v>
      </c>
      <c r="AA565" s="3" t="s">
        <v>7269</v>
      </c>
      <c r="AB565" s="3" t="str">
        <f>"63509228000121"</f>
        <v>63509228000121</v>
      </c>
      <c r="AC565" s="3"/>
      <c r="AD565" s="3"/>
      <c r="AE565" s="3"/>
      <c r="AF565" s="3">
        <v>-42.783611</v>
      </c>
      <c r="AG565" s="3">
        <v>-5.064722</v>
      </c>
      <c r="AH565" s="3" t="s">
        <v>6116</v>
      </c>
      <c r="AI565" s="3"/>
      <c r="AJ565" s="3" t="s">
        <v>295</v>
      </c>
      <c r="AK565" s="3"/>
      <c r="AL565" s="3" t="s">
        <v>128</v>
      </c>
      <c r="AM565" s="3" t="s">
        <v>65</v>
      </c>
      <c r="AN565" s="3" t="s">
        <v>296</v>
      </c>
      <c r="AO565" s="4">
        <v>44263.0</v>
      </c>
      <c r="AP565" s="4">
        <v>44263.6268981482</v>
      </c>
      <c r="AQ565" s="3" t="s">
        <v>132</v>
      </c>
      <c r="AR565" s="3" t="s">
        <v>531</v>
      </c>
      <c r="AS565" s="3"/>
      <c r="AT565" s="4">
        <v>44281.0337152778</v>
      </c>
    </row>
    <row r="566" ht="15.75" customHeight="1">
      <c r="A566" s="3">
        <v>2044123.0</v>
      </c>
      <c r="B566" s="3" t="s">
        <v>116</v>
      </c>
      <c r="C566" s="3" t="s">
        <v>117</v>
      </c>
      <c r="D566" s="3" t="s">
        <v>46</v>
      </c>
      <c r="E566" s="3" t="s">
        <v>7270</v>
      </c>
      <c r="F566" s="3"/>
      <c r="G566" s="3" t="s">
        <v>119</v>
      </c>
      <c r="H566" s="3" t="s">
        <v>50</v>
      </c>
      <c r="I566" s="3">
        <v>4000.0</v>
      </c>
      <c r="J566" s="3"/>
      <c r="K566" s="3"/>
      <c r="L566" s="3" t="s">
        <v>405</v>
      </c>
      <c r="M566" s="3" t="s">
        <v>7271</v>
      </c>
      <c r="N566" s="3" t="s">
        <v>186</v>
      </c>
      <c r="O566" s="3" t="s">
        <v>95</v>
      </c>
      <c r="P566" s="4">
        <v>44259.6666666667</v>
      </c>
      <c r="Q566" s="3" t="s">
        <v>56</v>
      </c>
      <c r="R566" s="3"/>
      <c r="S566" s="3" t="s">
        <v>400</v>
      </c>
      <c r="T566" s="3">
        <v>4301503.0</v>
      </c>
      <c r="U566" s="3" t="s">
        <v>7272</v>
      </c>
      <c r="V566" s="3" t="s">
        <v>402</v>
      </c>
      <c r="W566" s="3" t="s">
        <v>78</v>
      </c>
      <c r="X566" s="3"/>
      <c r="Y566" s="3" t="str">
        <f>"02023000503202185"</f>
        <v>02023000503202185</v>
      </c>
      <c r="Z566" s="3" t="s">
        <v>101</v>
      </c>
      <c r="AA566" s="3" t="s">
        <v>7273</v>
      </c>
      <c r="AB566" s="3" t="str">
        <f>"91982496000100"</f>
        <v>91982496000100</v>
      </c>
      <c r="AC566" s="3"/>
      <c r="AD566" s="3"/>
      <c r="AE566" s="3"/>
      <c r="AF566" s="3">
        <v>-54.027056</v>
      </c>
      <c r="AG566" s="3">
        <v>-28.53175</v>
      </c>
      <c r="AH566" s="3" t="s">
        <v>7274</v>
      </c>
      <c r="AI566" s="3"/>
      <c r="AJ566" s="3" t="s">
        <v>405</v>
      </c>
      <c r="AK566" s="3"/>
      <c r="AL566" s="3" t="s">
        <v>128</v>
      </c>
      <c r="AM566" s="3" t="s">
        <v>65</v>
      </c>
      <c r="AN566" s="3" t="s">
        <v>274</v>
      </c>
      <c r="AO566" s="4">
        <v>44263.0</v>
      </c>
      <c r="AP566" s="4">
        <v>44263.6337615741</v>
      </c>
      <c r="AQ566" s="3" t="s">
        <v>132</v>
      </c>
      <c r="AR566" s="3" t="s">
        <v>693</v>
      </c>
      <c r="AS566" s="3"/>
      <c r="AT566" s="4">
        <v>44281.0337152778</v>
      </c>
    </row>
    <row r="567" ht="15.75" customHeight="1">
      <c r="A567" s="3">
        <v>2044188.0</v>
      </c>
      <c r="B567" s="3" t="s">
        <v>116</v>
      </c>
      <c r="C567" s="3" t="s">
        <v>117</v>
      </c>
      <c r="D567" s="3" t="s">
        <v>46</v>
      </c>
      <c r="E567" s="3" t="s">
        <v>7275</v>
      </c>
      <c r="F567" s="3"/>
      <c r="G567" s="3" t="s">
        <v>119</v>
      </c>
      <c r="H567" s="3" t="s">
        <v>50</v>
      </c>
      <c r="I567" s="3">
        <v>109165.0</v>
      </c>
      <c r="J567" s="3"/>
      <c r="K567" s="3"/>
      <c r="L567" s="3" t="s">
        <v>1737</v>
      </c>
      <c r="M567" s="3" t="s">
        <v>7276</v>
      </c>
      <c r="N567" s="3" t="s">
        <v>186</v>
      </c>
      <c r="O567" s="3" t="s">
        <v>302</v>
      </c>
      <c r="P567" s="4">
        <v>44259.6666666667</v>
      </c>
      <c r="Q567" s="3" t="s">
        <v>56</v>
      </c>
      <c r="R567" s="5">
        <v>44264.0</v>
      </c>
      <c r="S567" s="3" t="s">
        <v>2022</v>
      </c>
      <c r="T567" s="3">
        <v>3304557.0</v>
      </c>
      <c r="U567" s="3" t="s">
        <v>1740</v>
      </c>
      <c r="V567" s="3" t="s">
        <v>1741</v>
      </c>
      <c r="W567" s="3" t="s">
        <v>60</v>
      </c>
      <c r="X567" s="3"/>
      <c r="Y567" s="3"/>
      <c r="Z567" s="3" t="s">
        <v>306</v>
      </c>
      <c r="AA567" s="3" t="s">
        <v>61</v>
      </c>
      <c r="AB567" s="3" t="str">
        <f>"33000167000101"</f>
        <v>33000167000101</v>
      </c>
      <c r="AC567" s="3"/>
      <c r="AD567" s="3"/>
      <c r="AE567" s="3"/>
      <c r="AF567" s="3">
        <v>-39.739444</v>
      </c>
      <c r="AG567" s="3">
        <v>-21.999722</v>
      </c>
      <c r="AH567" s="3" t="s">
        <v>7277</v>
      </c>
      <c r="AI567" s="3"/>
      <c r="AJ567" s="3" t="s">
        <v>1737</v>
      </c>
      <c r="AK567" s="3"/>
      <c r="AL567" s="3" t="s">
        <v>128</v>
      </c>
      <c r="AM567" s="3" t="s">
        <v>65</v>
      </c>
      <c r="AN567" s="3" t="s">
        <v>1743</v>
      </c>
      <c r="AO567" s="4">
        <v>44264.0</v>
      </c>
      <c r="AP567" s="4">
        <v>44264.7585069444</v>
      </c>
      <c r="AQ567" s="3" t="s">
        <v>132</v>
      </c>
      <c r="AR567" s="3" t="s">
        <v>1745</v>
      </c>
      <c r="AS567" s="3" t="s">
        <v>2097</v>
      </c>
      <c r="AT567" s="4">
        <v>44281.0337152778</v>
      </c>
    </row>
    <row r="568" ht="15.75" customHeight="1">
      <c r="A568" s="3">
        <v>2044438.0</v>
      </c>
      <c r="B568" s="3" t="s">
        <v>116</v>
      </c>
      <c r="C568" s="3" t="s">
        <v>117</v>
      </c>
      <c r="D568" s="3" t="s">
        <v>46</v>
      </c>
      <c r="E568" s="3" t="s">
        <v>7278</v>
      </c>
      <c r="F568" s="3"/>
      <c r="G568" s="3" t="s">
        <v>119</v>
      </c>
      <c r="H568" s="3" t="s">
        <v>50</v>
      </c>
      <c r="I568" s="3">
        <v>20500.0</v>
      </c>
      <c r="J568" s="3"/>
      <c r="K568" s="3"/>
      <c r="L568" s="3" t="s">
        <v>405</v>
      </c>
      <c r="M568" s="3" t="s">
        <v>7245</v>
      </c>
      <c r="N568" s="3" t="s">
        <v>53</v>
      </c>
      <c r="O568" s="3" t="s">
        <v>333</v>
      </c>
      <c r="P568" s="4">
        <v>44259.6666666667</v>
      </c>
      <c r="Q568" s="3" t="s">
        <v>56</v>
      </c>
      <c r="R568" s="3"/>
      <c r="S568" s="3" t="s">
        <v>220</v>
      </c>
      <c r="T568" s="3">
        <v>4300406.0</v>
      </c>
      <c r="U568" s="3" t="s">
        <v>7246</v>
      </c>
      <c r="V568" s="3" t="s">
        <v>402</v>
      </c>
      <c r="W568" s="3" t="s">
        <v>314</v>
      </c>
      <c r="X568" s="3"/>
      <c r="Y568" s="3" t="str">
        <f>"02023000589202146"</f>
        <v>02023000589202146</v>
      </c>
      <c r="Z568" s="3" t="s">
        <v>223</v>
      </c>
      <c r="AA568" s="3" t="s">
        <v>7279</v>
      </c>
      <c r="AB568" s="3" t="str">
        <f>"***919220**"</f>
        <v>***919220**</v>
      </c>
      <c r="AC568" s="3"/>
      <c r="AD568" s="3"/>
      <c r="AE568" s="3"/>
      <c r="AF568" s="3">
        <v>-55.7325</v>
      </c>
      <c r="AG568" s="3">
        <v>-29.816667</v>
      </c>
      <c r="AH568" s="3" t="s">
        <v>7280</v>
      </c>
      <c r="AI568" s="3"/>
      <c r="AJ568" s="3" t="s">
        <v>405</v>
      </c>
      <c r="AK568" s="3"/>
      <c r="AL568" s="3" t="s">
        <v>128</v>
      </c>
      <c r="AM568" s="3" t="s">
        <v>65</v>
      </c>
      <c r="AN568" s="3" t="s">
        <v>159</v>
      </c>
      <c r="AO568" s="4">
        <v>44271.0</v>
      </c>
      <c r="AP568" s="4">
        <v>44271.6183101852</v>
      </c>
      <c r="AQ568" s="3" t="s">
        <v>132</v>
      </c>
      <c r="AR568" s="3" t="s">
        <v>2761</v>
      </c>
      <c r="AS568" s="3" t="s">
        <v>7281</v>
      </c>
      <c r="AT568" s="4">
        <v>44281.0337152778</v>
      </c>
    </row>
    <row r="569" ht="15.75" customHeight="1">
      <c r="A569" s="3">
        <v>2044713.0</v>
      </c>
      <c r="B569" s="3" t="s">
        <v>116</v>
      </c>
      <c r="C569" s="3" t="s">
        <v>117</v>
      </c>
      <c r="D569" s="3" t="s">
        <v>46</v>
      </c>
      <c r="E569" s="3" t="s">
        <v>7282</v>
      </c>
      <c r="F569" s="3"/>
      <c r="G569" s="3" t="s">
        <v>119</v>
      </c>
      <c r="H569" s="3" t="s">
        <v>72</v>
      </c>
      <c r="I569" s="3">
        <v>100000.0</v>
      </c>
      <c r="J569" s="3"/>
      <c r="K569" s="3"/>
      <c r="L569" s="3" t="s">
        <v>2062</v>
      </c>
      <c r="M569" s="3" t="s">
        <v>7283</v>
      </c>
      <c r="N569" s="3" t="s">
        <v>109</v>
      </c>
      <c r="O569" s="3" t="s">
        <v>110</v>
      </c>
      <c r="P569" s="4">
        <v>44259.6666666667</v>
      </c>
      <c r="Q569" s="3" t="s">
        <v>77</v>
      </c>
      <c r="R569" s="5">
        <v>44259.0</v>
      </c>
      <c r="S569" s="3" t="s">
        <v>123</v>
      </c>
      <c r="T569" s="3">
        <v>1100205.0</v>
      </c>
      <c r="U569" s="3" t="s">
        <v>242</v>
      </c>
      <c r="V569" s="3" t="s">
        <v>125</v>
      </c>
      <c r="W569" s="3" t="s">
        <v>100</v>
      </c>
      <c r="X569" s="3"/>
      <c r="Y569" s="3" t="str">
        <f>"02024000921202162"</f>
        <v>02024000921202162</v>
      </c>
      <c r="Z569" s="3" t="s">
        <v>112</v>
      </c>
      <c r="AA569" s="3" t="s">
        <v>7284</v>
      </c>
      <c r="AB569" s="3" t="str">
        <f>"***709952**"</f>
        <v>***709952**</v>
      </c>
      <c r="AC569" s="3"/>
      <c r="AD569" s="3"/>
      <c r="AE569" s="3"/>
      <c r="AF569" s="3">
        <v>-63.890556</v>
      </c>
      <c r="AG569" s="3">
        <v>-8.737778</v>
      </c>
      <c r="AH569" s="3" t="s">
        <v>6443</v>
      </c>
      <c r="AI569" s="3"/>
      <c r="AJ569" s="3" t="s">
        <v>2062</v>
      </c>
      <c r="AK569" s="3"/>
      <c r="AL569" s="3" t="s">
        <v>128</v>
      </c>
      <c r="AM569" s="3" t="s">
        <v>65</v>
      </c>
      <c r="AN569" s="3"/>
      <c r="AO569" s="4">
        <v>44280.0</v>
      </c>
      <c r="AP569" s="4">
        <v>44280.5990740741</v>
      </c>
      <c r="AQ569" s="3" t="s">
        <v>132</v>
      </c>
      <c r="AR569" s="3" t="s">
        <v>2068</v>
      </c>
      <c r="AS569" s="3"/>
      <c r="AT569" s="4">
        <v>44281.0337152778</v>
      </c>
    </row>
    <row r="570" ht="15.75" customHeight="1">
      <c r="A570" s="3"/>
      <c r="B570" s="3" t="s">
        <v>46</v>
      </c>
      <c r="C570" s="3" t="s">
        <v>47</v>
      </c>
      <c r="D570" s="3"/>
      <c r="E570" s="3" t="s">
        <v>7285</v>
      </c>
      <c r="F570" s="3"/>
      <c r="G570" s="3" t="s">
        <v>49</v>
      </c>
      <c r="H570" s="3" t="s">
        <v>50</v>
      </c>
      <c r="I570" s="3">
        <v>13000.0</v>
      </c>
      <c r="J570" s="3"/>
      <c r="K570" s="3" t="s">
        <v>51</v>
      </c>
      <c r="L570" s="3"/>
      <c r="M570" s="3" t="s">
        <v>7286</v>
      </c>
      <c r="N570" s="3" t="s">
        <v>74</v>
      </c>
      <c r="O570" s="3" t="s">
        <v>75</v>
      </c>
      <c r="P570" s="4">
        <v>44259.6586458333</v>
      </c>
      <c r="Q570" s="3" t="s">
        <v>56</v>
      </c>
      <c r="R570" s="5">
        <v>44057.0</v>
      </c>
      <c r="S570" s="3" t="s">
        <v>400</v>
      </c>
      <c r="T570" s="3">
        <v>4315602.0</v>
      </c>
      <c r="U570" s="3" t="s">
        <v>1042</v>
      </c>
      <c r="V570" s="3" t="s">
        <v>402</v>
      </c>
      <c r="W570" s="3" t="s">
        <v>60</v>
      </c>
      <c r="X570" s="3"/>
      <c r="Y570" s="3"/>
      <c r="Z570" s="3" t="s">
        <v>79</v>
      </c>
      <c r="AA570" s="3" t="s">
        <v>7287</v>
      </c>
      <c r="AB570" s="3" t="str">
        <f>"***305670**"</f>
        <v>***305670**</v>
      </c>
      <c r="AC570" s="3"/>
      <c r="AD570" s="3" t="s">
        <v>81</v>
      </c>
      <c r="AE570" s="3"/>
      <c r="AF570" s="3">
        <v>-52.098333</v>
      </c>
      <c r="AG570" s="3">
        <v>-32.034722</v>
      </c>
      <c r="AH570" s="3" t="s">
        <v>7288</v>
      </c>
      <c r="AI570" s="3"/>
      <c r="AJ570" s="3" t="s">
        <v>405</v>
      </c>
      <c r="AK570" s="3"/>
      <c r="AL570" s="3"/>
      <c r="AM570" s="3" t="s">
        <v>65</v>
      </c>
      <c r="AN570" s="3" t="s">
        <v>159</v>
      </c>
      <c r="AO570" s="3"/>
      <c r="AP570" s="4">
        <v>44260.5257986111</v>
      </c>
      <c r="AQ570" s="3"/>
      <c r="AR570" s="3" t="s">
        <v>2261</v>
      </c>
      <c r="AS570" s="3" t="s">
        <v>7289</v>
      </c>
      <c r="AT570" s="4">
        <v>44281.0337152778</v>
      </c>
    </row>
    <row r="571" ht="15.75" customHeight="1">
      <c r="A571" s="3"/>
      <c r="B571" s="3" t="s">
        <v>46</v>
      </c>
      <c r="C571" s="3" t="s">
        <v>47</v>
      </c>
      <c r="D571" s="3"/>
      <c r="E571" s="3" t="s">
        <v>7290</v>
      </c>
      <c r="F571" s="3"/>
      <c r="G571" s="3" t="s">
        <v>217</v>
      </c>
      <c r="H571" s="3" t="s">
        <v>50</v>
      </c>
      <c r="I571" s="3"/>
      <c r="J571" s="3"/>
      <c r="K571" s="3"/>
      <c r="L571" s="3"/>
      <c r="M571" s="3" t="s">
        <v>7291</v>
      </c>
      <c r="N571" s="3" t="s">
        <v>74</v>
      </c>
      <c r="O571" s="3" t="s">
        <v>75</v>
      </c>
      <c r="P571" s="4">
        <v>44259.5880671296</v>
      </c>
      <c r="Q571" s="3"/>
      <c r="R571" s="3"/>
      <c r="S571" s="3" t="s">
        <v>784</v>
      </c>
      <c r="T571" s="3">
        <v>4205407.0</v>
      </c>
      <c r="U571" s="3" t="s">
        <v>2497</v>
      </c>
      <c r="V571" s="3" t="s">
        <v>222</v>
      </c>
      <c r="W571" s="3" t="s">
        <v>60</v>
      </c>
      <c r="X571" s="3"/>
      <c r="Y571" s="3" t="str">
        <f>"02026000703202116"</f>
        <v>02026000703202116</v>
      </c>
      <c r="Z571" s="3" t="s">
        <v>1013</v>
      </c>
      <c r="AA571" s="3" t="s">
        <v>7292</v>
      </c>
      <c r="AB571" s="3" t="str">
        <f>"***691308**"</f>
        <v>***691308**</v>
      </c>
      <c r="AC571" s="3"/>
      <c r="AD571" s="3" t="s">
        <v>81</v>
      </c>
      <c r="AE571" s="3"/>
      <c r="AF571" s="3">
        <v>-48.557222</v>
      </c>
      <c r="AG571" s="3">
        <v>-27.594444</v>
      </c>
      <c r="AH571" s="3" t="s">
        <v>7293</v>
      </c>
      <c r="AI571" s="3"/>
      <c r="AJ571" s="3" t="s">
        <v>226</v>
      </c>
      <c r="AK571" s="3"/>
      <c r="AL571" s="3"/>
      <c r="AM571" s="3" t="s">
        <v>65</v>
      </c>
      <c r="AN571" s="3" t="s">
        <v>788</v>
      </c>
      <c r="AO571" s="3"/>
      <c r="AP571" s="4">
        <v>44259.5930092593</v>
      </c>
      <c r="AQ571" s="3"/>
      <c r="AR571" s="3" t="s">
        <v>7294</v>
      </c>
      <c r="AS571" s="3"/>
      <c r="AT571" s="4">
        <v>44281.0337152778</v>
      </c>
    </row>
    <row r="572" ht="15.75" customHeight="1">
      <c r="A572" s="3">
        <v>2044214.0</v>
      </c>
      <c r="B572" s="3" t="s">
        <v>116</v>
      </c>
      <c r="C572" s="3" t="s">
        <v>117</v>
      </c>
      <c r="D572" s="3" t="s">
        <v>46</v>
      </c>
      <c r="E572" s="3" t="s">
        <v>7295</v>
      </c>
      <c r="F572" s="3"/>
      <c r="G572" s="3" t="s">
        <v>119</v>
      </c>
      <c r="H572" s="3" t="s">
        <v>72</v>
      </c>
      <c r="I572" s="3">
        <v>30000.0</v>
      </c>
      <c r="J572" s="3"/>
      <c r="K572" s="3"/>
      <c r="L572" s="3" t="s">
        <v>120</v>
      </c>
      <c r="M572" s="3" t="s">
        <v>7296</v>
      </c>
      <c r="N572" s="3" t="s">
        <v>109</v>
      </c>
      <c r="O572" s="3" t="s">
        <v>110</v>
      </c>
      <c r="P572" s="4">
        <v>44259.5833333333</v>
      </c>
      <c r="Q572" s="3" t="s">
        <v>77</v>
      </c>
      <c r="R572" s="5">
        <v>44259.0</v>
      </c>
      <c r="S572" s="3" t="s">
        <v>915</v>
      </c>
      <c r="T572" s="3">
        <v>1505031.0</v>
      </c>
      <c r="U572" s="3" t="s">
        <v>5077</v>
      </c>
      <c r="V572" s="3" t="s">
        <v>917</v>
      </c>
      <c r="W572" s="3" t="s">
        <v>100</v>
      </c>
      <c r="X572" s="3"/>
      <c r="Y572" s="3" t="str">
        <f>"02001004888202116"</f>
        <v>02001004888202116</v>
      </c>
      <c r="Z572" s="3" t="s">
        <v>112</v>
      </c>
      <c r="AA572" s="3" t="s">
        <v>7297</v>
      </c>
      <c r="AB572" s="3" t="str">
        <f>"***304933**"</f>
        <v>***304933**</v>
      </c>
      <c r="AC572" s="3"/>
      <c r="AD572" s="3"/>
      <c r="AE572" s="3"/>
      <c r="AF572" s="3">
        <v>-55.133056</v>
      </c>
      <c r="AG572" s="3">
        <v>-7.585806</v>
      </c>
      <c r="AH572" s="3" t="s">
        <v>7298</v>
      </c>
      <c r="AI572" s="3"/>
      <c r="AJ572" s="3" t="s">
        <v>120</v>
      </c>
      <c r="AK572" s="3"/>
      <c r="AL572" s="3" t="s">
        <v>128</v>
      </c>
      <c r="AM572" s="3" t="s">
        <v>65</v>
      </c>
      <c r="AN572" s="3" t="s">
        <v>6870</v>
      </c>
      <c r="AO572" s="4">
        <v>44265.0</v>
      </c>
      <c r="AP572" s="4">
        <v>44265.4571064815</v>
      </c>
      <c r="AQ572" s="3" t="s">
        <v>132</v>
      </c>
      <c r="AR572" s="3" t="s">
        <v>2082</v>
      </c>
      <c r="AS572" s="3"/>
      <c r="AT572" s="4">
        <v>44281.0337152778</v>
      </c>
    </row>
    <row r="573" ht="15.75" customHeight="1">
      <c r="A573" s="3">
        <v>2044260.0</v>
      </c>
      <c r="B573" s="3" t="s">
        <v>116</v>
      </c>
      <c r="C573" s="3" t="s">
        <v>117</v>
      </c>
      <c r="D573" s="3" t="s">
        <v>46</v>
      </c>
      <c r="E573" s="3" t="s">
        <v>7299</v>
      </c>
      <c r="F573" s="3"/>
      <c r="G573" s="3" t="s">
        <v>119</v>
      </c>
      <c r="H573" s="3" t="s">
        <v>50</v>
      </c>
      <c r="I573" s="3">
        <v>1100.0</v>
      </c>
      <c r="J573" s="3"/>
      <c r="K573" s="3"/>
      <c r="L573" s="3" t="s">
        <v>226</v>
      </c>
      <c r="M573" s="3" t="s">
        <v>7300</v>
      </c>
      <c r="N573" s="3" t="s">
        <v>285</v>
      </c>
      <c r="O573" s="3" t="s">
        <v>286</v>
      </c>
      <c r="P573" s="4">
        <v>44259.5833333333</v>
      </c>
      <c r="Q573" s="3" t="s">
        <v>56</v>
      </c>
      <c r="R573" s="3"/>
      <c r="S573" s="3" t="s">
        <v>784</v>
      </c>
      <c r="T573" s="3">
        <v>4205407.0</v>
      </c>
      <c r="U573" s="3" t="s">
        <v>2497</v>
      </c>
      <c r="V573" s="3" t="s">
        <v>222</v>
      </c>
      <c r="W573" s="3" t="s">
        <v>291</v>
      </c>
      <c r="X573" s="3"/>
      <c r="Y573" s="3" t="str">
        <f>"02026000704202152"</f>
        <v>02026000704202152</v>
      </c>
      <c r="Z573" s="3" t="s">
        <v>292</v>
      </c>
      <c r="AA573" s="3" t="s">
        <v>7301</v>
      </c>
      <c r="AB573" s="3" t="str">
        <f>"81625725000177"</f>
        <v>81625725000177</v>
      </c>
      <c r="AC573" s="3"/>
      <c r="AD573" s="3"/>
      <c r="AE573" s="3"/>
      <c r="AF573" s="3">
        <v>-48.556944</v>
      </c>
      <c r="AG573" s="3">
        <v>-27.594444</v>
      </c>
      <c r="AH573" s="3" t="s">
        <v>7302</v>
      </c>
      <c r="AI573" s="3"/>
      <c r="AJ573" s="3" t="s">
        <v>226</v>
      </c>
      <c r="AK573" s="3"/>
      <c r="AL573" s="3" t="s">
        <v>128</v>
      </c>
      <c r="AM573" s="3" t="s">
        <v>65</v>
      </c>
      <c r="AN573" s="3" t="s">
        <v>1419</v>
      </c>
      <c r="AO573" s="4">
        <v>44266.0</v>
      </c>
      <c r="AP573" s="4">
        <v>44266.6201851852</v>
      </c>
      <c r="AQ573" s="3" t="s">
        <v>132</v>
      </c>
      <c r="AR573" s="3" t="s">
        <v>531</v>
      </c>
      <c r="AS573" s="3"/>
      <c r="AT573" s="4">
        <v>44281.0337152778</v>
      </c>
    </row>
    <row r="574" ht="15.75" customHeight="1">
      <c r="A574" s="3"/>
      <c r="B574" s="3" t="s">
        <v>46</v>
      </c>
      <c r="C574" s="3" t="s">
        <v>47</v>
      </c>
      <c r="D574" s="3"/>
      <c r="E574" s="3" t="s">
        <v>7303</v>
      </c>
      <c r="F574" s="3"/>
      <c r="G574" s="3" t="s">
        <v>49</v>
      </c>
      <c r="H574" s="3" t="s">
        <v>50</v>
      </c>
      <c r="I574" s="3">
        <v>250000.0</v>
      </c>
      <c r="J574" s="3"/>
      <c r="K574" s="3" t="s">
        <v>92</v>
      </c>
      <c r="L574" s="3"/>
      <c r="M574" s="3" t="s">
        <v>7304</v>
      </c>
      <c r="N574" s="3" t="s">
        <v>94</v>
      </c>
      <c r="O574" s="3" t="s">
        <v>95</v>
      </c>
      <c r="P574" s="4">
        <v>44259.5599768519</v>
      </c>
      <c r="Q574" s="3" t="s">
        <v>77</v>
      </c>
      <c r="R574" s="3"/>
      <c r="S574" s="3" t="s">
        <v>220</v>
      </c>
      <c r="T574" s="3">
        <v>2313500.0</v>
      </c>
      <c r="U574" s="3" t="s">
        <v>7305</v>
      </c>
      <c r="V574" s="3" t="s">
        <v>439</v>
      </c>
      <c r="W574" s="3" t="s">
        <v>291</v>
      </c>
      <c r="X574" s="3"/>
      <c r="Y574" s="3"/>
      <c r="Z574" s="3" t="s">
        <v>101</v>
      </c>
      <c r="AA574" s="3" t="s">
        <v>7306</v>
      </c>
      <c r="AB574" s="3" t="str">
        <f t="shared" ref="AB574:AB575" si="39">"04367880000190"</f>
        <v>04367880000190</v>
      </c>
      <c r="AC574" s="3"/>
      <c r="AD574" s="3" t="s">
        <v>81</v>
      </c>
      <c r="AE574" s="3"/>
      <c r="AF574" s="3">
        <v>-39.427222</v>
      </c>
      <c r="AG574" s="3">
        <v>-3.216389</v>
      </c>
      <c r="AH574" s="3" t="s">
        <v>7307</v>
      </c>
      <c r="AI574" s="3"/>
      <c r="AJ574" s="3" t="s">
        <v>442</v>
      </c>
      <c r="AK574" s="3"/>
      <c r="AL574" s="3"/>
      <c r="AM574" s="3" t="s">
        <v>65</v>
      </c>
      <c r="AN574" s="3" t="s">
        <v>159</v>
      </c>
      <c r="AO574" s="3"/>
      <c r="AP574" s="4">
        <v>44259.5713194444</v>
      </c>
      <c r="AQ574" s="3"/>
      <c r="AR574" s="3" t="s">
        <v>684</v>
      </c>
      <c r="AS574" s="3"/>
      <c r="AT574" s="4">
        <v>44281.0337152778</v>
      </c>
    </row>
    <row r="575" ht="15.75" customHeight="1">
      <c r="A575" s="3"/>
      <c r="B575" s="3" t="s">
        <v>46</v>
      </c>
      <c r="C575" s="3" t="s">
        <v>47</v>
      </c>
      <c r="D575" s="3"/>
      <c r="E575" s="3" t="s">
        <v>7308</v>
      </c>
      <c r="F575" s="3"/>
      <c r="G575" s="3" t="s">
        <v>49</v>
      </c>
      <c r="H575" s="3" t="s">
        <v>50</v>
      </c>
      <c r="I575" s="3">
        <v>550500.0</v>
      </c>
      <c r="J575" s="3"/>
      <c r="K575" s="3" t="s">
        <v>92</v>
      </c>
      <c r="L575" s="3"/>
      <c r="M575" s="3" t="s">
        <v>7309</v>
      </c>
      <c r="N575" s="3" t="s">
        <v>301</v>
      </c>
      <c r="O575" s="3" t="s">
        <v>302</v>
      </c>
      <c r="P575" s="4">
        <v>44259.5417708333</v>
      </c>
      <c r="Q575" s="3" t="s">
        <v>77</v>
      </c>
      <c r="R575" s="3"/>
      <c r="S575" s="3" t="s">
        <v>220</v>
      </c>
      <c r="T575" s="3">
        <v>2313500.0</v>
      </c>
      <c r="U575" s="3" t="s">
        <v>7305</v>
      </c>
      <c r="V575" s="3" t="s">
        <v>439</v>
      </c>
      <c r="W575" s="3" t="s">
        <v>291</v>
      </c>
      <c r="X575" s="3"/>
      <c r="Y575" s="3"/>
      <c r="Z575" s="3" t="s">
        <v>306</v>
      </c>
      <c r="AA575" s="3" t="s">
        <v>7310</v>
      </c>
      <c r="AB575" s="3" t="str">
        <f t="shared" si="39"/>
        <v>04367880000190</v>
      </c>
      <c r="AC575" s="3"/>
      <c r="AD575" s="3" t="s">
        <v>62</v>
      </c>
      <c r="AE575" s="3"/>
      <c r="AF575" s="3">
        <v>-39.428611</v>
      </c>
      <c r="AG575" s="3">
        <v>-3.216944</v>
      </c>
      <c r="AH575" s="3" t="s">
        <v>7311</v>
      </c>
      <c r="AI575" s="3"/>
      <c r="AJ575" s="3" t="s">
        <v>442</v>
      </c>
      <c r="AK575" s="3"/>
      <c r="AL575" s="3"/>
      <c r="AM575" s="3" t="s">
        <v>65</v>
      </c>
      <c r="AN575" s="3" t="s">
        <v>159</v>
      </c>
      <c r="AO575" s="3"/>
      <c r="AP575" s="4">
        <v>44259.5719328704</v>
      </c>
      <c r="AQ575" s="3"/>
      <c r="AR575" s="3" t="s">
        <v>310</v>
      </c>
      <c r="AS575" s="3"/>
      <c r="AT575" s="4">
        <v>44281.0337152778</v>
      </c>
    </row>
    <row r="576" ht="15.75" customHeight="1">
      <c r="A576" s="3">
        <v>2044127.0</v>
      </c>
      <c r="B576" s="3" t="s">
        <v>116</v>
      </c>
      <c r="C576" s="3" t="s">
        <v>117</v>
      </c>
      <c r="D576" s="3" t="s">
        <v>46</v>
      </c>
      <c r="E576" s="3" t="s">
        <v>7312</v>
      </c>
      <c r="F576" s="3"/>
      <c r="G576" s="3" t="s">
        <v>119</v>
      </c>
      <c r="H576" s="3" t="s">
        <v>72</v>
      </c>
      <c r="I576" s="3">
        <v>4781.7</v>
      </c>
      <c r="J576" s="3"/>
      <c r="K576" s="3"/>
      <c r="L576" s="3" t="s">
        <v>295</v>
      </c>
      <c r="M576" s="3" t="s">
        <v>7313</v>
      </c>
      <c r="N576" s="3" t="s">
        <v>109</v>
      </c>
      <c r="O576" s="3" t="s">
        <v>110</v>
      </c>
      <c r="P576" s="4">
        <v>44259.5416666667</v>
      </c>
      <c r="Q576" s="3" t="s">
        <v>77</v>
      </c>
      <c r="R576" s="5">
        <v>44259.0</v>
      </c>
      <c r="S576" s="3" t="s">
        <v>447</v>
      </c>
      <c r="T576" s="3">
        <v>2108009.0</v>
      </c>
      <c r="U576" s="3" t="s">
        <v>7314</v>
      </c>
      <c r="V576" s="3" t="s">
        <v>449</v>
      </c>
      <c r="W576" s="3" t="s">
        <v>172</v>
      </c>
      <c r="X576" s="3"/>
      <c r="Y576" s="3" t="str">
        <f>"02020000391202192"</f>
        <v>02020000391202192</v>
      </c>
      <c r="Z576" s="3" t="s">
        <v>112</v>
      </c>
      <c r="AA576" s="3" t="s">
        <v>7315</v>
      </c>
      <c r="AB576" s="3" t="str">
        <f>"***568803**"</f>
        <v>***568803**</v>
      </c>
      <c r="AC576" s="3"/>
      <c r="AD576" s="3"/>
      <c r="AE576" s="3"/>
      <c r="AF576" s="3">
        <v>-43.8775</v>
      </c>
      <c r="AG576" s="3">
        <v>-6.514167</v>
      </c>
      <c r="AH576" s="3" t="s">
        <v>7316</v>
      </c>
      <c r="AI576" s="3"/>
      <c r="AJ576" s="3" t="s">
        <v>295</v>
      </c>
      <c r="AK576" s="3"/>
      <c r="AL576" s="3" t="s">
        <v>128</v>
      </c>
      <c r="AM576" s="3" t="s">
        <v>65</v>
      </c>
      <c r="AN576" s="3" t="s">
        <v>83</v>
      </c>
      <c r="AO576" s="4">
        <v>44263.0</v>
      </c>
      <c r="AP576" s="4">
        <v>44263.704537037</v>
      </c>
      <c r="AQ576" s="3" t="s">
        <v>132</v>
      </c>
      <c r="AR576" s="3" t="s">
        <v>133</v>
      </c>
      <c r="AS576" s="3"/>
      <c r="AT576" s="4">
        <v>44281.0337152778</v>
      </c>
    </row>
    <row r="577" ht="15.75" customHeight="1">
      <c r="A577" s="3">
        <v>2044669.0</v>
      </c>
      <c r="B577" s="3" t="s">
        <v>116</v>
      </c>
      <c r="C577" s="3" t="s">
        <v>117</v>
      </c>
      <c r="D577" s="3" t="s">
        <v>46</v>
      </c>
      <c r="E577" s="3" t="s">
        <v>7317</v>
      </c>
      <c r="F577" s="3"/>
      <c r="G577" s="3" t="s">
        <v>119</v>
      </c>
      <c r="H577" s="3" t="s">
        <v>72</v>
      </c>
      <c r="I577" s="3">
        <v>10126.89</v>
      </c>
      <c r="J577" s="3"/>
      <c r="K577" s="3"/>
      <c r="L577" s="3" t="s">
        <v>452</v>
      </c>
      <c r="M577" s="3" t="s">
        <v>7318</v>
      </c>
      <c r="N577" s="3" t="s">
        <v>109</v>
      </c>
      <c r="O577" s="3" t="s">
        <v>110</v>
      </c>
      <c r="P577" s="4">
        <v>44259.5416666667</v>
      </c>
      <c r="Q577" s="3" t="s">
        <v>137</v>
      </c>
      <c r="R577" s="3"/>
      <c r="S577" s="3" t="s">
        <v>220</v>
      </c>
      <c r="T577" s="3">
        <v>2101400.0</v>
      </c>
      <c r="U577" s="3" t="s">
        <v>7319</v>
      </c>
      <c r="V577" s="3" t="s">
        <v>449</v>
      </c>
      <c r="W577" s="3" t="s">
        <v>172</v>
      </c>
      <c r="X577" s="3"/>
      <c r="Y577" s="3" t="str">
        <f>"02012000512202103"</f>
        <v>02012000512202103</v>
      </c>
      <c r="Z577" s="3" t="s">
        <v>112</v>
      </c>
      <c r="AA577" s="3" t="s">
        <v>7320</v>
      </c>
      <c r="AB577" s="3" t="str">
        <f>"***377963**"</f>
        <v>***377963**</v>
      </c>
      <c r="AC577" s="3"/>
      <c r="AD577" s="3"/>
      <c r="AE577" s="3"/>
      <c r="AF577" s="3">
        <v>-46.046389</v>
      </c>
      <c r="AG577" s="3">
        <v>-7.521111</v>
      </c>
      <c r="AH577" s="3" t="s">
        <v>7321</v>
      </c>
      <c r="AI577" s="3"/>
      <c r="AJ577" s="3" t="s">
        <v>452</v>
      </c>
      <c r="AK577" s="3"/>
      <c r="AL577" s="3" t="s">
        <v>128</v>
      </c>
      <c r="AM577" s="3" t="s">
        <v>65</v>
      </c>
      <c r="AN577" s="3"/>
      <c r="AO577" s="4">
        <v>44279.0</v>
      </c>
      <c r="AP577" s="4">
        <v>44279.6236921296</v>
      </c>
      <c r="AQ577" s="3" t="s">
        <v>132</v>
      </c>
      <c r="AR577" s="3" t="s">
        <v>2807</v>
      </c>
      <c r="AS577" s="3" t="s">
        <v>7322</v>
      </c>
      <c r="AT577" s="4">
        <v>44281.0337152778</v>
      </c>
    </row>
    <row r="578" ht="15.75" customHeight="1">
      <c r="A578" s="3"/>
      <c r="B578" s="3" t="s">
        <v>46</v>
      </c>
      <c r="C578" s="3" t="s">
        <v>47</v>
      </c>
      <c r="D578" s="3"/>
      <c r="E578" s="3" t="s">
        <v>7323</v>
      </c>
      <c r="F578" s="3"/>
      <c r="G578" s="3" t="s">
        <v>49</v>
      </c>
      <c r="H578" s="3" t="s">
        <v>72</v>
      </c>
      <c r="I578" s="3">
        <v>10800.0</v>
      </c>
      <c r="J578" s="3"/>
      <c r="K578" s="3"/>
      <c r="L578" s="3"/>
      <c r="M578" s="3" t="s">
        <v>7324</v>
      </c>
      <c r="N578" s="3" t="s">
        <v>109</v>
      </c>
      <c r="O578" s="3" t="s">
        <v>110</v>
      </c>
      <c r="P578" s="4">
        <v>44259.5398263889</v>
      </c>
      <c r="Q578" s="3" t="s">
        <v>77</v>
      </c>
      <c r="R578" s="3"/>
      <c r="S578" s="3" t="s">
        <v>123</v>
      </c>
      <c r="T578" s="3">
        <v>1100205.0</v>
      </c>
      <c r="U578" s="3" t="s">
        <v>242</v>
      </c>
      <c r="V578" s="3" t="s">
        <v>125</v>
      </c>
      <c r="W578" s="3" t="s">
        <v>100</v>
      </c>
      <c r="X578" s="3"/>
      <c r="Y578" s="3"/>
      <c r="Z578" s="3" t="s">
        <v>112</v>
      </c>
      <c r="AA578" s="3" t="s">
        <v>7325</v>
      </c>
      <c r="AB578" s="3" t="str">
        <f>"31973780000180"</f>
        <v>31973780000180</v>
      </c>
      <c r="AC578" s="3"/>
      <c r="AD578" s="3" t="s">
        <v>81</v>
      </c>
      <c r="AE578" s="3"/>
      <c r="AF578" s="3">
        <v>-65.742778</v>
      </c>
      <c r="AG578" s="3">
        <v>-9.650556</v>
      </c>
      <c r="AH578" s="3" t="s">
        <v>7326</v>
      </c>
      <c r="AI578" s="3"/>
      <c r="AJ578" s="3" t="s">
        <v>120</v>
      </c>
      <c r="AK578" s="3"/>
      <c r="AL578" s="3"/>
      <c r="AM578" s="3" t="s">
        <v>65</v>
      </c>
      <c r="AN578" s="3" t="s">
        <v>129</v>
      </c>
      <c r="AO578" s="3"/>
      <c r="AP578" s="4">
        <v>44259.5504398148</v>
      </c>
      <c r="AQ578" s="3"/>
      <c r="AR578" s="3" t="s">
        <v>177</v>
      </c>
      <c r="AS578" s="3"/>
      <c r="AT578" s="4">
        <v>44281.0337152778</v>
      </c>
    </row>
    <row r="579" ht="15.75" customHeight="1">
      <c r="A579" s="3"/>
      <c r="B579" s="3" t="s">
        <v>46</v>
      </c>
      <c r="C579" s="3" t="s">
        <v>47</v>
      </c>
      <c r="D579" s="3"/>
      <c r="E579" s="3" t="s">
        <v>7327</v>
      </c>
      <c r="F579" s="3"/>
      <c r="G579" s="3" t="s">
        <v>49</v>
      </c>
      <c r="H579" s="3" t="s">
        <v>50</v>
      </c>
      <c r="I579" s="3">
        <v>11500.0</v>
      </c>
      <c r="J579" s="3"/>
      <c r="K579" s="3" t="s">
        <v>92</v>
      </c>
      <c r="L579" s="3"/>
      <c r="M579" s="3" t="s">
        <v>7328</v>
      </c>
      <c r="N579" s="3" t="s">
        <v>94</v>
      </c>
      <c r="O579" s="3" t="s">
        <v>95</v>
      </c>
      <c r="P579" s="4">
        <v>44259.5255671296</v>
      </c>
      <c r="Q579" s="3" t="s">
        <v>77</v>
      </c>
      <c r="R579" s="3"/>
      <c r="S579" s="3" t="s">
        <v>148</v>
      </c>
      <c r="T579" s="3">
        <v>1100205.0</v>
      </c>
      <c r="U579" s="3" t="s">
        <v>242</v>
      </c>
      <c r="V579" s="3" t="s">
        <v>125</v>
      </c>
      <c r="W579" s="3" t="s">
        <v>100</v>
      </c>
      <c r="X579" s="3"/>
      <c r="Y579" s="3"/>
      <c r="Z579" s="3" t="s">
        <v>101</v>
      </c>
      <c r="AA579" s="3" t="s">
        <v>7329</v>
      </c>
      <c r="AB579" s="3" t="str">
        <f>"***384321**"</f>
        <v>***384321**</v>
      </c>
      <c r="AC579" s="3"/>
      <c r="AD579" s="3" t="s">
        <v>81</v>
      </c>
      <c r="AE579" s="3"/>
      <c r="AF579" s="3">
        <v>-65.742778</v>
      </c>
      <c r="AG579" s="3">
        <v>-9.650556</v>
      </c>
      <c r="AH579" s="3" t="s">
        <v>7330</v>
      </c>
      <c r="AI579" s="3"/>
      <c r="AJ579" s="3" t="s">
        <v>120</v>
      </c>
      <c r="AK579" s="3"/>
      <c r="AL579" s="3"/>
      <c r="AM579" s="3" t="s">
        <v>65</v>
      </c>
      <c r="AN579" s="3" t="s">
        <v>129</v>
      </c>
      <c r="AO579" s="3"/>
      <c r="AP579" s="4">
        <v>44259.5339930556</v>
      </c>
      <c r="AQ579" s="3"/>
      <c r="AR579" s="3" t="s">
        <v>3441</v>
      </c>
      <c r="AS579" s="3"/>
      <c r="AT579" s="4">
        <v>44281.0337152778</v>
      </c>
    </row>
    <row r="580" ht="15.75" customHeight="1">
      <c r="A580" s="3">
        <v>2044443.0</v>
      </c>
      <c r="B580" s="3" t="s">
        <v>116</v>
      </c>
      <c r="C580" s="3" t="s">
        <v>117</v>
      </c>
      <c r="D580" s="3" t="s">
        <v>46</v>
      </c>
      <c r="E580" s="3" t="s">
        <v>7331</v>
      </c>
      <c r="F580" s="3"/>
      <c r="G580" s="3" t="s">
        <v>119</v>
      </c>
      <c r="H580" s="3" t="s">
        <v>50</v>
      </c>
      <c r="I580" s="3">
        <v>2500.0</v>
      </c>
      <c r="J580" s="3"/>
      <c r="K580" s="3"/>
      <c r="L580" s="3" t="s">
        <v>142</v>
      </c>
      <c r="M580" s="3" t="s">
        <v>7332</v>
      </c>
      <c r="N580" s="3" t="s">
        <v>186</v>
      </c>
      <c r="O580" s="3" t="s">
        <v>95</v>
      </c>
      <c r="P580" s="4">
        <v>44259.5</v>
      </c>
      <c r="Q580" s="3" t="s">
        <v>77</v>
      </c>
      <c r="R580" s="5">
        <v>44259.0</v>
      </c>
      <c r="S580" s="3" t="s">
        <v>280</v>
      </c>
      <c r="T580" s="3">
        <v>3504107.0</v>
      </c>
      <c r="U580" s="3" t="s">
        <v>7333</v>
      </c>
      <c r="V580" s="3" t="s">
        <v>139</v>
      </c>
      <c r="W580" s="3" t="s">
        <v>78</v>
      </c>
      <c r="X580" s="3"/>
      <c r="Y580" s="3"/>
      <c r="Z580" s="3" t="s">
        <v>101</v>
      </c>
      <c r="AA580" s="3" t="s">
        <v>7334</v>
      </c>
      <c r="AB580" s="3" t="str">
        <f>"05290830000114"</f>
        <v>05290830000114</v>
      </c>
      <c r="AC580" s="3"/>
      <c r="AD580" s="3"/>
      <c r="AE580" s="3"/>
      <c r="AF580" s="3">
        <v>-46.565</v>
      </c>
      <c r="AG580" s="3">
        <v>-23.113889</v>
      </c>
      <c r="AH580" s="3" t="s">
        <v>7335</v>
      </c>
      <c r="AI580" s="3"/>
      <c r="AJ580" s="3" t="s">
        <v>142</v>
      </c>
      <c r="AK580" s="3"/>
      <c r="AL580" s="3" t="s">
        <v>128</v>
      </c>
      <c r="AM580" s="3" t="s">
        <v>65</v>
      </c>
      <c r="AN580" s="3" t="s">
        <v>83</v>
      </c>
      <c r="AO580" s="4">
        <v>44271.0</v>
      </c>
      <c r="AP580" s="4">
        <v>44271.6525115741</v>
      </c>
      <c r="AQ580" s="3" t="s">
        <v>132</v>
      </c>
      <c r="AR580" s="3" t="s">
        <v>247</v>
      </c>
      <c r="AS580" s="3"/>
      <c r="AT580" s="4">
        <v>44281.0337152778</v>
      </c>
    </row>
    <row r="581" ht="15.75" customHeight="1">
      <c r="A581" s="3"/>
      <c r="B581" s="3" t="s">
        <v>46</v>
      </c>
      <c r="C581" s="3" t="s">
        <v>47</v>
      </c>
      <c r="D581" s="3"/>
      <c r="E581" s="3" t="s">
        <v>7336</v>
      </c>
      <c r="F581" s="3"/>
      <c r="G581" s="3" t="s">
        <v>49</v>
      </c>
      <c r="H581" s="3" t="s">
        <v>50</v>
      </c>
      <c r="I581" s="3">
        <v>550500.0</v>
      </c>
      <c r="J581" s="3"/>
      <c r="K581" s="3" t="s">
        <v>92</v>
      </c>
      <c r="L581" s="3"/>
      <c r="M581" s="3" t="s">
        <v>7337</v>
      </c>
      <c r="N581" s="3" t="s">
        <v>301</v>
      </c>
      <c r="O581" s="3" t="s">
        <v>302</v>
      </c>
      <c r="P581" s="4">
        <v>44259.4916435185</v>
      </c>
      <c r="Q581" s="3" t="s">
        <v>137</v>
      </c>
      <c r="R581" s="3"/>
      <c r="S581" s="3" t="s">
        <v>241</v>
      </c>
      <c r="T581" s="3">
        <v>2313500.0</v>
      </c>
      <c r="U581" s="3" t="s">
        <v>7305</v>
      </c>
      <c r="V581" s="3" t="s">
        <v>439</v>
      </c>
      <c r="W581" s="3" t="s">
        <v>291</v>
      </c>
      <c r="X581" s="3"/>
      <c r="Y581" s="3"/>
      <c r="Z581" s="3" t="s">
        <v>306</v>
      </c>
      <c r="AA581" s="3" t="s">
        <v>7310</v>
      </c>
      <c r="AB581" s="3" t="str">
        <f>"04367880000190"</f>
        <v>04367880000190</v>
      </c>
      <c r="AC581" s="3"/>
      <c r="AD581" s="3" t="s">
        <v>62</v>
      </c>
      <c r="AE581" s="3"/>
      <c r="AF581" s="3">
        <v>-39.432778</v>
      </c>
      <c r="AG581" s="3">
        <v>-3.220278</v>
      </c>
      <c r="AH581" s="3" t="s">
        <v>7338</v>
      </c>
      <c r="AI581" s="3"/>
      <c r="AJ581" s="3" t="s">
        <v>442</v>
      </c>
      <c r="AK581" s="3"/>
      <c r="AL581" s="3"/>
      <c r="AM581" s="3" t="s">
        <v>65</v>
      </c>
      <c r="AN581" s="3" t="s">
        <v>159</v>
      </c>
      <c r="AO581" s="3"/>
      <c r="AP581" s="4">
        <v>44265.4563194444</v>
      </c>
      <c r="AQ581" s="3"/>
      <c r="AR581" s="3" t="s">
        <v>746</v>
      </c>
      <c r="AS581" s="3" t="s">
        <v>7339</v>
      </c>
      <c r="AT581" s="4">
        <v>44281.0337152778</v>
      </c>
    </row>
    <row r="582" ht="15.75" customHeight="1">
      <c r="A582" s="3">
        <v>2044304.0</v>
      </c>
      <c r="B582" s="3" t="s">
        <v>116</v>
      </c>
      <c r="C582" s="3" t="s">
        <v>117</v>
      </c>
      <c r="D582" s="3" t="s">
        <v>46</v>
      </c>
      <c r="E582" s="3" t="s">
        <v>7340</v>
      </c>
      <c r="F582" s="3"/>
      <c r="G582" s="3" t="s">
        <v>119</v>
      </c>
      <c r="H582" s="3" t="s">
        <v>72</v>
      </c>
      <c r="I582" s="3">
        <v>10500.0</v>
      </c>
      <c r="J582" s="3"/>
      <c r="K582" s="3"/>
      <c r="L582" s="3" t="s">
        <v>442</v>
      </c>
      <c r="M582" s="3" t="s">
        <v>7341</v>
      </c>
      <c r="N582" s="3" t="s">
        <v>109</v>
      </c>
      <c r="O582" s="3" t="s">
        <v>110</v>
      </c>
      <c r="P582" s="4">
        <v>44259.4583333333</v>
      </c>
      <c r="Q582" s="3" t="s">
        <v>77</v>
      </c>
      <c r="R582" s="5">
        <v>44259.0</v>
      </c>
      <c r="S582" s="3" t="s">
        <v>437</v>
      </c>
      <c r="T582" s="3">
        <v>2310902.0</v>
      </c>
      <c r="U582" s="3" t="s">
        <v>6982</v>
      </c>
      <c r="V582" s="3" t="s">
        <v>439</v>
      </c>
      <c r="W582" s="3" t="s">
        <v>291</v>
      </c>
      <c r="X582" s="3"/>
      <c r="Y582" s="3" t="str">
        <f>"02007000724202151"</f>
        <v>02007000724202151</v>
      </c>
      <c r="Z582" s="3" t="s">
        <v>112</v>
      </c>
      <c r="AA582" s="3" t="s">
        <v>7342</v>
      </c>
      <c r="AB582" s="3" t="str">
        <f>"***667738**"</f>
        <v>***667738**</v>
      </c>
      <c r="AC582" s="3"/>
      <c r="AD582" s="3"/>
      <c r="AE582" s="3"/>
      <c r="AF582" s="3">
        <v>-39.536944</v>
      </c>
      <c r="AG582" s="3">
        <v>-5.958333</v>
      </c>
      <c r="AH582" s="3" t="s">
        <v>7343</v>
      </c>
      <c r="AI582" s="3"/>
      <c r="AJ582" s="3" t="s">
        <v>442</v>
      </c>
      <c r="AK582" s="3"/>
      <c r="AL582" s="3" t="s">
        <v>128</v>
      </c>
      <c r="AM582" s="3" t="s">
        <v>65</v>
      </c>
      <c r="AN582" s="3" t="s">
        <v>159</v>
      </c>
      <c r="AO582" s="4">
        <v>44267.0</v>
      </c>
      <c r="AP582" s="4">
        <v>44267.6896527778</v>
      </c>
      <c r="AQ582" s="3" t="s">
        <v>132</v>
      </c>
      <c r="AR582" s="3" t="s">
        <v>1207</v>
      </c>
      <c r="AS582" s="3" t="s">
        <v>7344</v>
      </c>
      <c r="AT582" s="4">
        <v>44281.0337152778</v>
      </c>
    </row>
    <row r="583" ht="15.75" customHeight="1">
      <c r="A583" s="3"/>
      <c r="B583" s="3" t="s">
        <v>46</v>
      </c>
      <c r="C583" s="3" t="s">
        <v>47</v>
      </c>
      <c r="D583" s="3"/>
      <c r="E583" s="3" t="s">
        <v>7345</v>
      </c>
      <c r="F583" s="3"/>
      <c r="G583" s="3" t="s">
        <v>49</v>
      </c>
      <c r="H583" s="3" t="s">
        <v>72</v>
      </c>
      <c r="I583" s="3">
        <v>9900.0</v>
      </c>
      <c r="J583" s="3"/>
      <c r="K583" s="3"/>
      <c r="L583" s="3"/>
      <c r="M583" s="3" t="s">
        <v>7346</v>
      </c>
      <c r="N583" s="3" t="s">
        <v>109</v>
      </c>
      <c r="O583" s="3" t="s">
        <v>110</v>
      </c>
      <c r="P583" s="4">
        <v>44259.4443055556</v>
      </c>
      <c r="Q583" s="3" t="s">
        <v>56</v>
      </c>
      <c r="R583" s="5">
        <v>44260.0</v>
      </c>
      <c r="S583" s="3" t="s">
        <v>220</v>
      </c>
      <c r="T583" s="3">
        <v>1302603.0</v>
      </c>
      <c r="U583" s="3" t="s">
        <v>4149</v>
      </c>
      <c r="V583" s="3" t="s">
        <v>99</v>
      </c>
      <c r="W583" s="3" t="s">
        <v>100</v>
      </c>
      <c r="X583" s="3"/>
      <c r="Y583" s="3"/>
      <c r="Z583" s="3" t="s">
        <v>112</v>
      </c>
      <c r="AA583" s="3" t="s">
        <v>7347</v>
      </c>
      <c r="AB583" s="3" t="str">
        <f>"24190576000127"</f>
        <v>24190576000127</v>
      </c>
      <c r="AC583" s="3"/>
      <c r="AD583" s="3" t="s">
        <v>62</v>
      </c>
      <c r="AE583" s="3"/>
      <c r="AF583" s="3">
        <v>-3.723611</v>
      </c>
      <c r="AG583" s="3">
        <v>-41.000833</v>
      </c>
      <c r="AH583" s="3" t="s">
        <v>7348</v>
      </c>
      <c r="AI583" s="3"/>
      <c r="AJ583" s="3" t="s">
        <v>104</v>
      </c>
      <c r="AK583" s="3"/>
      <c r="AL583" s="3"/>
      <c r="AM583" s="3" t="s">
        <v>65</v>
      </c>
      <c r="AN583" s="3"/>
      <c r="AO583" s="3"/>
      <c r="AP583" s="4">
        <v>44260.4857523148</v>
      </c>
      <c r="AQ583" s="3"/>
      <c r="AR583" s="3" t="s">
        <v>115</v>
      </c>
      <c r="AS583" s="3"/>
      <c r="AT583" s="4">
        <v>44281.0337152778</v>
      </c>
    </row>
    <row r="584" ht="15.75" customHeight="1">
      <c r="A584" s="3"/>
      <c r="B584" s="3" t="s">
        <v>46</v>
      </c>
      <c r="C584" s="3" t="s">
        <v>47</v>
      </c>
      <c r="D584" s="3"/>
      <c r="E584" s="3" t="s">
        <v>7349</v>
      </c>
      <c r="F584" s="3"/>
      <c r="G584" s="3" t="s">
        <v>49</v>
      </c>
      <c r="H584" s="3" t="s">
        <v>50</v>
      </c>
      <c r="I584" s="3">
        <v>51000.0</v>
      </c>
      <c r="J584" s="3"/>
      <c r="K584" s="3" t="s">
        <v>92</v>
      </c>
      <c r="L584" s="3"/>
      <c r="M584" s="3" t="s">
        <v>7236</v>
      </c>
      <c r="N584" s="3" t="s">
        <v>53</v>
      </c>
      <c r="O584" s="3" t="s">
        <v>333</v>
      </c>
      <c r="P584" s="4">
        <v>44259.4331944444</v>
      </c>
      <c r="Q584" s="3" t="s">
        <v>56</v>
      </c>
      <c r="R584" s="3"/>
      <c r="S584" s="3" t="s">
        <v>148</v>
      </c>
      <c r="T584" s="3">
        <v>1100049.0</v>
      </c>
      <c r="U584" s="3" t="s">
        <v>202</v>
      </c>
      <c r="V584" s="3" t="s">
        <v>125</v>
      </c>
      <c r="W584" s="3" t="s">
        <v>100</v>
      </c>
      <c r="X584" s="3"/>
      <c r="Y584" s="3"/>
      <c r="Z584" s="3" t="s">
        <v>223</v>
      </c>
      <c r="AA584" s="3" t="s">
        <v>7350</v>
      </c>
      <c r="AB584" s="3" t="str">
        <f>"97529168000120"</f>
        <v>97529168000120</v>
      </c>
      <c r="AC584" s="3"/>
      <c r="AD584" s="3" t="s">
        <v>81</v>
      </c>
      <c r="AE584" s="3"/>
      <c r="AF584" s="3">
        <v>-61.447778</v>
      </c>
      <c r="AG584" s="3">
        <v>-11.431389</v>
      </c>
      <c r="AH584" s="3" t="s">
        <v>7351</v>
      </c>
      <c r="AI584" s="3"/>
      <c r="AJ584" s="3" t="s">
        <v>158</v>
      </c>
      <c r="AK584" s="3"/>
      <c r="AL584" s="3"/>
      <c r="AM584" s="3" t="s">
        <v>65</v>
      </c>
      <c r="AN584" s="3" t="s">
        <v>159</v>
      </c>
      <c r="AO584" s="3"/>
      <c r="AP584" s="4">
        <v>44259.4376041667</v>
      </c>
      <c r="AQ584" s="3"/>
      <c r="AR584" s="3" t="s">
        <v>339</v>
      </c>
      <c r="AS584" s="3" t="s">
        <v>396</v>
      </c>
      <c r="AT584" s="4">
        <v>44281.0337152778</v>
      </c>
    </row>
    <row r="585" ht="15.75" customHeight="1">
      <c r="A585" s="3"/>
      <c r="B585" s="3" t="s">
        <v>46</v>
      </c>
      <c r="C585" s="3" t="s">
        <v>47</v>
      </c>
      <c r="D585" s="3"/>
      <c r="E585" s="3" t="s">
        <v>7352</v>
      </c>
      <c r="F585" s="3"/>
      <c r="G585" s="3" t="s">
        <v>49</v>
      </c>
      <c r="H585" s="3" t="s">
        <v>72</v>
      </c>
      <c r="I585" s="3">
        <v>1322300.0</v>
      </c>
      <c r="J585" s="3"/>
      <c r="K585" s="3"/>
      <c r="L585" s="3"/>
      <c r="M585" s="3" t="s">
        <v>7353</v>
      </c>
      <c r="N585" s="3" t="s">
        <v>109</v>
      </c>
      <c r="O585" s="3" t="s">
        <v>110</v>
      </c>
      <c r="P585" s="4">
        <v>44259.4307175926</v>
      </c>
      <c r="Q585" s="3" t="s">
        <v>56</v>
      </c>
      <c r="R585" s="3"/>
      <c r="S585" s="3" t="s">
        <v>220</v>
      </c>
      <c r="T585" s="3">
        <v>5103254.0</v>
      </c>
      <c r="U585" s="3" t="s">
        <v>322</v>
      </c>
      <c r="V585" s="3" t="s">
        <v>323</v>
      </c>
      <c r="W585" s="3" t="s">
        <v>100</v>
      </c>
      <c r="X585" s="3"/>
      <c r="Y585" s="3"/>
      <c r="Z585" s="3" t="s">
        <v>112</v>
      </c>
      <c r="AA585" s="3" t="s">
        <v>7354</v>
      </c>
      <c r="AB585" s="3" t="str">
        <f>"***416282**"</f>
        <v>***416282**</v>
      </c>
      <c r="AC585" s="3"/>
      <c r="AD585" s="3" t="s">
        <v>325</v>
      </c>
      <c r="AE585" s="3"/>
      <c r="AF585" s="3">
        <v>-60.639694</v>
      </c>
      <c r="AG585" s="3">
        <v>-9.281861</v>
      </c>
      <c r="AH585" s="3" t="s">
        <v>7355</v>
      </c>
      <c r="AI585" s="3"/>
      <c r="AJ585" s="3" t="s">
        <v>327</v>
      </c>
      <c r="AK585" s="3"/>
      <c r="AL585" s="3"/>
      <c r="AM585" s="3" t="s">
        <v>65</v>
      </c>
      <c r="AN585" s="3"/>
      <c r="AO585" s="3"/>
      <c r="AP585" s="4">
        <v>44273.6701388889</v>
      </c>
      <c r="AQ585" s="3"/>
      <c r="AR585" s="3" t="s">
        <v>991</v>
      </c>
      <c r="AS585" s="3"/>
      <c r="AT585" s="4">
        <v>44281.0337152778</v>
      </c>
    </row>
    <row r="586" ht="15.75" customHeight="1">
      <c r="A586" s="3">
        <v>2044238.0</v>
      </c>
      <c r="B586" s="3" t="s">
        <v>116</v>
      </c>
      <c r="C586" s="3" t="s">
        <v>117</v>
      </c>
      <c r="D586" s="3" t="s">
        <v>46</v>
      </c>
      <c r="E586" s="3" t="s">
        <v>7356</v>
      </c>
      <c r="F586" s="3"/>
      <c r="G586" s="3" t="s">
        <v>119</v>
      </c>
      <c r="H586" s="3" t="s">
        <v>50</v>
      </c>
      <c r="I586" s="3">
        <v>7000.0</v>
      </c>
      <c r="J586" s="3"/>
      <c r="K586" s="3"/>
      <c r="L586" s="3" t="s">
        <v>295</v>
      </c>
      <c r="M586" s="3" t="s">
        <v>7357</v>
      </c>
      <c r="N586" s="3" t="s">
        <v>109</v>
      </c>
      <c r="O586" s="3" t="s">
        <v>110</v>
      </c>
      <c r="P586" s="4">
        <v>44259.4166666667</v>
      </c>
      <c r="Q586" s="3" t="s">
        <v>56</v>
      </c>
      <c r="R586" s="5">
        <v>44259.0</v>
      </c>
      <c r="S586" s="3" t="s">
        <v>288</v>
      </c>
      <c r="T586" s="3">
        <v>2211001.0</v>
      </c>
      <c r="U586" s="3" t="s">
        <v>527</v>
      </c>
      <c r="V586" s="3" t="s">
        <v>290</v>
      </c>
      <c r="W586" s="3" t="s">
        <v>291</v>
      </c>
      <c r="X586" s="3"/>
      <c r="Y586" s="3"/>
      <c r="Z586" s="3" t="s">
        <v>112</v>
      </c>
      <c r="AA586" s="3" t="s">
        <v>7358</v>
      </c>
      <c r="AB586" s="3" t="str">
        <f>"32292867000154"</f>
        <v>32292867000154</v>
      </c>
      <c r="AC586" s="3"/>
      <c r="AD586" s="3"/>
      <c r="AE586" s="3"/>
      <c r="AF586" s="3">
        <v>-42.8245</v>
      </c>
      <c r="AG586" s="3">
        <v>5.069917</v>
      </c>
      <c r="AH586" s="3" t="s">
        <v>7359</v>
      </c>
      <c r="AI586" s="3"/>
      <c r="AJ586" s="3" t="s">
        <v>295</v>
      </c>
      <c r="AK586" s="3"/>
      <c r="AL586" s="3" t="s">
        <v>128</v>
      </c>
      <c r="AM586" s="3" t="s">
        <v>65</v>
      </c>
      <c r="AN586" s="3" t="s">
        <v>296</v>
      </c>
      <c r="AO586" s="4">
        <v>44265.0</v>
      </c>
      <c r="AP586" s="4">
        <v>44265.7272569444</v>
      </c>
      <c r="AQ586" s="3" t="s">
        <v>132</v>
      </c>
      <c r="AR586" s="3" t="s">
        <v>247</v>
      </c>
      <c r="AS586" s="3"/>
      <c r="AT586" s="4">
        <v>44281.0337152778</v>
      </c>
    </row>
    <row r="587" ht="15.75" customHeight="1">
      <c r="A587" s="3">
        <v>2044166.0</v>
      </c>
      <c r="B587" s="3" t="s">
        <v>116</v>
      </c>
      <c r="C587" s="3" t="s">
        <v>117</v>
      </c>
      <c r="D587" s="3" t="s">
        <v>46</v>
      </c>
      <c r="E587" s="3" t="s">
        <v>7360</v>
      </c>
      <c r="F587" s="3"/>
      <c r="G587" s="3" t="s">
        <v>119</v>
      </c>
      <c r="H587" s="3" t="s">
        <v>50</v>
      </c>
      <c r="I587" s="3">
        <v>108825.0</v>
      </c>
      <c r="J587" s="3"/>
      <c r="K587" s="3"/>
      <c r="L587" s="3" t="s">
        <v>1737</v>
      </c>
      <c r="M587" s="3" t="s">
        <v>7361</v>
      </c>
      <c r="N587" s="3" t="s">
        <v>186</v>
      </c>
      <c r="O587" s="3" t="s">
        <v>302</v>
      </c>
      <c r="P587" s="4">
        <v>44259.3333333333</v>
      </c>
      <c r="Q587" s="3" t="s">
        <v>56</v>
      </c>
      <c r="R587" s="3"/>
      <c r="S587" s="3" t="s">
        <v>169</v>
      </c>
      <c r="T587" s="3">
        <v>5300108.0</v>
      </c>
      <c r="U587" s="3" t="s">
        <v>304</v>
      </c>
      <c r="V587" s="3" t="s">
        <v>305</v>
      </c>
      <c r="W587" s="3" t="s">
        <v>60</v>
      </c>
      <c r="X587" s="3"/>
      <c r="Y587" s="3"/>
      <c r="Z587" s="3" t="s">
        <v>306</v>
      </c>
      <c r="AA587" s="3" t="s">
        <v>61</v>
      </c>
      <c r="AB587" s="3" t="str">
        <f>"33000167000101"</f>
        <v>33000167000101</v>
      </c>
      <c r="AC587" s="3"/>
      <c r="AD587" s="3"/>
      <c r="AE587" s="3"/>
      <c r="AF587" s="3">
        <v>-48.023333</v>
      </c>
      <c r="AG587" s="3">
        <v>-15.879444</v>
      </c>
      <c r="AH587" s="3" t="s">
        <v>7362</v>
      </c>
      <c r="AI587" s="3"/>
      <c r="AJ587" s="3" t="s">
        <v>1737</v>
      </c>
      <c r="AK587" s="3"/>
      <c r="AL587" s="3" t="s">
        <v>128</v>
      </c>
      <c r="AM587" s="3" t="s">
        <v>65</v>
      </c>
      <c r="AN587" s="3" t="s">
        <v>1743</v>
      </c>
      <c r="AO587" s="4">
        <v>44264.0</v>
      </c>
      <c r="AP587" s="4">
        <v>44264.4942592593</v>
      </c>
      <c r="AQ587" s="3" t="s">
        <v>132</v>
      </c>
      <c r="AR587" s="3" t="s">
        <v>1745</v>
      </c>
      <c r="AS587" s="3" t="s">
        <v>7363</v>
      </c>
      <c r="AT587" s="4">
        <v>44281.0337152778</v>
      </c>
    </row>
    <row r="588" ht="15.75" customHeight="1">
      <c r="A588" s="3">
        <v>2044268.0</v>
      </c>
      <c r="B588" s="3" t="s">
        <v>116</v>
      </c>
      <c r="C588" s="3" t="s">
        <v>117</v>
      </c>
      <c r="D588" s="3" t="s">
        <v>46</v>
      </c>
      <c r="E588" s="3" t="s">
        <v>7364</v>
      </c>
      <c r="F588" s="3"/>
      <c r="G588" s="3" t="s">
        <v>119</v>
      </c>
      <c r="H588" s="3" t="s">
        <v>72</v>
      </c>
      <c r="I588" s="3">
        <v>500.0</v>
      </c>
      <c r="J588" s="3"/>
      <c r="K588" s="3"/>
      <c r="L588" s="3" t="s">
        <v>1336</v>
      </c>
      <c r="M588" s="3" t="s">
        <v>7365</v>
      </c>
      <c r="N588" s="3" t="s">
        <v>257</v>
      </c>
      <c r="O588" s="3" t="s">
        <v>258</v>
      </c>
      <c r="P588" s="4">
        <v>44259.3333333333</v>
      </c>
      <c r="Q588" s="3" t="s">
        <v>56</v>
      </c>
      <c r="R588" s="3"/>
      <c r="S588" s="3" t="s">
        <v>280</v>
      </c>
      <c r="T588" s="3">
        <v>3509502.0</v>
      </c>
      <c r="U588" s="3" t="s">
        <v>1339</v>
      </c>
      <c r="V588" s="3" t="s">
        <v>139</v>
      </c>
      <c r="W588" s="3" t="s">
        <v>78</v>
      </c>
      <c r="X588" s="3"/>
      <c r="Y588" s="3" t="str">
        <f>"02285000046202148"</f>
        <v>02285000046202148</v>
      </c>
      <c r="Z588" s="3" t="s">
        <v>260</v>
      </c>
      <c r="AA588" s="3" t="s">
        <v>3015</v>
      </c>
      <c r="AB588" s="3" t="str">
        <f>"***297938**"</f>
        <v>***297938**</v>
      </c>
      <c r="AC588" s="3"/>
      <c r="AD588" s="3" t="s">
        <v>325</v>
      </c>
      <c r="AE588" s="3"/>
      <c r="AF588" s="3">
        <v>-47.933056</v>
      </c>
      <c r="AG588" s="3">
        <v>-15.83</v>
      </c>
      <c r="AH588" s="3" t="s">
        <v>7366</v>
      </c>
      <c r="AI588" s="3"/>
      <c r="AJ588" s="3" t="s">
        <v>1336</v>
      </c>
      <c r="AK588" s="3"/>
      <c r="AL588" s="3" t="s">
        <v>1171</v>
      </c>
      <c r="AM588" s="3" t="s">
        <v>65</v>
      </c>
      <c r="AN588" s="3" t="s">
        <v>1342</v>
      </c>
      <c r="AO588" s="4">
        <v>44266.0</v>
      </c>
      <c r="AP588" s="4">
        <v>44267.3642708333</v>
      </c>
      <c r="AQ588" s="3" t="s">
        <v>132</v>
      </c>
      <c r="AR588" s="3" t="s">
        <v>4042</v>
      </c>
      <c r="AS588" s="3"/>
      <c r="AT588" s="4">
        <v>44281.0337152778</v>
      </c>
    </row>
    <row r="589" ht="15.75" customHeight="1">
      <c r="A589" s="3">
        <v>2044014.0</v>
      </c>
      <c r="B589" s="3" t="s">
        <v>116</v>
      </c>
      <c r="C589" s="3" t="s">
        <v>117</v>
      </c>
      <c r="D589" s="3" t="s">
        <v>46</v>
      </c>
      <c r="E589" s="3" t="s">
        <v>7367</v>
      </c>
      <c r="F589" s="3"/>
      <c r="G589" s="3" t="s">
        <v>119</v>
      </c>
      <c r="H589" s="3" t="s">
        <v>50</v>
      </c>
      <c r="I589" s="3">
        <v>1000.0</v>
      </c>
      <c r="J589" s="3"/>
      <c r="K589" s="3"/>
      <c r="L589" s="3" t="s">
        <v>485</v>
      </c>
      <c r="M589" s="3" t="s">
        <v>7368</v>
      </c>
      <c r="N589" s="3" t="s">
        <v>285</v>
      </c>
      <c r="O589" s="3" t="s">
        <v>286</v>
      </c>
      <c r="P589" s="4">
        <v>44259.25</v>
      </c>
      <c r="Q589" s="3" t="s">
        <v>56</v>
      </c>
      <c r="R589" s="5">
        <v>44259.0</v>
      </c>
      <c r="S589" s="3" t="s">
        <v>488</v>
      </c>
      <c r="T589" s="3">
        <v>1721000.0</v>
      </c>
      <c r="U589" s="3" t="s">
        <v>886</v>
      </c>
      <c r="V589" s="3" t="s">
        <v>490</v>
      </c>
      <c r="W589" s="3" t="s">
        <v>172</v>
      </c>
      <c r="X589" s="3"/>
      <c r="Y589" s="3" t="str">
        <f>"02029000246202121"</f>
        <v>02029000246202121</v>
      </c>
      <c r="Z589" s="3" t="s">
        <v>292</v>
      </c>
      <c r="AA589" s="3" t="s">
        <v>7369</v>
      </c>
      <c r="AB589" s="3" t="str">
        <f>"15000347000101"</f>
        <v>15000347000101</v>
      </c>
      <c r="AC589" s="3"/>
      <c r="AD589" s="3"/>
      <c r="AE589" s="3"/>
      <c r="AF589" s="3">
        <v>-48.332778</v>
      </c>
      <c r="AG589" s="3">
        <v>-10.208611</v>
      </c>
      <c r="AH589" s="3" t="s">
        <v>7370</v>
      </c>
      <c r="AI589" s="3"/>
      <c r="AJ589" s="3" t="s">
        <v>485</v>
      </c>
      <c r="AK589" s="3"/>
      <c r="AL589" s="3" t="s">
        <v>128</v>
      </c>
      <c r="AM589" s="3" t="s">
        <v>65</v>
      </c>
      <c r="AN589" s="3" t="s">
        <v>296</v>
      </c>
      <c r="AO589" s="4">
        <v>44259.0</v>
      </c>
      <c r="AP589" s="4">
        <v>44259.4509259259</v>
      </c>
      <c r="AQ589" s="3" t="s">
        <v>132</v>
      </c>
      <c r="AR589" s="3" t="s">
        <v>693</v>
      </c>
      <c r="AS589" s="3"/>
      <c r="AT589" s="4">
        <v>44281.0337152778</v>
      </c>
    </row>
    <row r="590" ht="15.75" customHeight="1">
      <c r="A590" s="3">
        <v>2044026.0</v>
      </c>
      <c r="B590" s="3" t="s">
        <v>116</v>
      </c>
      <c r="C590" s="3" t="s">
        <v>117</v>
      </c>
      <c r="D590" s="3" t="s">
        <v>46</v>
      </c>
      <c r="E590" s="3" t="s">
        <v>7371</v>
      </c>
      <c r="F590" s="3"/>
      <c r="G590" s="3" t="s">
        <v>119</v>
      </c>
      <c r="H590" s="3" t="s">
        <v>50</v>
      </c>
      <c r="I590" s="3">
        <v>2500.0</v>
      </c>
      <c r="J590" s="3"/>
      <c r="K590" s="3"/>
      <c r="L590" s="3" t="s">
        <v>1178</v>
      </c>
      <c r="M590" s="3" t="s">
        <v>7372</v>
      </c>
      <c r="N590" s="3" t="s">
        <v>53</v>
      </c>
      <c r="O590" s="3" t="s">
        <v>187</v>
      </c>
      <c r="P590" s="4">
        <v>44259.25</v>
      </c>
      <c r="Q590" s="3" t="s">
        <v>56</v>
      </c>
      <c r="R590" s="5">
        <v>44259.0</v>
      </c>
      <c r="S590" s="3" t="s">
        <v>1173</v>
      </c>
      <c r="T590" s="3">
        <v>2513703.0</v>
      </c>
      <c r="U590" s="3" t="s">
        <v>3131</v>
      </c>
      <c r="V590" s="3" t="s">
        <v>1175</v>
      </c>
      <c r="W590" s="3" t="s">
        <v>60</v>
      </c>
      <c r="X590" s="3"/>
      <c r="Y590" s="3" t="str">
        <f>"02016000462202116"</f>
        <v>02016000462202116</v>
      </c>
      <c r="Z590" s="3" t="s">
        <v>223</v>
      </c>
      <c r="AA590" s="3" t="s">
        <v>7373</v>
      </c>
      <c r="AB590" s="3" t="str">
        <f>"27574424000116"</f>
        <v>27574424000116</v>
      </c>
      <c r="AC590" s="3"/>
      <c r="AD590" s="3"/>
      <c r="AE590" s="3"/>
      <c r="AF590" s="3">
        <v>-34.957472</v>
      </c>
      <c r="AG590" s="3">
        <v>-7.12675</v>
      </c>
      <c r="AH590" s="3" t="s">
        <v>7374</v>
      </c>
      <c r="AI590" s="3"/>
      <c r="AJ590" s="3" t="s">
        <v>1178</v>
      </c>
      <c r="AK590" s="3"/>
      <c r="AL590" s="3" t="s">
        <v>128</v>
      </c>
      <c r="AM590" s="3" t="s">
        <v>65</v>
      </c>
      <c r="AN590" s="3" t="s">
        <v>296</v>
      </c>
      <c r="AO590" s="4">
        <v>44259.0</v>
      </c>
      <c r="AP590" s="4">
        <v>44259.5313773148</v>
      </c>
      <c r="AQ590" s="3" t="s">
        <v>132</v>
      </c>
      <c r="AR590" s="3" t="s">
        <v>2761</v>
      </c>
      <c r="AS590" s="3"/>
      <c r="AT590" s="4">
        <v>44281.0337152778</v>
      </c>
    </row>
    <row r="591" ht="15.75" customHeight="1">
      <c r="A591" s="3"/>
      <c r="B591" s="3" t="s">
        <v>46</v>
      </c>
      <c r="C591" s="3" t="s">
        <v>47</v>
      </c>
      <c r="D591" s="3"/>
      <c r="E591" s="3" t="s">
        <v>7375</v>
      </c>
      <c r="F591" s="3"/>
      <c r="G591" s="3" t="s">
        <v>49</v>
      </c>
      <c r="H591" s="3" t="s">
        <v>72</v>
      </c>
      <c r="I591" s="3">
        <v>5856.0</v>
      </c>
      <c r="J591" s="3"/>
      <c r="K591" s="3"/>
      <c r="L591" s="3"/>
      <c r="M591" s="3" t="s">
        <v>7376</v>
      </c>
      <c r="N591" s="3" t="s">
        <v>109</v>
      </c>
      <c r="O591" s="3" t="s">
        <v>110</v>
      </c>
      <c r="P591" s="4">
        <v>44259.1108333333</v>
      </c>
      <c r="Q591" s="3" t="s">
        <v>137</v>
      </c>
      <c r="R591" s="3"/>
      <c r="S591" s="3" t="s">
        <v>447</v>
      </c>
      <c r="T591" s="3">
        <v>2101400.0</v>
      </c>
      <c r="U591" s="3" t="s">
        <v>7319</v>
      </c>
      <c r="V591" s="3" t="s">
        <v>449</v>
      </c>
      <c r="W591" s="3" t="s">
        <v>172</v>
      </c>
      <c r="X591" s="3"/>
      <c r="Y591" s="3"/>
      <c r="Z591" s="3" t="s">
        <v>112</v>
      </c>
      <c r="AA591" s="3" t="s">
        <v>7377</v>
      </c>
      <c r="AB591" s="3" t="str">
        <f>"***540878**"</f>
        <v>***540878**</v>
      </c>
      <c r="AC591" s="3"/>
      <c r="AD591" s="3" t="s">
        <v>81</v>
      </c>
      <c r="AE591" s="3"/>
      <c r="AF591" s="3">
        <v>-46.046389</v>
      </c>
      <c r="AG591" s="3">
        <v>-7.521111</v>
      </c>
      <c r="AH591" s="3" t="s">
        <v>7378</v>
      </c>
      <c r="AI591" s="3"/>
      <c r="AJ591" s="3" t="s">
        <v>452</v>
      </c>
      <c r="AK591" s="3"/>
      <c r="AL591" s="3"/>
      <c r="AM591" s="3" t="s">
        <v>65</v>
      </c>
      <c r="AN591" s="3"/>
      <c r="AO591" s="3"/>
      <c r="AP591" s="4">
        <v>44265.6531712963</v>
      </c>
      <c r="AQ591" s="3"/>
      <c r="AR591" s="3" t="s">
        <v>177</v>
      </c>
      <c r="AS591" s="3"/>
      <c r="AT591" s="4">
        <v>44281.0337152778</v>
      </c>
    </row>
    <row r="592" ht="15.75" customHeight="1">
      <c r="A592" s="3">
        <v>2044004.0</v>
      </c>
      <c r="B592" s="3" t="s">
        <v>116</v>
      </c>
      <c r="C592" s="3" t="s">
        <v>117</v>
      </c>
      <c r="D592" s="3" t="s">
        <v>46</v>
      </c>
      <c r="E592" s="3" t="s">
        <v>7379</v>
      </c>
      <c r="F592" s="3"/>
      <c r="G592" s="3" t="s">
        <v>119</v>
      </c>
      <c r="H592" s="3" t="s">
        <v>50</v>
      </c>
      <c r="I592" s="3">
        <v>2000.0</v>
      </c>
      <c r="J592" s="3"/>
      <c r="K592" s="3"/>
      <c r="L592" s="3" t="s">
        <v>485</v>
      </c>
      <c r="M592" s="3" t="s">
        <v>7380</v>
      </c>
      <c r="N592" s="3" t="s">
        <v>285</v>
      </c>
      <c r="O592" s="3" t="s">
        <v>286</v>
      </c>
      <c r="P592" s="4">
        <v>44259.0</v>
      </c>
      <c r="Q592" s="3" t="s">
        <v>56</v>
      </c>
      <c r="R592" s="3"/>
      <c r="S592" s="3" t="s">
        <v>488</v>
      </c>
      <c r="T592" s="3">
        <v>1705557.0</v>
      </c>
      <c r="U592" s="3" t="s">
        <v>2740</v>
      </c>
      <c r="V592" s="3" t="s">
        <v>490</v>
      </c>
      <c r="W592" s="3" t="s">
        <v>100</v>
      </c>
      <c r="X592" s="3"/>
      <c r="Y592" s="3" t="str">
        <f>"02029000243202198"</f>
        <v>02029000243202198</v>
      </c>
      <c r="Z592" s="3" t="s">
        <v>292</v>
      </c>
      <c r="AA592" s="3" t="s">
        <v>7381</v>
      </c>
      <c r="AB592" s="3" t="str">
        <f>"01855140000457"</f>
        <v>01855140000457</v>
      </c>
      <c r="AC592" s="3"/>
      <c r="AD592" s="3"/>
      <c r="AE592" s="3"/>
      <c r="AF592" s="3">
        <v>-46.547222</v>
      </c>
      <c r="AG592" s="3">
        <v>-12.813889</v>
      </c>
      <c r="AH592" s="3" t="s">
        <v>7382</v>
      </c>
      <c r="AI592" s="3"/>
      <c r="AJ592" s="3" t="s">
        <v>485</v>
      </c>
      <c r="AK592" s="3"/>
      <c r="AL592" s="3" t="s">
        <v>128</v>
      </c>
      <c r="AM592" s="3" t="s">
        <v>65</v>
      </c>
      <c r="AN592" s="3" t="s">
        <v>296</v>
      </c>
      <c r="AO592" s="4">
        <v>44259.0</v>
      </c>
      <c r="AP592" s="4">
        <v>44259.3569212963</v>
      </c>
      <c r="AQ592" s="3" t="s">
        <v>132</v>
      </c>
      <c r="AR592" s="3" t="s">
        <v>531</v>
      </c>
      <c r="AS592" s="3"/>
      <c r="AT592" s="4">
        <v>44281.0337152778</v>
      </c>
    </row>
    <row r="593" ht="15.75" customHeight="1">
      <c r="A593" s="3">
        <v>2044200.0</v>
      </c>
      <c r="B593" s="3" t="s">
        <v>116</v>
      </c>
      <c r="C593" s="3" t="s">
        <v>117</v>
      </c>
      <c r="D593" s="3" t="s">
        <v>46</v>
      </c>
      <c r="E593" s="3" t="s">
        <v>7383</v>
      </c>
      <c r="F593" s="3"/>
      <c r="G593" s="3" t="s">
        <v>119</v>
      </c>
      <c r="H593" s="3" t="s">
        <v>50</v>
      </c>
      <c r="I593" s="3">
        <v>11000.0</v>
      </c>
      <c r="J593" s="3"/>
      <c r="K593" s="3"/>
      <c r="L593" s="3" t="s">
        <v>417</v>
      </c>
      <c r="M593" s="3" t="s">
        <v>7384</v>
      </c>
      <c r="N593" s="3" t="s">
        <v>74</v>
      </c>
      <c r="O593" s="3" t="s">
        <v>75</v>
      </c>
      <c r="P593" s="4">
        <v>44258.9583333333</v>
      </c>
      <c r="Q593" s="3" t="s">
        <v>56</v>
      </c>
      <c r="R593" s="3"/>
      <c r="S593" s="3" t="s">
        <v>220</v>
      </c>
      <c r="T593" s="3">
        <v>2706505.0</v>
      </c>
      <c r="U593" s="3" t="s">
        <v>7385</v>
      </c>
      <c r="V593" s="3" t="s">
        <v>414</v>
      </c>
      <c r="W593" s="3" t="s">
        <v>60</v>
      </c>
      <c r="X593" s="3" t="s">
        <v>7386</v>
      </c>
      <c r="Y593" s="3" t="str">
        <f>"02003000252202177"</f>
        <v>02003000252202177</v>
      </c>
      <c r="Z593" s="3" t="s">
        <v>79</v>
      </c>
      <c r="AA593" s="3" t="s">
        <v>7387</v>
      </c>
      <c r="AB593" s="3" t="str">
        <f t="shared" ref="AB593:AB595" si="40">"***796364**"</f>
        <v>***796364**</v>
      </c>
      <c r="AC593" s="3"/>
      <c r="AD593" s="3"/>
      <c r="AE593" s="3"/>
      <c r="AF593" s="3">
        <v>-35.407528</v>
      </c>
      <c r="AG593" s="3">
        <v>-9.309194</v>
      </c>
      <c r="AH593" s="3" t="s">
        <v>7388</v>
      </c>
      <c r="AI593" s="3"/>
      <c r="AJ593" s="3" t="s">
        <v>417</v>
      </c>
      <c r="AK593" s="3"/>
      <c r="AL593" s="3" t="s">
        <v>128</v>
      </c>
      <c r="AM593" s="3" t="s">
        <v>65</v>
      </c>
      <c r="AN593" s="3" t="s">
        <v>274</v>
      </c>
      <c r="AO593" s="4">
        <v>44265.0</v>
      </c>
      <c r="AP593" s="4">
        <v>44265.3955324074</v>
      </c>
      <c r="AQ593" s="3" t="s">
        <v>132</v>
      </c>
      <c r="AR593" s="3" t="s">
        <v>693</v>
      </c>
      <c r="AS593" s="3"/>
      <c r="AT593" s="4">
        <v>44281.0337152778</v>
      </c>
    </row>
    <row r="594" ht="15.75" customHeight="1">
      <c r="A594" s="3">
        <v>2044198.0</v>
      </c>
      <c r="B594" s="3" t="s">
        <v>116</v>
      </c>
      <c r="C594" s="3" t="s">
        <v>117</v>
      </c>
      <c r="D594" s="3" t="s">
        <v>46</v>
      </c>
      <c r="E594" s="3" t="s">
        <v>7389</v>
      </c>
      <c r="F594" s="3"/>
      <c r="G594" s="3" t="s">
        <v>119</v>
      </c>
      <c r="H594" s="3" t="s">
        <v>50</v>
      </c>
      <c r="I594" s="3">
        <v>20000.0</v>
      </c>
      <c r="J594" s="3"/>
      <c r="K594" s="3"/>
      <c r="L594" s="3" t="s">
        <v>417</v>
      </c>
      <c r="M594" s="3" t="s">
        <v>7390</v>
      </c>
      <c r="N594" s="3" t="s">
        <v>74</v>
      </c>
      <c r="O594" s="3" t="s">
        <v>75</v>
      </c>
      <c r="P594" s="4">
        <v>44258.9166666667</v>
      </c>
      <c r="Q594" s="3" t="s">
        <v>56</v>
      </c>
      <c r="R594" s="3"/>
      <c r="S594" s="3" t="s">
        <v>412</v>
      </c>
      <c r="T594" s="3">
        <v>2706505.0</v>
      </c>
      <c r="U594" s="3" t="s">
        <v>7385</v>
      </c>
      <c r="V594" s="3" t="s">
        <v>414</v>
      </c>
      <c r="W594" s="3" t="s">
        <v>60</v>
      </c>
      <c r="X594" s="3" t="s">
        <v>7386</v>
      </c>
      <c r="Y594" s="3" t="str">
        <f>"02003000250202188"</f>
        <v>02003000250202188</v>
      </c>
      <c r="Z594" s="3" t="s">
        <v>79</v>
      </c>
      <c r="AA594" s="3" t="s">
        <v>7387</v>
      </c>
      <c r="AB594" s="3" t="str">
        <f t="shared" si="40"/>
        <v>***796364**</v>
      </c>
      <c r="AC594" s="3"/>
      <c r="AD594" s="3"/>
      <c r="AE594" s="3"/>
      <c r="AF594" s="3">
        <v>-35.407528</v>
      </c>
      <c r="AG594" s="3">
        <v>-9.309194</v>
      </c>
      <c r="AH594" s="3" t="s">
        <v>7391</v>
      </c>
      <c r="AI594" s="3"/>
      <c r="AJ594" s="3" t="s">
        <v>417</v>
      </c>
      <c r="AK594" s="3"/>
      <c r="AL594" s="3" t="s">
        <v>128</v>
      </c>
      <c r="AM594" s="3" t="s">
        <v>65</v>
      </c>
      <c r="AN594" s="3" t="s">
        <v>274</v>
      </c>
      <c r="AO594" s="4">
        <v>44265.0</v>
      </c>
      <c r="AP594" s="4">
        <v>44265.394224537</v>
      </c>
      <c r="AQ594" s="3" t="s">
        <v>132</v>
      </c>
      <c r="AR594" s="3" t="s">
        <v>494</v>
      </c>
      <c r="AS594" s="3"/>
      <c r="AT594" s="4">
        <v>44281.0337152778</v>
      </c>
    </row>
    <row r="595" ht="15.75" customHeight="1">
      <c r="A595" s="3"/>
      <c r="B595" s="3" t="s">
        <v>46</v>
      </c>
      <c r="C595" s="3" t="s">
        <v>571</v>
      </c>
      <c r="D595" s="3" t="s">
        <v>116</v>
      </c>
      <c r="E595" s="3" t="s">
        <v>7392</v>
      </c>
      <c r="F595" s="3"/>
      <c r="G595" s="3" t="s">
        <v>49</v>
      </c>
      <c r="H595" s="3" t="s">
        <v>50</v>
      </c>
      <c r="I595" s="3">
        <v>20000.0</v>
      </c>
      <c r="J595" s="3"/>
      <c r="K595" s="3" t="s">
        <v>92</v>
      </c>
      <c r="L595" s="3"/>
      <c r="M595" s="3" t="s">
        <v>7393</v>
      </c>
      <c r="N595" s="3" t="s">
        <v>74</v>
      </c>
      <c r="O595" s="3" t="s">
        <v>75</v>
      </c>
      <c r="P595" s="4">
        <v>44258.9153356481</v>
      </c>
      <c r="Q595" s="3" t="s">
        <v>56</v>
      </c>
      <c r="R595" s="3"/>
      <c r="S595" s="3" t="s">
        <v>412</v>
      </c>
      <c r="T595" s="3">
        <v>2706505.0</v>
      </c>
      <c r="U595" s="3" t="s">
        <v>7385</v>
      </c>
      <c r="V595" s="3" t="s">
        <v>414</v>
      </c>
      <c r="W595" s="3" t="s">
        <v>60</v>
      </c>
      <c r="X595" s="3" t="s">
        <v>7386</v>
      </c>
      <c r="Y595" s="3"/>
      <c r="Z595" s="3" t="s">
        <v>79</v>
      </c>
      <c r="AA595" s="3" t="s">
        <v>7387</v>
      </c>
      <c r="AB595" s="3" t="str">
        <f t="shared" si="40"/>
        <v>***796364**</v>
      </c>
      <c r="AC595" s="3"/>
      <c r="AD595" s="3" t="s">
        <v>62</v>
      </c>
      <c r="AE595" s="3"/>
      <c r="AF595" s="3">
        <v>-35.407528</v>
      </c>
      <c r="AG595" s="3">
        <v>-9.309194</v>
      </c>
      <c r="AH595" s="3" t="s">
        <v>7394</v>
      </c>
      <c r="AI595" s="3"/>
      <c r="AJ595" s="3" t="s">
        <v>417</v>
      </c>
      <c r="AK595" s="3"/>
      <c r="AL595" s="3"/>
      <c r="AM595" s="3" t="s">
        <v>65</v>
      </c>
      <c r="AN595" s="3" t="s">
        <v>274</v>
      </c>
      <c r="AO595" s="3"/>
      <c r="AP595" s="4">
        <v>44258.9337615741</v>
      </c>
      <c r="AQ595" s="3"/>
      <c r="AR595" s="3" t="s">
        <v>684</v>
      </c>
      <c r="AS595" s="3"/>
      <c r="AT595" s="4">
        <v>44281.0337152778</v>
      </c>
    </row>
    <row r="596" ht="15.75" customHeight="1">
      <c r="A596" s="3">
        <v>2044649.0</v>
      </c>
      <c r="B596" s="3" t="s">
        <v>116</v>
      </c>
      <c r="C596" s="3" t="s">
        <v>117</v>
      </c>
      <c r="D596" s="3" t="s">
        <v>46</v>
      </c>
      <c r="E596" s="3" t="s">
        <v>7395</v>
      </c>
      <c r="F596" s="3"/>
      <c r="G596" s="3" t="s">
        <v>119</v>
      </c>
      <c r="H596" s="3" t="s">
        <v>72</v>
      </c>
      <c r="I596" s="3">
        <v>3928.0</v>
      </c>
      <c r="J596" s="3"/>
      <c r="K596" s="3"/>
      <c r="L596" s="3" t="s">
        <v>120</v>
      </c>
      <c r="M596" s="3" t="s">
        <v>7396</v>
      </c>
      <c r="N596" s="3" t="s">
        <v>109</v>
      </c>
      <c r="O596" s="3" t="s">
        <v>110</v>
      </c>
      <c r="P596" s="4">
        <v>44258.8333333333</v>
      </c>
      <c r="Q596" s="3" t="s">
        <v>77</v>
      </c>
      <c r="R596" s="5">
        <v>44258.0</v>
      </c>
      <c r="S596" s="3" t="s">
        <v>123</v>
      </c>
      <c r="T596" s="3">
        <v>1100205.0</v>
      </c>
      <c r="U596" s="3" t="s">
        <v>242</v>
      </c>
      <c r="V596" s="3" t="s">
        <v>125</v>
      </c>
      <c r="W596" s="3" t="s">
        <v>100</v>
      </c>
      <c r="X596" s="3"/>
      <c r="Y596" s="3" t="str">
        <f>"02001005994202117"</f>
        <v>02001005994202117</v>
      </c>
      <c r="Z596" s="3" t="s">
        <v>112</v>
      </c>
      <c r="AA596" s="3" t="s">
        <v>7397</v>
      </c>
      <c r="AB596" s="3" t="str">
        <f>"20801732000198"</f>
        <v>20801732000198</v>
      </c>
      <c r="AC596" s="3"/>
      <c r="AD596" s="3"/>
      <c r="AE596" s="3"/>
      <c r="AF596" s="3">
        <v>-65.751111</v>
      </c>
      <c r="AG596" s="3">
        <v>-9.650833</v>
      </c>
      <c r="AH596" s="3" t="s">
        <v>7398</v>
      </c>
      <c r="AI596" s="3"/>
      <c r="AJ596" s="3" t="s">
        <v>120</v>
      </c>
      <c r="AK596" s="3"/>
      <c r="AL596" s="3" t="s">
        <v>128</v>
      </c>
      <c r="AM596" s="3" t="s">
        <v>65</v>
      </c>
      <c r="AN596" s="3" t="s">
        <v>129</v>
      </c>
      <c r="AO596" s="4">
        <v>44279.0</v>
      </c>
      <c r="AP596" s="4">
        <v>44279.435150463</v>
      </c>
      <c r="AQ596" s="3" t="s">
        <v>132</v>
      </c>
      <c r="AR596" s="3" t="s">
        <v>7399</v>
      </c>
      <c r="AS596" s="3" t="s">
        <v>7400</v>
      </c>
      <c r="AT596" s="4">
        <v>44281.0337152778</v>
      </c>
    </row>
    <row r="597" ht="15.75" customHeight="1">
      <c r="A597" s="3">
        <v>2044647.0</v>
      </c>
      <c r="B597" s="3" t="s">
        <v>116</v>
      </c>
      <c r="C597" s="3" t="s">
        <v>117</v>
      </c>
      <c r="D597" s="3" t="s">
        <v>46</v>
      </c>
      <c r="E597" s="3" t="s">
        <v>7401</v>
      </c>
      <c r="F597" s="3"/>
      <c r="G597" s="3" t="s">
        <v>119</v>
      </c>
      <c r="H597" s="3" t="s">
        <v>50</v>
      </c>
      <c r="I597" s="3">
        <v>40000.0</v>
      </c>
      <c r="J597" s="3"/>
      <c r="K597" s="3"/>
      <c r="L597" s="3" t="s">
        <v>120</v>
      </c>
      <c r="M597" s="3" t="s">
        <v>7402</v>
      </c>
      <c r="N597" s="3" t="s">
        <v>186</v>
      </c>
      <c r="O597" s="3" t="s">
        <v>95</v>
      </c>
      <c r="P597" s="4">
        <v>44258.7916666667</v>
      </c>
      <c r="Q597" s="3" t="s">
        <v>77</v>
      </c>
      <c r="R597" s="5">
        <v>44258.0</v>
      </c>
      <c r="S597" s="3" t="s">
        <v>123</v>
      </c>
      <c r="T597" s="3">
        <v>1100205.0</v>
      </c>
      <c r="U597" s="3" t="s">
        <v>242</v>
      </c>
      <c r="V597" s="3" t="s">
        <v>125</v>
      </c>
      <c r="W597" s="3" t="s">
        <v>100</v>
      </c>
      <c r="X597" s="3"/>
      <c r="Y597" s="3" t="str">
        <f>"02001005992202110"</f>
        <v>02001005992202110</v>
      </c>
      <c r="Z597" s="3" t="s">
        <v>101</v>
      </c>
      <c r="AA597" s="3" t="s">
        <v>7403</v>
      </c>
      <c r="AB597" s="3" t="str">
        <f>"***338482**"</f>
        <v>***338482**</v>
      </c>
      <c r="AC597" s="3"/>
      <c r="AD597" s="3"/>
      <c r="AE597" s="3"/>
      <c r="AF597" s="3">
        <v>-65.751111</v>
      </c>
      <c r="AG597" s="3">
        <v>-9.650833</v>
      </c>
      <c r="AH597" s="3" t="s">
        <v>7404</v>
      </c>
      <c r="AI597" s="3"/>
      <c r="AJ597" s="3" t="s">
        <v>120</v>
      </c>
      <c r="AK597" s="3"/>
      <c r="AL597" s="3" t="s">
        <v>128</v>
      </c>
      <c r="AM597" s="3" t="s">
        <v>65</v>
      </c>
      <c r="AN597" s="3" t="s">
        <v>129</v>
      </c>
      <c r="AO597" s="4">
        <v>44279.0</v>
      </c>
      <c r="AP597" s="4">
        <v>44279.4336921296</v>
      </c>
      <c r="AQ597" s="3" t="s">
        <v>132</v>
      </c>
      <c r="AR597" s="3" t="s">
        <v>2447</v>
      </c>
      <c r="AS597" s="3"/>
      <c r="AT597" s="4">
        <v>44281.0337152778</v>
      </c>
    </row>
    <row r="598" ht="15.75" customHeight="1">
      <c r="A598" s="3"/>
      <c r="B598" s="3" t="s">
        <v>46</v>
      </c>
      <c r="C598" s="3" t="s">
        <v>47</v>
      </c>
      <c r="D598" s="3"/>
      <c r="E598" s="3" t="s">
        <v>7405</v>
      </c>
      <c r="F598" s="3"/>
      <c r="G598" s="3" t="s">
        <v>49</v>
      </c>
      <c r="H598" s="3" t="s">
        <v>72</v>
      </c>
      <c r="I598" s="3">
        <v>27000.0</v>
      </c>
      <c r="J598" s="3"/>
      <c r="K598" s="3"/>
      <c r="L598" s="3"/>
      <c r="M598" s="3" t="s">
        <v>7406</v>
      </c>
      <c r="N598" s="3" t="s">
        <v>109</v>
      </c>
      <c r="O598" s="3" t="s">
        <v>110</v>
      </c>
      <c r="P598" s="4">
        <v>44258.75125</v>
      </c>
      <c r="Q598" s="3" t="s">
        <v>77</v>
      </c>
      <c r="R598" s="3"/>
      <c r="S598" s="3" t="s">
        <v>97</v>
      </c>
      <c r="T598" s="3">
        <v>1302702.0</v>
      </c>
      <c r="U598" s="3" t="s">
        <v>4704</v>
      </c>
      <c r="V598" s="3" t="s">
        <v>99</v>
      </c>
      <c r="W598" s="3" t="s">
        <v>100</v>
      </c>
      <c r="X598" s="3"/>
      <c r="Y598" s="3"/>
      <c r="Z598" s="3" t="s">
        <v>112</v>
      </c>
      <c r="AA598" s="3" t="s">
        <v>4705</v>
      </c>
      <c r="AB598" s="3" t="str">
        <f>"***400935**"</f>
        <v>***400935**</v>
      </c>
      <c r="AC598" s="3"/>
      <c r="AD598" s="3" t="s">
        <v>325</v>
      </c>
      <c r="AE598" s="3"/>
      <c r="AF598" s="3">
        <v>-61.790556</v>
      </c>
      <c r="AG598" s="3">
        <v>-5.118333</v>
      </c>
      <c r="AH598" s="3" t="s">
        <v>7407</v>
      </c>
      <c r="AI598" s="3"/>
      <c r="AJ598" s="3" t="s">
        <v>104</v>
      </c>
      <c r="AK598" s="3"/>
      <c r="AL598" s="3"/>
      <c r="AM598" s="3" t="s">
        <v>65</v>
      </c>
      <c r="AN598" s="3" t="s">
        <v>3688</v>
      </c>
      <c r="AO598" s="3"/>
      <c r="AP598" s="4">
        <v>44259.7084606482</v>
      </c>
      <c r="AQ598" s="3"/>
      <c r="AR598" s="3" t="s">
        <v>7408</v>
      </c>
      <c r="AS598" s="3"/>
      <c r="AT598" s="4">
        <v>44281.0337152778</v>
      </c>
    </row>
    <row r="599" ht="15.75" customHeight="1">
      <c r="A599" s="3">
        <v>2044119.0</v>
      </c>
      <c r="B599" s="3" t="s">
        <v>116</v>
      </c>
      <c r="C599" s="3" t="s">
        <v>117</v>
      </c>
      <c r="D599" s="3" t="s">
        <v>46</v>
      </c>
      <c r="E599" s="3" t="s">
        <v>7409</v>
      </c>
      <c r="F599" s="3"/>
      <c r="G599" s="3" t="s">
        <v>119</v>
      </c>
      <c r="H599" s="3" t="s">
        <v>50</v>
      </c>
      <c r="I599" s="3">
        <v>2000.0</v>
      </c>
      <c r="J599" s="3"/>
      <c r="K599" s="3"/>
      <c r="L599" s="3" t="s">
        <v>295</v>
      </c>
      <c r="M599" s="3" t="s">
        <v>350</v>
      </c>
      <c r="N599" s="3" t="s">
        <v>186</v>
      </c>
      <c r="O599" s="3" t="s">
        <v>95</v>
      </c>
      <c r="P599" s="4">
        <v>44258.7083333333</v>
      </c>
      <c r="Q599" s="3" t="s">
        <v>56</v>
      </c>
      <c r="R599" s="5">
        <v>44258.0</v>
      </c>
      <c r="S599" s="3" t="s">
        <v>288</v>
      </c>
      <c r="T599" s="3">
        <v>2211001.0</v>
      </c>
      <c r="U599" s="3" t="s">
        <v>527</v>
      </c>
      <c r="V599" s="3" t="s">
        <v>290</v>
      </c>
      <c r="W599" s="3" t="s">
        <v>172</v>
      </c>
      <c r="X599" s="3"/>
      <c r="Y599" s="3" t="str">
        <f>"02020000387202124"</f>
        <v>02020000387202124</v>
      </c>
      <c r="Z599" s="3" t="s">
        <v>101</v>
      </c>
      <c r="AA599" s="3" t="s">
        <v>7410</v>
      </c>
      <c r="AB599" s="3" t="str">
        <f>"09114150000109"</f>
        <v>09114150000109</v>
      </c>
      <c r="AC599" s="3"/>
      <c r="AD599" s="3"/>
      <c r="AE599" s="3"/>
      <c r="AF599" s="3">
        <v>-42.783889</v>
      </c>
      <c r="AG599" s="3">
        <v>-5.065</v>
      </c>
      <c r="AH599" s="3" t="s">
        <v>6782</v>
      </c>
      <c r="AI599" s="3"/>
      <c r="AJ599" s="3" t="s">
        <v>295</v>
      </c>
      <c r="AK599" s="3"/>
      <c r="AL599" s="3" t="s">
        <v>128</v>
      </c>
      <c r="AM599" s="3" t="s">
        <v>65</v>
      </c>
      <c r="AN599" s="3" t="s">
        <v>296</v>
      </c>
      <c r="AO599" s="4">
        <v>44263.0</v>
      </c>
      <c r="AP599" s="4">
        <v>44263.6261226852</v>
      </c>
      <c r="AQ599" s="3" t="s">
        <v>132</v>
      </c>
      <c r="AR599" s="3" t="s">
        <v>531</v>
      </c>
      <c r="AS599" s="3"/>
      <c r="AT599" s="4">
        <v>44281.0337152778</v>
      </c>
    </row>
    <row r="600" ht="15.75" customHeight="1">
      <c r="A600" s="3">
        <v>2044330.0</v>
      </c>
      <c r="B600" s="3" t="s">
        <v>116</v>
      </c>
      <c r="C600" s="3" t="s">
        <v>117</v>
      </c>
      <c r="D600" s="3" t="s">
        <v>46</v>
      </c>
      <c r="E600" s="3" t="s">
        <v>7411</v>
      </c>
      <c r="F600" s="3"/>
      <c r="G600" s="3" t="s">
        <v>119</v>
      </c>
      <c r="H600" s="3" t="s">
        <v>72</v>
      </c>
      <c r="I600" s="3">
        <v>396000.0</v>
      </c>
      <c r="J600" s="3"/>
      <c r="K600" s="3"/>
      <c r="L600" s="3" t="s">
        <v>273</v>
      </c>
      <c r="M600" s="3" t="s">
        <v>7412</v>
      </c>
      <c r="N600" s="3" t="s">
        <v>109</v>
      </c>
      <c r="O600" s="3" t="s">
        <v>110</v>
      </c>
      <c r="P600" s="4">
        <v>44258.7083333333</v>
      </c>
      <c r="Q600" s="3" t="s">
        <v>56</v>
      </c>
      <c r="R600" s="5">
        <v>44276.0</v>
      </c>
      <c r="S600" s="3" t="s">
        <v>268</v>
      </c>
      <c r="T600" s="3">
        <v>4109401.0</v>
      </c>
      <c r="U600" s="3" t="s">
        <v>7144</v>
      </c>
      <c r="V600" s="3" t="s">
        <v>270</v>
      </c>
      <c r="W600" s="3" t="s">
        <v>78</v>
      </c>
      <c r="X600" s="3"/>
      <c r="Y600" s="3" t="str">
        <f>"02017000549202183"</f>
        <v>02017000549202183</v>
      </c>
      <c r="Z600" s="3" t="s">
        <v>112</v>
      </c>
      <c r="AA600" s="3" t="s">
        <v>7145</v>
      </c>
      <c r="AB600" s="3" t="str">
        <f>"***906340**"</f>
        <v>***906340**</v>
      </c>
      <c r="AC600" s="3"/>
      <c r="AD600" s="3"/>
      <c r="AE600" s="3"/>
      <c r="AF600" s="3">
        <v>-51.276389</v>
      </c>
      <c r="AG600" s="3">
        <v>-25.309444</v>
      </c>
      <c r="AH600" s="3" t="s">
        <v>7413</v>
      </c>
      <c r="AI600" s="3"/>
      <c r="AJ600" s="3" t="s">
        <v>273</v>
      </c>
      <c r="AK600" s="3"/>
      <c r="AL600" s="3" t="s">
        <v>128</v>
      </c>
      <c r="AM600" s="3" t="s">
        <v>65</v>
      </c>
      <c r="AN600" s="3" t="s">
        <v>347</v>
      </c>
      <c r="AO600" s="4">
        <v>44268.0</v>
      </c>
      <c r="AP600" s="4">
        <v>44268.7385300926</v>
      </c>
      <c r="AQ600" s="3" t="s">
        <v>132</v>
      </c>
      <c r="AR600" s="3" t="s">
        <v>7414</v>
      </c>
      <c r="AS600" s="3"/>
      <c r="AT600" s="4">
        <v>44281.0337152778</v>
      </c>
    </row>
    <row r="601" ht="15.75" customHeight="1">
      <c r="A601" s="3"/>
      <c r="B601" s="3" t="s">
        <v>46</v>
      </c>
      <c r="C601" s="3" t="s">
        <v>571</v>
      </c>
      <c r="D601" s="3" t="s">
        <v>116</v>
      </c>
      <c r="E601" s="3" t="s">
        <v>7415</v>
      </c>
      <c r="F601" s="3"/>
      <c r="G601" s="3" t="s">
        <v>49</v>
      </c>
      <c r="H601" s="3" t="s">
        <v>50</v>
      </c>
      <c r="I601" s="3">
        <v>52500.0</v>
      </c>
      <c r="J601" s="3"/>
      <c r="K601" s="3" t="s">
        <v>51</v>
      </c>
      <c r="L601" s="3"/>
      <c r="M601" s="3" t="s">
        <v>7416</v>
      </c>
      <c r="N601" s="3" t="s">
        <v>94</v>
      </c>
      <c r="O601" s="3" t="s">
        <v>95</v>
      </c>
      <c r="P601" s="4">
        <v>44258.6675347222</v>
      </c>
      <c r="Q601" s="3" t="s">
        <v>77</v>
      </c>
      <c r="R601" s="3"/>
      <c r="S601" s="3" t="s">
        <v>148</v>
      </c>
      <c r="T601" s="3">
        <v>1100098.0</v>
      </c>
      <c r="U601" s="3" t="s">
        <v>335</v>
      </c>
      <c r="V601" s="3" t="s">
        <v>125</v>
      </c>
      <c r="W601" s="3" t="s">
        <v>100</v>
      </c>
      <c r="X601" s="3"/>
      <c r="Y601" s="3"/>
      <c r="Z601" s="3" t="s">
        <v>101</v>
      </c>
      <c r="AA601" s="3" t="s">
        <v>7037</v>
      </c>
      <c r="AB601" s="3" t="str">
        <f>"17543445000110"</f>
        <v>17543445000110</v>
      </c>
      <c r="AC601" s="3"/>
      <c r="AD601" s="3" t="s">
        <v>81</v>
      </c>
      <c r="AE601" s="3"/>
      <c r="AF601" s="3">
        <v>-61.018056</v>
      </c>
      <c r="AG601" s="3">
        <v>-11.5275</v>
      </c>
      <c r="AH601" s="3" t="s">
        <v>7417</v>
      </c>
      <c r="AI601" s="3"/>
      <c r="AJ601" s="3" t="s">
        <v>1227</v>
      </c>
      <c r="AK601" s="3"/>
      <c r="AL601" s="3"/>
      <c r="AM601" s="3" t="s">
        <v>65</v>
      </c>
      <c r="AN601" s="3" t="s">
        <v>274</v>
      </c>
      <c r="AO601" s="3"/>
      <c r="AP601" s="4">
        <v>44263.4263773148</v>
      </c>
      <c r="AQ601" s="3"/>
      <c r="AR601" s="3" t="s">
        <v>106</v>
      </c>
      <c r="AS601" s="3" t="s">
        <v>7418</v>
      </c>
      <c r="AT601" s="4">
        <v>44281.0337152778</v>
      </c>
    </row>
    <row r="602" ht="15.75" customHeight="1">
      <c r="A602" s="3">
        <v>2044003.0</v>
      </c>
      <c r="B602" s="3" t="s">
        <v>116</v>
      </c>
      <c r="C602" s="3" t="s">
        <v>117</v>
      </c>
      <c r="D602" s="3" t="s">
        <v>46</v>
      </c>
      <c r="E602" s="3" t="s">
        <v>7419</v>
      </c>
      <c r="F602" s="3"/>
      <c r="G602" s="3" t="s">
        <v>119</v>
      </c>
      <c r="H602" s="3" t="s">
        <v>50</v>
      </c>
      <c r="I602" s="3">
        <v>1000.0</v>
      </c>
      <c r="J602" s="3"/>
      <c r="K602" s="3"/>
      <c r="L602" s="3" t="s">
        <v>485</v>
      </c>
      <c r="M602" s="3" t="s">
        <v>7420</v>
      </c>
      <c r="N602" s="3" t="s">
        <v>285</v>
      </c>
      <c r="O602" s="3" t="s">
        <v>286</v>
      </c>
      <c r="P602" s="4">
        <v>44258.6666666667</v>
      </c>
      <c r="Q602" s="3" t="s">
        <v>56</v>
      </c>
      <c r="R602" s="3"/>
      <c r="S602" s="3" t="s">
        <v>488</v>
      </c>
      <c r="T602" s="3">
        <v>1705557.0</v>
      </c>
      <c r="U602" s="3" t="s">
        <v>2740</v>
      </c>
      <c r="V602" s="3" t="s">
        <v>490</v>
      </c>
      <c r="W602" s="3" t="s">
        <v>100</v>
      </c>
      <c r="X602" s="3"/>
      <c r="Y602" s="3" t="str">
        <f>"02029000242202143"</f>
        <v>02029000242202143</v>
      </c>
      <c r="Z602" s="3" t="s">
        <v>292</v>
      </c>
      <c r="AA602" s="3" t="s">
        <v>7381</v>
      </c>
      <c r="AB602" s="3" t="str">
        <f>"01855140000457"</f>
        <v>01855140000457</v>
      </c>
      <c r="AC602" s="3"/>
      <c r="AD602" s="3"/>
      <c r="AE602" s="3"/>
      <c r="AF602" s="3">
        <v>-46.547222</v>
      </c>
      <c r="AG602" s="3">
        <v>-12.813889</v>
      </c>
      <c r="AH602" s="3" t="s">
        <v>7421</v>
      </c>
      <c r="AI602" s="3"/>
      <c r="AJ602" s="3" t="s">
        <v>485</v>
      </c>
      <c r="AK602" s="3"/>
      <c r="AL602" s="3" t="s">
        <v>128</v>
      </c>
      <c r="AM602" s="3" t="s">
        <v>65</v>
      </c>
      <c r="AN602" s="3" t="s">
        <v>296</v>
      </c>
      <c r="AO602" s="4">
        <v>44259.0</v>
      </c>
      <c r="AP602" s="4">
        <v>44259.3565509259</v>
      </c>
      <c r="AQ602" s="3" t="s">
        <v>132</v>
      </c>
      <c r="AR602" s="3" t="s">
        <v>693</v>
      </c>
      <c r="AS602" s="3"/>
      <c r="AT602" s="4">
        <v>44281.0337152778</v>
      </c>
    </row>
    <row r="603" ht="15.75" customHeight="1">
      <c r="A603" s="3">
        <v>2044329.0</v>
      </c>
      <c r="B603" s="3" t="s">
        <v>116</v>
      </c>
      <c r="C603" s="3" t="s">
        <v>117</v>
      </c>
      <c r="D603" s="3" t="s">
        <v>46</v>
      </c>
      <c r="E603" s="3" t="s">
        <v>7422</v>
      </c>
      <c r="F603" s="3"/>
      <c r="G603" s="3" t="s">
        <v>119</v>
      </c>
      <c r="H603" s="3" t="s">
        <v>50</v>
      </c>
      <c r="I603" s="3">
        <v>220000.0</v>
      </c>
      <c r="J603" s="3"/>
      <c r="K603" s="3"/>
      <c r="L603" s="3" t="s">
        <v>273</v>
      </c>
      <c r="M603" s="3" t="s">
        <v>7423</v>
      </c>
      <c r="N603" s="3" t="s">
        <v>186</v>
      </c>
      <c r="O603" s="3" t="s">
        <v>95</v>
      </c>
      <c r="P603" s="4">
        <v>44258.6666666667</v>
      </c>
      <c r="Q603" s="3" t="s">
        <v>56</v>
      </c>
      <c r="R603" s="5">
        <v>44275.0</v>
      </c>
      <c r="S603" s="3" t="s">
        <v>268</v>
      </c>
      <c r="T603" s="3">
        <v>4109401.0</v>
      </c>
      <c r="U603" s="3" t="s">
        <v>7144</v>
      </c>
      <c r="V603" s="3" t="s">
        <v>270</v>
      </c>
      <c r="W603" s="3" t="s">
        <v>78</v>
      </c>
      <c r="X603" s="3"/>
      <c r="Y603" s="3" t="str">
        <f>"02017000548202139"</f>
        <v>02017000548202139</v>
      </c>
      <c r="Z603" s="3" t="s">
        <v>101</v>
      </c>
      <c r="AA603" s="3" t="s">
        <v>7145</v>
      </c>
      <c r="AB603" s="3" t="str">
        <f>"***906340**"</f>
        <v>***906340**</v>
      </c>
      <c r="AC603" s="3"/>
      <c r="AD603" s="3"/>
      <c r="AE603" s="3"/>
      <c r="AF603" s="3">
        <v>-51.275</v>
      </c>
      <c r="AG603" s="3">
        <v>-25.311111</v>
      </c>
      <c r="AH603" s="3" t="s">
        <v>7424</v>
      </c>
      <c r="AI603" s="3"/>
      <c r="AJ603" s="3" t="s">
        <v>273</v>
      </c>
      <c r="AK603" s="3"/>
      <c r="AL603" s="3" t="s">
        <v>128</v>
      </c>
      <c r="AM603" s="3" t="s">
        <v>65</v>
      </c>
      <c r="AN603" s="3" t="s">
        <v>347</v>
      </c>
      <c r="AO603" s="4">
        <v>44268.0</v>
      </c>
      <c r="AP603" s="4">
        <v>44268.7378125</v>
      </c>
      <c r="AQ603" s="3" t="s">
        <v>132</v>
      </c>
      <c r="AR603" s="3" t="s">
        <v>494</v>
      </c>
      <c r="AS603" s="3"/>
      <c r="AT603" s="4">
        <v>44281.0337152778</v>
      </c>
    </row>
    <row r="604" ht="15.75" customHeight="1">
      <c r="A604" s="3">
        <v>2044342.0</v>
      </c>
      <c r="B604" s="3" t="s">
        <v>116</v>
      </c>
      <c r="C604" s="3" t="s">
        <v>117</v>
      </c>
      <c r="D604" s="3" t="s">
        <v>46</v>
      </c>
      <c r="E604" s="3" t="s">
        <v>7425</v>
      </c>
      <c r="F604" s="3"/>
      <c r="G604" s="3" t="s">
        <v>119</v>
      </c>
      <c r="H604" s="3" t="s">
        <v>50</v>
      </c>
      <c r="I604" s="3">
        <v>52500.0</v>
      </c>
      <c r="J604" s="3"/>
      <c r="K604" s="3"/>
      <c r="L604" s="3" t="s">
        <v>1227</v>
      </c>
      <c r="M604" s="3" t="s">
        <v>7426</v>
      </c>
      <c r="N604" s="3" t="s">
        <v>53</v>
      </c>
      <c r="O604" s="3" t="s">
        <v>187</v>
      </c>
      <c r="P604" s="4">
        <v>44258.6666666667</v>
      </c>
      <c r="Q604" s="3" t="s">
        <v>77</v>
      </c>
      <c r="R604" s="5">
        <v>44258.0</v>
      </c>
      <c r="S604" s="3" t="s">
        <v>123</v>
      </c>
      <c r="T604" s="3">
        <v>1100098.0</v>
      </c>
      <c r="U604" s="3" t="s">
        <v>2306</v>
      </c>
      <c r="V604" s="3" t="s">
        <v>125</v>
      </c>
      <c r="W604" s="3" t="s">
        <v>100</v>
      </c>
      <c r="X604" s="3"/>
      <c r="Y604" s="3" t="str">
        <f>"02049000081202150"</f>
        <v>02049000081202150</v>
      </c>
      <c r="Z604" s="3" t="s">
        <v>223</v>
      </c>
      <c r="AA604" s="3" t="s">
        <v>7427</v>
      </c>
      <c r="AB604" s="3" t="str">
        <f>"11766646000109"</f>
        <v>11766646000109</v>
      </c>
      <c r="AC604" s="3"/>
      <c r="AD604" s="3"/>
      <c r="AE604" s="3"/>
      <c r="AF604" s="3">
        <v>-61.021944</v>
      </c>
      <c r="AG604" s="3">
        <v>-11.519444</v>
      </c>
      <c r="AH604" s="3" t="s">
        <v>7428</v>
      </c>
      <c r="AI604" s="3"/>
      <c r="AJ604" s="3" t="s">
        <v>1227</v>
      </c>
      <c r="AK604" s="3"/>
      <c r="AL604" s="3" t="s">
        <v>128</v>
      </c>
      <c r="AM604" s="3" t="s">
        <v>65</v>
      </c>
      <c r="AN604" s="3" t="s">
        <v>274</v>
      </c>
      <c r="AO604" s="4">
        <v>44270.0</v>
      </c>
      <c r="AP604" s="4">
        <v>44270.3575925926</v>
      </c>
      <c r="AQ604" s="3" t="s">
        <v>132</v>
      </c>
      <c r="AR604" s="3" t="s">
        <v>247</v>
      </c>
      <c r="AS604" s="3" t="s">
        <v>6805</v>
      </c>
      <c r="AT604" s="4">
        <v>44281.0337152778</v>
      </c>
    </row>
    <row r="605" ht="15.75" customHeight="1">
      <c r="A605" s="3"/>
      <c r="B605" s="3" t="s">
        <v>46</v>
      </c>
      <c r="C605" s="3" t="s">
        <v>47</v>
      </c>
      <c r="D605" s="3"/>
      <c r="E605" s="3" t="s">
        <v>7429</v>
      </c>
      <c r="F605" s="3"/>
      <c r="G605" s="3" t="s">
        <v>49</v>
      </c>
      <c r="H605" s="3" t="s">
        <v>50</v>
      </c>
      <c r="I605" s="3">
        <v>8000.0</v>
      </c>
      <c r="J605" s="3"/>
      <c r="K605" s="3" t="s">
        <v>92</v>
      </c>
      <c r="L605" s="3"/>
      <c r="M605" s="3" t="s">
        <v>7430</v>
      </c>
      <c r="N605" s="3" t="s">
        <v>381</v>
      </c>
      <c r="O605" s="3" t="s">
        <v>382</v>
      </c>
      <c r="P605" s="4">
        <v>44258.6552662037</v>
      </c>
      <c r="Q605" s="3" t="s">
        <v>56</v>
      </c>
      <c r="R605" s="3"/>
      <c r="S605" s="3" t="s">
        <v>288</v>
      </c>
      <c r="T605" s="3">
        <v>2209302.0</v>
      </c>
      <c r="U605" s="3" t="s">
        <v>7431</v>
      </c>
      <c r="V605" s="3" t="s">
        <v>290</v>
      </c>
      <c r="W605" s="3" t="s">
        <v>172</v>
      </c>
      <c r="X605" s="3"/>
      <c r="Y605" s="3"/>
      <c r="Z605" s="3" t="s">
        <v>384</v>
      </c>
      <c r="AA605" s="3" t="s">
        <v>7432</v>
      </c>
      <c r="AB605" s="3" t="str">
        <f>"01785947000118"</f>
        <v>01785947000118</v>
      </c>
      <c r="AC605" s="3"/>
      <c r="AD605" s="3" t="s">
        <v>62</v>
      </c>
      <c r="AE605" s="3"/>
      <c r="AF605" s="3">
        <v>-42.751389</v>
      </c>
      <c r="AG605" s="3">
        <v>-5.094444</v>
      </c>
      <c r="AH605" s="3" t="s">
        <v>7433</v>
      </c>
      <c r="AI605" s="3"/>
      <c r="AJ605" s="3" t="s">
        <v>295</v>
      </c>
      <c r="AK605" s="3"/>
      <c r="AL605" s="3"/>
      <c r="AM605" s="3" t="s">
        <v>65</v>
      </c>
      <c r="AN605" s="3" t="s">
        <v>296</v>
      </c>
      <c r="AO605" s="3"/>
      <c r="AP605" s="4">
        <v>44258.6739467593</v>
      </c>
      <c r="AQ605" s="3"/>
      <c r="AR605" s="3" t="s">
        <v>298</v>
      </c>
      <c r="AS605" s="3"/>
      <c r="AT605" s="4">
        <v>44281.0337152778</v>
      </c>
    </row>
    <row r="606" ht="15.75" customHeight="1">
      <c r="A606" s="3"/>
      <c r="B606" s="3" t="s">
        <v>46</v>
      </c>
      <c r="C606" s="3" t="s">
        <v>47</v>
      </c>
      <c r="D606" s="3"/>
      <c r="E606" s="3" t="s">
        <v>7434</v>
      </c>
      <c r="F606" s="3"/>
      <c r="G606" s="3" t="s">
        <v>49</v>
      </c>
      <c r="H606" s="3" t="s">
        <v>72</v>
      </c>
      <c r="I606" s="3">
        <v>2000.0</v>
      </c>
      <c r="J606" s="3"/>
      <c r="K606" s="3"/>
      <c r="L606" s="3"/>
      <c r="M606" s="3" t="s">
        <v>7435</v>
      </c>
      <c r="N606" s="3" t="s">
        <v>109</v>
      </c>
      <c r="O606" s="3" t="s">
        <v>110</v>
      </c>
      <c r="P606" s="4">
        <v>44258.6530902778</v>
      </c>
      <c r="Q606" s="3" t="s">
        <v>77</v>
      </c>
      <c r="R606" s="3"/>
      <c r="S606" s="3" t="s">
        <v>220</v>
      </c>
      <c r="T606" s="3">
        <v>2303105.0</v>
      </c>
      <c r="U606" s="3" t="s">
        <v>7436</v>
      </c>
      <c r="V606" s="3" t="s">
        <v>439</v>
      </c>
      <c r="W606" s="3" t="s">
        <v>291</v>
      </c>
      <c r="X606" s="3"/>
      <c r="Y606" s="3"/>
      <c r="Z606" s="3" t="s">
        <v>112</v>
      </c>
      <c r="AA606" s="3" t="s">
        <v>7437</v>
      </c>
      <c r="AB606" s="3" t="str">
        <f>"***439813**"</f>
        <v>***439813**</v>
      </c>
      <c r="AC606" s="3"/>
      <c r="AD606" s="3" t="s">
        <v>7160</v>
      </c>
      <c r="AE606" s="3"/>
      <c r="AF606" s="3">
        <v>-40.4075</v>
      </c>
      <c r="AG606" s="3">
        <v>-3.905833</v>
      </c>
      <c r="AH606" s="3" t="s">
        <v>7438</v>
      </c>
      <c r="AI606" s="3"/>
      <c r="AJ606" s="3" t="s">
        <v>442</v>
      </c>
      <c r="AK606" s="3"/>
      <c r="AL606" s="3"/>
      <c r="AM606" s="3" t="s">
        <v>65</v>
      </c>
      <c r="AN606" s="3" t="s">
        <v>7439</v>
      </c>
      <c r="AO606" s="3"/>
      <c r="AP606" s="4">
        <v>44258.6566435185</v>
      </c>
      <c r="AQ606" s="3"/>
      <c r="AR606" s="3" t="s">
        <v>7440</v>
      </c>
      <c r="AS606" s="3"/>
      <c r="AT606" s="4">
        <v>44281.0337152778</v>
      </c>
    </row>
    <row r="607" ht="15.75" customHeight="1">
      <c r="A607" s="3"/>
      <c r="B607" s="3" t="s">
        <v>46</v>
      </c>
      <c r="C607" s="3" t="s">
        <v>47</v>
      </c>
      <c r="D607" s="3"/>
      <c r="E607" s="3" t="s">
        <v>7441</v>
      </c>
      <c r="F607" s="3"/>
      <c r="G607" s="3" t="s">
        <v>49</v>
      </c>
      <c r="H607" s="3" t="s">
        <v>72</v>
      </c>
      <c r="I607" s="3">
        <v>2000.0</v>
      </c>
      <c r="J607" s="3"/>
      <c r="K607" s="3"/>
      <c r="L607" s="3"/>
      <c r="M607" s="3" t="s">
        <v>7442</v>
      </c>
      <c r="N607" s="3" t="s">
        <v>109</v>
      </c>
      <c r="O607" s="3" t="s">
        <v>110</v>
      </c>
      <c r="P607" s="4">
        <v>44258.6457407407</v>
      </c>
      <c r="Q607" s="3" t="s">
        <v>77</v>
      </c>
      <c r="R607" s="3"/>
      <c r="S607" s="3" t="s">
        <v>220</v>
      </c>
      <c r="T607" s="3">
        <v>2303105.0</v>
      </c>
      <c r="U607" s="3" t="s">
        <v>7436</v>
      </c>
      <c r="V607" s="3" t="s">
        <v>439</v>
      </c>
      <c r="W607" s="3" t="s">
        <v>291</v>
      </c>
      <c r="X607" s="3"/>
      <c r="Y607" s="3"/>
      <c r="Z607" s="3" t="s">
        <v>112</v>
      </c>
      <c r="AA607" s="3" t="s">
        <v>7443</v>
      </c>
      <c r="AB607" s="3" t="str">
        <f>"***158753**"</f>
        <v>***158753**</v>
      </c>
      <c r="AC607" s="3"/>
      <c r="AD607" s="3" t="s">
        <v>7160</v>
      </c>
      <c r="AE607" s="3"/>
      <c r="AF607" s="3">
        <v>-40.406944</v>
      </c>
      <c r="AG607" s="3">
        <v>-3.904167</v>
      </c>
      <c r="AH607" s="3" t="s">
        <v>7444</v>
      </c>
      <c r="AI607" s="3"/>
      <c r="AJ607" s="3" t="s">
        <v>442</v>
      </c>
      <c r="AK607" s="3"/>
      <c r="AL607" s="3"/>
      <c r="AM607" s="3" t="s">
        <v>65</v>
      </c>
      <c r="AN607" s="3" t="s">
        <v>7439</v>
      </c>
      <c r="AO607" s="3"/>
      <c r="AP607" s="4">
        <v>44258.6502662037</v>
      </c>
      <c r="AQ607" s="3"/>
      <c r="AR607" s="3" t="s">
        <v>7440</v>
      </c>
      <c r="AS607" s="3"/>
      <c r="AT607" s="4">
        <v>44281.0337152778</v>
      </c>
    </row>
    <row r="608" ht="15.75" customHeight="1">
      <c r="A608" s="3"/>
      <c r="B608" s="3" t="s">
        <v>46</v>
      </c>
      <c r="C608" s="3" t="s">
        <v>47</v>
      </c>
      <c r="D608" s="3"/>
      <c r="E608" s="3" t="s">
        <v>7445</v>
      </c>
      <c r="F608" s="3"/>
      <c r="G608" s="3" t="s">
        <v>49</v>
      </c>
      <c r="H608" s="3" t="s">
        <v>72</v>
      </c>
      <c r="I608" s="3">
        <v>36000.0</v>
      </c>
      <c r="J608" s="3"/>
      <c r="K608" s="3"/>
      <c r="L608" s="3"/>
      <c r="M608" s="3" t="s">
        <v>7446</v>
      </c>
      <c r="N608" s="3" t="s">
        <v>257</v>
      </c>
      <c r="O608" s="3" t="s">
        <v>258</v>
      </c>
      <c r="P608" s="4">
        <v>44258.6344212963</v>
      </c>
      <c r="Q608" s="3" t="s">
        <v>77</v>
      </c>
      <c r="R608" s="3"/>
      <c r="S608" s="3" t="s">
        <v>220</v>
      </c>
      <c r="T608" s="3">
        <v>1506005.0</v>
      </c>
      <c r="U608" s="3" t="s">
        <v>7447</v>
      </c>
      <c r="V608" s="3" t="s">
        <v>917</v>
      </c>
      <c r="W608" s="3" t="s">
        <v>100</v>
      </c>
      <c r="X608" s="3"/>
      <c r="Y608" s="3"/>
      <c r="Z608" s="3" t="s">
        <v>260</v>
      </c>
      <c r="AA608" s="3" t="s">
        <v>7448</v>
      </c>
      <c r="AB608" s="3" t="str">
        <f>"***145432**"</f>
        <v>***145432**</v>
      </c>
      <c r="AC608" s="3"/>
      <c r="AD608" s="3" t="s">
        <v>62</v>
      </c>
      <c r="AE608" s="3"/>
      <c r="AF608" s="3">
        <v>-47.933056</v>
      </c>
      <c r="AG608" s="3">
        <v>-15.83</v>
      </c>
      <c r="AH608" s="3" t="s">
        <v>7449</v>
      </c>
      <c r="AI608" s="3"/>
      <c r="AJ608" s="3" t="s">
        <v>4674</v>
      </c>
      <c r="AK608" s="3"/>
      <c r="AL608" s="3"/>
      <c r="AM608" s="3" t="s">
        <v>65</v>
      </c>
      <c r="AN608" s="3" t="s">
        <v>7450</v>
      </c>
      <c r="AO608" s="3"/>
      <c r="AP608" s="4">
        <v>44279.6801388889</v>
      </c>
      <c r="AQ608" s="3"/>
      <c r="AR608" s="3" t="s">
        <v>817</v>
      </c>
      <c r="AS608" s="3"/>
      <c r="AT608" s="4">
        <v>44281.0337152778</v>
      </c>
    </row>
    <row r="609" ht="15.75" customHeight="1">
      <c r="A609" s="3">
        <v>2044181.0</v>
      </c>
      <c r="B609" s="3" t="s">
        <v>116</v>
      </c>
      <c r="C609" s="3" t="s">
        <v>117</v>
      </c>
      <c r="D609" s="3" t="s">
        <v>46</v>
      </c>
      <c r="E609" s="3" t="s">
        <v>7451</v>
      </c>
      <c r="F609" s="3"/>
      <c r="G609" s="3" t="s">
        <v>119</v>
      </c>
      <c r="H609" s="3" t="s">
        <v>50</v>
      </c>
      <c r="I609" s="3">
        <v>10000.0</v>
      </c>
      <c r="J609" s="3"/>
      <c r="K609" s="3"/>
      <c r="L609" s="3" t="s">
        <v>510</v>
      </c>
      <c r="M609" s="3" t="s">
        <v>7452</v>
      </c>
      <c r="N609" s="3" t="s">
        <v>186</v>
      </c>
      <c r="O609" s="3" t="s">
        <v>302</v>
      </c>
      <c r="P609" s="4">
        <v>44258.625</v>
      </c>
      <c r="Q609" s="3" t="s">
        <v>137</v>
      </c>
      <c r="R609" s="3"/>
      <c r="S609" s="3" t="s">
        <v>220</v>
      </c>
      <c r="T609" s="3">
        <v>2607604.0</v>
      </c>
      <c r="U609" s="3" t="s">
        <v>7453</v>
      </c>
      <c r="V609" s="3" t="s">
        <v>507</v>
      </c>
      <c r="W609" s="3" t="s">
        <v>78</v>
      </c>
      <c r="X609" s="3"/>
      <c r="Y609" s="3" t="str">
        <f>"02019000294202139"</f>
        <v>02019000294202139</v>
      </c>
      <c r="Z609" s="3" t="s">
        <v>306</v>
      </c>
      <c r="AA609" s="3" t="s">
        <v>7454</v>
      </c>
      <c r="AB609" s="3" t="str">
        <f>"08937880000139"</f>
        <v>08937880000139</v>
      </c>
      <c r="AC609" s="3"/>
      <c r="AD609" s="3"/>
      <c r="AE609" s="3"/>
      <c r="AF609" s="3">
        <v>-34.833556</v>
      </c>
      <c r="AG609" s="3">
        <v>-7.77525</v>
      </c>
      <c r="AH609" s="3" t="s">
        <v>7455</v>
      </c>
      <c r="AI609" s="3"/>
      <c r="AJ609" s="3" t="s">
        <v>510</v>
      </c>
      <c r="AK609" s="3"/>
      <c r="AL609" s="3" t="s">
        <v>128</v>
      </c>
      <c r="AM609" s="3" t="s">
        <v>65</v>
      </c>
      <c r="AN609" s="3"/>
      <c r="AO609" s="4">
        <v>44264.0</v>
      </c>
      <c r="AP609" s="4">
        <v>44264.6710648148</v>
      </c>
      <c r="AQ609" s="3" t="s">
        <v>132</v>
      </c>
      <c r="AR609" s="3" t="s">
        <v>494</v>
      </c>
      <c r="AS609" s="3"/>
      <c r="AT609" s="4">
        <v>44281.0337152778</v>
      </c>
    </row>
    <row r="610" ht="15.75" customHeight="1">
      <c r="A610" s="3">
        <v>2044272.0</v>
      </c>
      <c r="B610" s="3" t="s">
        <v>116</v>
      </c>
      <c r="C610" s="3" t="s">
        <v>117</v>
      </c>
      <c r="D610" s="3" t="s">
        <v>46</v>
      </c>
      <c r="E610" s="3" t="s">
        <v>7456</v>
      </c>
      <c r="F610" s="3"/>
      <c r="G610" s="3" t="s">
        <v>119</v>
      </c>
      <c r="H610" s="3" t="s">
        <v>72</v>
      </c>
      <c r="I610" s="3">
        <v>48000.0</v>
      </c>
      <c r="J610" s="3"/>
      <c r="K610" s="3"/>
      <c r="L610" s="3" t="s">
        <v>587</v>
      </c>
      <c r="M610" s="3" t="s">
        <v>7457</v>
      </c>
      <c r="N610" s="3" t="s">
        <v>109</v>
      </c>
      <c r="O610" s="3" t="s">
        <v>110</v>
      </c>
      <c r="P610" s="4">
        <v>44258.625</v>
      </c>
      <c r="Q610" s="3" t="s">
        <v>77</v>
      </c>
      <c r="R610" s="5">
        <v>44258.0</v>
      </c>
      <c r="S610" s="3" t="s">
        <v>220</v>
      </c>
      <c r="T610" s="3">
        <v>1400282.0</v>
      </c>
      <c r="U610" s="3" t="s">
        <v>7458</v>
      </c>
      <c r="V610" s="3" t="s">
        <v>584</v>
      </c>
      <c r="W610" s="3" t="s">
        <v>100</v>
      </c>
      <c r="X610" s="3"/>
      <c r="Y610" s="3" t="str">
        <f>"02025000258202196"</f>
        <v>02025000258202196</v>
      </c>
      <c r="Z610" s="3" t="s">
        <v>112</v>
      </c>
      <c r="AA610" s="3" t="s">
        <v>7459</v>
      </c>
      <c r="AB610" s="3" t="str">
        <f>"***935429**"</f>
        <v>***935429**</v>
      </c>
      <c r="AC610" s="3"/>
      <c r="AD610" s="3"/>
      <c r="AE610" s="3"/>
      <c r="AF610" s="3">
        <v>-61.812778</v>
      </c>
      <c r="AG610" s="3">
        <v>2.289444</v>
      </c>
      <c r="AH610" s="3" t="s">
        <v>7460</v>
      </c>
      <c r="AI610" s="3"/>
      <c r="AJ610" s="3" t="s">
        <v>587</v>
      </c>
      <c r="AK610" s="3"/>
      <c r="AL610" s="3" t="s">
        <v>128</v>
      </c>
      <c r="AM610" s="3" t="s">
        <v>65</v>
      </c>
      <c r="AN610" s="3" t="s">
        <v>7461</v>
      </c>
      <c r="AO610" s="4">
        <v>44266.0</v>
      </c>
      <c r="AP610" s="4">
        <v>44266.7533796296</v>
      </c>
      <c r="AQ610" s="3" t="s">
        <v>132</v>
      </c>
      <c r="AR610" s="3" t="s">
        <v>1207</v>
      </c>
      <c r="AS610" s="3"/>
      <c r="AT610" s="4">
        <v>44281.0337152778</v>
      </c>
    </row>
    <row r="611" ht="15.75" customHeight="1">
      <c r="A611" s="3"/>
      <c r="B611" s="3" t="s">
        <v>46</v>
      </c>
      <c r="C611" s="3" t="s">
        <v>47</v>
      </c>
      <c r="D611" s="3"/>
      <c r="E611" s="3" t="s">
        <v>7462</v>
      </c>
      <c r="F611" s="3"/>
      <c r="G611" s="3" t="s">
        <v>49</v>
      </c>
      <c r="H611" s="3" t="s">
        <v>50</v>
      </c>
      <c r="I611" s="3">
        <v>1000.0</v>
      </c>
      <c r="J611" s="3"/>
      <c r="K611" s="3" t="s">
        <v>51</v>
      </c>
      <c r="L611" s="3"/>
      <c r="M611" s="3" t="s">
        <v>7463</v>
      </c>
      <c r="N611" s="3" t="s">
        <v>381</v>
      </c>
      <c r="O611" s="3" t="s">
        <v>382</v>
      </c>
      <c r="P611" s="4">
        <v>44258.6215509259</v>
      </c>
      <c r="Q611" s="3" t="s">
        <v>56</v>
      </c>
      <c r="R611" s="3"/>
      <c r="S611" s="3" t="s">
        <v>288</v>
      </c>
      <c r="T611" s="3">
        <v>2211001.0</v>
      </c>
      <c r="U611" s="3" t="s">
        <v>527</v>
      </c>
      <c r="V611" s="3" t="s">
        <v>290</v>
      </c>
      <c r="W611" s="3" t="s">
        <v>172</v>
      </c>
      <c r="X611" s="3"/>
      <c r="Y611" s="3"/>
      <c r="Z611" s="3" t="s">
        <v>384</v>
      </c>
      <c r="AA611" s="3" t="s">
        <v>7464</v>
      </c>
      <c r="AB611" s="3" t="str">
        <f>"18554593000101"</f>
        <v>18554593000101</v>
      </c>
      <c r="AC611" s="3"/>
      <c r="AD611" s="3" t="s">
        <v>62</v>
      </c>
      <c r="AE611" s="3"/>
      <c r="AF611" s="3">
        <v>-42.751944</v>
      </c>
      <c r="AG611" s="3">
        <v>-5.095278</v>
      </c>
      <c r="AH611" s="3" t="s">
        <v>7465</v>
      </c>
      <c r="AI611" s="3"/>
      <c r="AJ611" s="3" t="s">
        <v>295</v>
      </c>
      <c r="AK611" s="3"/>
      <c r="AL611" s="3"/>
      <c r="AM611" s="3" t="s">
        <v>65</v>
      </c>
      <c r="AN611" s="3" t="s">
        <v>296</v>
      </c>
      <c r="AO611" s="3"/>
      <c r="AP611" s="4">
        <v>44258.6371064815</v>
      </c>
      <c r="AQ611" s="3"/>
      <c r="AR611" s="3" t="s">
        <v>298</v>
      </c>
      <c r="AS611" s="3"/>
      <c r="AT611" s="4">
        <v>44281.0337152778</v>
      </c>
    </row>
    <row r="612" ht="15.75" customHeight="1">
      <c r="A612" s="3">
        <v>2044207.0</v>
      </c>
      <c r="B612" s="3" t="s">
        <v>116</v>
      </c>
      <c r="C612" s="3" t="s">
        <v>117</v>
      </c>
      <c r="D612" s="3" t="s">
        <v>46</v>
      </c>
      <c r="E612" s="3" t="s">
        <v>7466</v>
      </c>
      <c r="F612" s="3"/>
      <c r="G612" s="3" t="s">
        <v>119</v>
      </c>
      <c r="H612" s="3" t="s">
        <v>72</v>
      </c>
      <c r="I612" s="3">
        <v>100000.0</v>
      </c>
      <c r="J612" s="3"/>
      <c r="K612" s="3"/>
      <c r="L612" s="3" t="s">
        <v>120</v>
      </c>
      <c r="M612" s="3" t="s">
        <v>7467</v>
      </c>
      <c r="N612" s="3" t="s">
        <v>109</v>
      </c>
      <c r="O612" s="3" t="s">
        <v>110</v>
      </c>
      <c r="P612" s="4">
        <v>44258.5833333333</v>
      </c>
      <c r="Q612" s="3" t="s">
        <v>77</v>
      </c>
      <c r="R612" s="5">
        <v>44258.0</v>
      </c>
      <c r="S612" s="3" t="s">
        <v>915</v>
      </c>
      <c r="T612" s="3">
        <v>1505031.0</v>
      </c>
      <c r="U612" s="3" t="s">
        <v>5077</v>
      </c>
      <c r="V612" s="3" t="s">
        <v>917</v>
      </c>
      <c r="W612" s="3" t="s">
        <v>100</v>
      </c>
      <c r="X612" s="3"/>
      <c r="Y612" s="3" t="str">
        <f>"02001004879202117"</f>
        <v>02001004879202117</v>
      </c>
      <c r="Z612" s="3" t="s">
        <v>112</v>
      </c>
      <c r="AA612" s="3" t="s">
        <v>7468</v>
      </c>
      <c r="AB612" s="3" t="str">
        <f>"***859212**"</f>
        <v>***859212**</v>
      </c>
      <c r="AC612" s="3"/>
      <c r="AD612" s="3"/>
      <c r="AE612" s="3"/>
      <c r="AF612" s="3">
        <v>-55.117953</v>
      </c>
      <c r="AG612" s="3">
        <v>-7.627389</v>
      </c>
      <c r="AH612" s="3" t="s">
        <v>7469</v>
      </c>
      <c r="AI612" s="3"/>
      <c r="AJ612" s="3" t="s">
        <v>120</v>
      </c>
      <c r="AK612" s="3"/>
      <c r="AL612" s="3" t="s">
        <v>128</v>
      </c>
      <c r="AM612" s="3" t="s">
        <v>65</v>
      </c>
      <c r="AN612" s="3" t="s">
        <v>6870</v>
      </c>
      <c r="AO612" s="4">
        <v>44265.0</v>
      </c>
      <c r="AP612" s="4">
        <v>44265.4243518519</v>
      </c>
      <c r="AQ612" s="3" t="s">
        <v>132</v>
      </c>
      <c r="AR612" s="3" t="s">
        <v>3557</v>
      </c>
      <c r="AS612" s="3" t="s">
        <v>7198</v>
      </c>
      <c r="AT612" s="4">
        <v>44281.0337152778</v>
      </c>
    </row>
    <row r="613" ht="15.75" customHeight="1">
      <c r="A613" s="3">
        <v>2044239.0</v>
      </c>
      <c r="B613" s="3" t="s">
        <v>116</v>
      </c>
      <c r="C613" s="3" t="s">
        <v>117</v>
      </c>
      <c r="D613" s="3" t="s">
        <v>46</v>
      </c>
      <c r="E613" s="3" t="s">
        <v>7470</v>
      </c>
      <c r="F613" s="3"/>
      <c r="G613" s="3" t="s">
        <v>119</v>
      </c>
      <c r="H613" s="3" t="s">
        <v>50</v>
      </c>
      <c r="I613" s="3">
        <v>1000.0</v>
      </c>
      <c r="J613" s="3"/>
      <c r="K613" s="3"/>
      <c r="L613" s="3" t="s">
        <v>295</v>
      </c>
      <c r="M613" s="3" t="s">
        <v>7471</v>
      </c>
      <c r="N613" s="3" t="s">
        <v>53</v>
      </c>
      <c r="O613" s="3" t="s">
        <v>382</v>
      </c>
      <c r="P613" s="4">
        <v>44258.5833333333</v>
      </c>
      <c r="Q613" s="3" t="s">
        <v>56</v>
      </c>
      <c r="R613" s="3"/>
      <c r="S613" s="3" t="s">
        <v>288</v>
      </c>
      <c r="T613" s="3">
        <v>2200202.0</v>
      </c>
      <c r="U613" s="3" t="s">
        <v>942</v>
      </c>
      <c r="V613" s="3" t="s">
        <v>290</v>
      </c>
      <c r="W613" s="3" t="s">
        <v>291</v>
      </c>
      <c r="X613" s="3"/>
      <c r="Y613" s="3" t="str">
        <f>"02020000409202156"</f>
        <v>02020000409202156</v>
      </c>
      <c r="Z613" s="3" t="s">
        <v>384</v>
      </c>
      <c r="AA613" s="3" t="s">
        <v>7472</v>
      </c>
      <c r="AB613" s="3" t="str">
        <f>"02577916000134"</f>
        <v>02577916000134</v>
      </c>
      <c r="AC613" s="3"/>
      <c r="AD613" s="3"/>
      <c r="AE613" s="3"/>
      <c r="AF613" s="3">
        <v>-42.763611</v>
      </c>
      <c r="AG613" s="3">
        <v>-5.06</v>
      </c>
      <c r="AH613" s="3" t="s">
        <v>7473</v>
      </c>
      <c r="AI613" s="3"/>
      <c r="AJ613" s="3" t="s">
        <v>295</v>
      </c>
      <c r="AK613" s="3"/>
      <c r="AL613" s="3" t="s">
        <v>128</v>
      </c>
      <c r="AM613" s="3" t="s">
        <v>65</v>
      </c>
      <c r="AN613" s="3" t="s">
        <v>296</v>
      </c>
      <c r="AO613" s="4">
        <v>44265.0</v>
      </c>
      <c r="AP613" s="4">
        <v>44265.727662037</v>
      </c>
      <c r="AQ613" s="3" t="s">
        <v>132</v>
      </c>
      <c r="AR613" s="3" t="s">
        <v>531</v>
      </c>
      <c r="AS613" s="3"/>
      <c r="AT613" s="4">
        <v>44281.0337152778</v>
      </c>
    </row>
    <row r="614" ht="15.75" customHeight="1">
      <c r="A614" s="3"/>
      <c r="B614" s="3" t="s">
        <v>46</v>
      </c>
      <c r="C614" s="3" t="s">
        <v>47</v>
      </c>
      <c r="D614" s="3"/>
      <c r="E614" s="3" t="s">
        <v>7474</v>
      </c>
      <c r="F614" s="3"/>
      <c r="G614" s="3" t="s">
        <v>49</v>
      </c>
      <c r="H614" s="3" t="s">
        <v>50</v>
      </c>
      <c r="I614" s="3">
        <v>211500.0</v>
      </c>
      <c r="J614" s="3"/>
      <c r="K614" s="3"/>
      <c r="L614" s="3"/>
      <c r="M614" s="3" t="s">
        <v>7475</v>
      </c>
      <c r="N614" s="3" t="s">
        <v>109</v>
      </c>
      <c r="O614" s="3" t="s">
        <v>110</v>
      </c>
      <c r="P614" s="4">
        <v>44258.5721643519</v>
      </c>
      <c r="Q614" s="3" t="s">
        <v>56</v>
      </c>
      <c r="R614" s="3"/>
      <c r="S614" s="3" t="s">
        <v>2859</v>
      </c>
      <c r="T614" s="3">
        <v>2408102.0</v>
      </c>
      <c r="U614" s="3" t="s">
        <v>1083</v>
      </c>
      <c r="V614" s="3" t="s">
        <v>1084</v>
      </c>
      <c r="W614" s="3" t="s">
        <v>100</v>
      </c>
      <c r="X614" s="3"/>
      <c r="Y614" s="3"/>
      <c r="Z614" s="3" t="s">
        <v>112</v>
      </c>
      <c r="AA614" s="3" t="s">
        <v>7476</v>
      </c>
      <c r="AB614" s="3" t="str">
        <f>"***672858**"</f>
        <v>***672858**</v>
      </c>
      <c r="AC614" s="3"/>
      <c r="AD614" s="3" t="s">
        <v>81</v>
      </c>
      <c r="AE614" s="3"/>
      <c r="AF614" s="3">
        <v>-35.825</v>
      </c>
      <c r="AG614" s="3">
        <v>-5.811667</v>
      </c>
      <c r="AH614" s="3" t="s">
        <v>7138</v>
      </c>
      <c r="AI614" s="3"/>
      <c r="AJ614" s="3" t="s">
        <v>2856</v>
      </c>
      <c r="AK614" s="3"/>
      <c r="AL614" s="3"/>
      <c r="AM614" s="3" t="s">
        <v>65</v>
      </c>
      <c r="AN614" s="3" t="s">
        <v>159</v>
      </c>
      <c r="AO614" s="3"/>
      <c r="AP614" s="4">
        <v>44258.5842824074</v>
      </c>
      <c r="AQ614" s="3"/>
      <c r="AR614" s="3" t="s">
        <v>106</v>
      </c>
      <c r="AS614" s="3"/>
      <c r="AT614" s="4">
        <v>44281.0337152778</v>
      </c>
    </row>
    <row r="615" ht="15.75" customHeight="1">
      <c r="A615" s="3">
        <v>2044369.0</v>
      </c>
      <c r="B615" s="3" t="s">
        <v>116</v>
      </c>
      <c r="C615" s="3" t="s">
        <v>117</v>
      </c>
      <c r="D615" s="3" t="s">
        <v>46</v>
      </c>
      <c r="E615" s="3" t="s">
        <v>7477</v>
      </c>
      <c r="F615" s="3"/>
      <c r="G615" s="3" t="s">
        <v>119</v>
      </c>
      <c r="H615" s="3" t="s">
        <v>72</v>
      </c>
      <c r="I615" s="3">
        <v>2720000.0</v>
      </c>
      <c r="J615" s="3"/>
      <c r="K615" s="3"/>
      <c r="L615" s="3" t="s">
        <v>327</v>
      </c>
      <c r="M615" s="3" t="s">
        <v>7478</v>
      </c>
      <c r="N615" s="3" t="s">
        <v>109</v>
      </c>
      <c r="O615" s="3" t="s">
        <v>110</v>
      </c>
      <c r="P615" s="4">
        <v>44258.5416666667</v>
      </c>
      <c r="Q615" s="3" t="s">
        <v>77</v>
      </c>
      <c r="R615" s="5">
        <v>44258.0</v>
      </c>
      <c r="S615" s="3" t="s">
        <v>241</v>
      </c>
      <c r="T615" s="3">
        <v>5103254.0</v>
      </c>
      <c r="U615" s="3" t="s">
        <v>322</v>
      </c>
      <c r="V615" s="3" t="s">
        <v>323</v>
      </c>
      <c r="W615" s="3" t="s">
        <v>100</v>
      </c>
      <c r="X615" s="3"/>
      <c r="Y615" s="3" t="str">
        <f>"02013000569202194"</f>
        <v>02013000569202194</v>
      </c>
      <c r="Z615" s="3" t="s">
        <v>112</v>
      </c>
      <c r="AA615" s="3" t="s">
        <v>7479</v>
      </c>
      <c r="AB615" s="3" t="str">
        <f>"***720611**"</f>
        <v>***720611**</v>
      </c>
      <c r="AC615" s="3"/>
      <c r="AD615" s="3"/>
      <c r="AE615" s="3"/>
      <c r="AF615" s="3">
        <v>-60.419056</v>
      </c>
      <c r="AG615" s="3">
        <v>-9.471028</v>
      </c>
      <c r="AH615" s="3" t="s">
        <v>7480</v>
      </c>
      <c r="AI615" s="3"/>
      <c r="AJ615" s="3" t="s">
        <v>327</v>
      </c>
      <c r="AK615" s="3"/>
      <c r="AL615" s="3" t="s">
        <v>128</v>
      </c>
      <c r="AM615" s="3" t="s">
        <v>65</v>
      </c>
      <c r="AN615" s="3"/>
      <c r="AO615" s="4">
        <v>44270.0</v>
      </c>
      <c r="AP615" s="4">
        <v>44270.7762037037</v>
      </c>
      <c r="AQ615" s="3" t="s">
        <v>132</v>
      </c>
      <c r="AR615" s="3" t="s">
        <v>2082</v>
      </c>
      <c r="AS615" s="3"/>
      <c r="AT615" s="4">
        <v>44281.0337152778</v>
      </c>
    </row>
    <row r="616" ht="15.75" customHeight="1">
      <c r="A616" s="3"/>
      <c r="B616" s="3" t="s">
        <v>46</v>
      </c>
      <c r="C616" s="3" t="s">
        <v>47</v>
      </c>
      <c r="D616" s="3"/>
      <c r="E616" s="3" t="s">
        <v>7481</v>
      </c>
      <c r="F616" s="3"/>
      <c r="G616" s="3" t="s">
        <v>49</v>
      </c>
      <c r="H616" s="3" t="s">
        <v>72</v>
      </c>
      <c r="I616" s="3">
        <v>3762.0</v>
      </c>
      <c r="J616" s="3"/>
      <c r="K616" s="3"/>
      <c r="L616" s="3"/>
      <c r="M616" s="3" t="s">
        <v>7482</v>
      </c>
      <c r="N616" s="3" t="s">
        <v>109</v>
      </c>
      <c r="O616" s="3" t="s">
        <v>110</v>
      </c>
      <c r="P616" s="4">
        <v>44258.5305324074</v>
      </c>
      <c r="Q616" s="3" t="s">
        <v>77</v>
      </c>
      <c r="R616" s="3"/>
      <c r="S616" s="3" t="s">
        <v>97</v>
      </c>
      <c r="T616" s="3">
        <v>1302405.0</v>
      </c>
      <c r="U616" s="3" t="s">
        <v>5187</v>
      </c>
      <c r="V616" s="3" t="s">
        <v>99</v>
      </c>
      <c r="W616" s="3" t="s">
        <v>100</v>
      </c>
      <c r="X616" s="3"/>
      <c r="Y616" s="3"/>
      <c r="Z616" s="3" t="s">
        <v>112</v>
      </c>
      <c r="AA616" s="3" t="s">
        <v>7483</v>
      </c>
      <c r="AB616" s="3" t="str">
        <f>"***652082**"</f>
        <v>***652082**</v>
      </c>
      <c r="AC616" s="3"/>
      <c r="AD616" s="3" t="s">
        <v>325</v>
      </c>
      <c r="AE616" s="3"/>
      <c r="AF616" s="3">
        <v>-66.123056</v>
      </c>
      <c r="AG616" s="3">
        <v>-9.176111</v>
      </c>
      <c r="AH616" s="3" t="s">
        <v>7484</v>
      </c>
      <c r="AI616" s="3"/>
      <c r="AJ616" s="3" t="s">
        <v>120</v>
      </c>
      <c r="AK616" s="3"/>
      <c r="AL616" s="3"/>
      <c r="AM616" s="3" t="s">
        <v>65</v>
      </c>
      <c r="AN616" s="3" t="s">
        <v>129</v>
      </c>
      <c r="AO616" s="3"/>
      <c r="AP616" s="4">
        <v>44279.5282175926</v>
      </c>
      <c r="AQ616" s="3"/>
      <c r="AR616" s="3" t="s">
        <v>455</v>
      </c>
      <c r="AS616" s="3"/>
      <c r="AT616" s="4">
        <v>44281.0337152778</v>
      </c>
    </row>
    <row r="617" ht="15.75" customHeight="1">
      <c r="A617" s="3"/>
      <c r="B617" s="3" t="s">
        <v>46</v>
      </c>
      <c r="C617" s="3" t="s">
        <v>47</v>
      </c>
      <c r="D617" s="3"/>
      <c r="E617" s="3" t="s">
        <v>7485</v>
      </c>
      <c r="F617" s="3"/>
      <c r="G617" s="3" t="s">
        <v>49</v>
      </c>
      <c r="H617" s="3" t="s">
        <v>72</v>
      </c>
      <c r="I617" s="3">
        <v>2100.0</v>
      </c>
      <c r="J617" s="3"/>
      <c r="K617" s="3"/>
      <c r="L617" s="3"/>
      <c r="M617" s="3" t="s">
        <v>7486</v>
      </c>
      <c r="N617" s="3" t="s">
        <v>109</v>
      </c>
      <c r="O617" s="3" t="s">
        <v>110</v>
      </c>
      <c r="P617" s="4">
        <v>44258.470775463</v>
      </c>
      <c r="Q617" s="3" t="s">
        <v>77</v>
      </c>
      <c r="R617" s="3"/>
      <c r="S617" s="3" t="s">
        <v>220</v>
      </c>
      <c r="T617" s="3">
        <v>1506005.0</v>
      </c>
      <c r="U617" s="3" t="s">
        <v>7447</v>
      </c>
      <c r="V617" s="3" t="s">
        <v>917</v>
      </c>
      <c r="W617" s="3" t="s">
        <v>100</v>
      </c>
      <c r="X617" s="3"/>
      <c r="Y617" s="3"/>
      <c r="Z617" s="3" t="s">
        <v>112</v>
      </c>
      <c r="AA617" s="3" t="s">
        <v>7487</v>
      </c>
      <c r="AB617" s="3" t="str">
        <f>"***282352**"</f>
        <v>***282352**</v>
      </c>
      <c r="AC617" s="3"/>
      <c r="AD617" s="3" t="s">
        <v>62</v>
      </c>
      <c r="AE617" s="3"/>
      <c r="AF617" s="3">
        <v>-47.933056</v>
      </c>
      <c r="AG617" s="3">
        <v>-15.83</v>
      </c>
      <c r="AH617" s="3" t="s">
        <v>7488</v>
      </c>
      <c r="AI617" s="3"/>
      <c r="AJ617" s="3" t="s">
        <v>4674</v>
      </c>
      <c r="AK617" s="3"/>
      <c r="AL617" s="3"/>
      <c r="AM617" s="3" t="s">
        <v>65</v>
      </c>
      <c r="AN617" s="3" t="s">
        <v>7450</v>
      </c>
      <c r="AO617" s="3"/>
      <c r="AP617" s="4">
        <v>44279.6784722222</v>
      </c>
      <c r="AQ617" s="3"/>
      <c r="AR617" s="3" t="s">
        <v>177</v>
      </c>
      <c r="AS617" s="3"/>
      <c r="AT617" s="4">
        <v>44281.0337152778</v>
      </c>
    </row>
    <row r="618" ht="15.75" customHeight="1">
      <c r="A618" s="3">
        <v>2043964.0</v>
      </c>
      <c r="B618" s="3" t="s">
        <v>116</v>
      </c>
      <c r="C618" s="3" t="s">
        <v>117</v>
      </c>
      <c r="D618" s="3" t="s">
        <v>46</v>
      </c>
      <c r="E618" s="3" t="s">
        <v>7489</v>
      </c>
      <c r="F618" s="3"/>
      <c r="G618" s="3" t="s">
        <v>119</v>
      </c>
      <c r="H618" s="3" t="s">
        <v>50</v>
      </c>
      <c r="I618" s="3">
        <v>4000.0</v>
      </c>
      <c r="J618" s="3"/>
      <c r="K618" s="3"/>
      <c r="L618" s="3" t="s">
        <v>371</v>
      </c>
      <c r="M618" s="3" t="s">
        <v>7490</v>
      </c>
      <c r="N618" s="3" t="s">
        <v>257</v>
      </c>
      <c r="O618" s="3" t="s">
        <v>258</v>
      </c>
      <c r="P618" s="4">
        <v>44258.4583333333</v>
      </c>
      <c r="Q618" s="3" t="s">
        <v>56</v>
      </c>
      <c r="R618" s="5">
        <v>44258.0</v>
      </c>
      <c r="S618" s="3" t="s">
        <v>220</v>
      </c>
      <c r="T618" s="3">
        <v>3549805.0</v>
      </c>
      <c r="U618" s="3" t="s">
        <v>368</v>
      </c>
      <c r="V618" s="3" t="s">
        <v>139</v>
      </c>
      <c r="W618" s="3" t="s">
        <v>78</v>
      </c>
      <c r="X618" s="3"/>
      <c r="Y618" s="3"/>
      <c r="Z618" s="3" t="s">
        <v>260</v>
      </c>
      <c r="AA618" s="3" t="s">
        <v>7491</v>
      </c>
      <c r="AB618" s="3" t="str">
        <f>"***031294**"</f>
        <v>***031294**</v>
      </c>
      <c r="AC618" s="3"/>
      <c r="AD618" s="3"/>
      <c r="AE618" s="3"/>
      <c r="AF618" s="3">
        <v>-49.429444</v>
      </c>
      <c r="AG618" s="3">
        <v>-20.816667</v>
      </c>
      <c r="AH618" s="3" t="s">
        <v>7492</v>
      </c>
      <c r="AI618" s="3"/>
      <c r="AJ618" s="3" t="s">
        <v>371</v>
      </c>
      <c r="AK618" s="3"/>
      <c r="AL618" s="3" t="s">
        <v>128</v>
      </c>
      <c r="AM618" s="3" t="s">
        <v>65</v>
      </c>
      <c r="AN618" s="3"/>
      <c r="AO618" s="4">
        <v>44258.0</v>
      </c>
      <c r="AP618" s="4">
        <v>44258.58625</v>
      </c>
      <c r="AQ618" s="3" t="s">
        <v>132</v>
      </c>
      <c r="AR618" s="3" t="s">
        <v>834</v>
      </c>
      <c r="AS618" s="3"/>
      <c r="AT618" s="4">
        <v>44281.0337152778</v>
      </c>
    </row>
    <row r="619" ht="15.75" customHeight="1">
      <c r="A619" s="3">
        <v>2044179.0</v>
      </c>
      <c r="B619" s="3" t="s">
        <v>116</v>
      </c>
      <c r="C619" s="3" t="s">
        <v>117</v>
      </c>
      <c r="D619" s="3" t="s">
        <v>46</v>
      </c>
      <c r="E619" s="3" t="s">
        <v>7493</v>
      </c>
      <c r="F619" s="3"/>
      <c r="G619" s="3" t="s">
        <v>119</v>
      </c>
      <c r="H619" s="3" t="s">
        <v>50</v>
      </c>
      <c r="I619" s="3">
        <v>500.0</v>
      </c>
      <c r="J619" s="3"/>
      <c r="K619" s="3"/>
      <c r="L619" s="3" t="s">
        <v>510</v>
      </c>
      <c r="M619" s="3" t="s">
        <v>7494</v>
      </c>
      <c r="N619" s="3" t="s">
        <v>186</v>
      </c>
      <c r="O619" s="3" t="s">
        <v>302</v>
      </c>
      <c r="P619" s="4">
        <v>44258.4583333333</v>
      </c>
      <c r="Q619" s="3" t="s">
        <v>77</v>
      </c>
      <c r="R619" s="5">
        <v>44258.0</v>
      </c>
      <c r="S619" s="3" t="s">
        <v>765</v>
      </c>
      <c r="T619" s="3">
        <v>2610707.0</v>
      </c>
      <c r="U619" s="3" t="s">
        <v>6155</v>
      </c>
      <c r="V619" s="3" t="s">
        <v>507</v>
      </c>
      <c r="W619" s="3" t="s">
        <v>78</v>
      </c>
      <c r="X619" s="3"/>
      <c r="Y619" s="3" t="str">
        <f>"02019000291202103"</f>
        <v>02019000291202103</v>
      </c>
      <c r="Z619" s="3" t="s">
        <v>306</v>
      </c>
      <c r="AA619" s="3" t="s">
        <v>7495</v>
      </c>
      <c r="AB619" s="3" t="str">
        <f>"38403568000126"</f>
        <v>38403568000126</v>
      </c>
      <c r="AC619" s="3"/>
      <c r="AD619" s="3"/>
      <c r="AE619" s="3"/>
      <c r="AF619" s="3">
        <v>-34.839722</v>
      </c>
      <c r="AG619" s="3">
        <v>-7.897222</v>
      </c>
      <c r="AH619" s="3" t="s">
        <v>7496</v>
      </c>
      <c r="AI619" s="3"/>
      <c r="AJ619" s="3" t="s">
        <v>510</v>
      </c>
      <c r="AK619" s="3"/>
      <c r="AL619" s="3" t="s">
        <v>128</v>
      </c>
      <c r="AM619" s="3" t="s">
        <v>65</v>
      </c>
      <c r="AN619" s="3"/>
      <c r="AO619" s="4">
        <v>44264.0</v>
      </c>
      <c r="AP619" s="4">
        <v>44264.6678240741</v>
      </c>
      <c r="AQ619" s="3" t="s">
        <v>132</v>
      </c>
      <c r="AR619" s="3" t="s">
        <v>1088</v>
      </c>
      <c r="AS619" s="3"/>
      <c r="AT619" s="4">
        <v>44281.0337152778</v>
      </c>
    </row>
    <row r="620" ht="15.75" customHeight="1">
      <c r="A620" s="3">
        <v>2044256.0</v>
      </c>
      <c r="B620" s="3" t="s">
        <v>116</v>
      </c>
      <c r="C620" s="3" t="s">
        <v>117</v>
      </c>
      <c r="D620" s="3" t="s">
        <v>46</v>
      </c>
      <c r="E620" s="3" t="s">
        <v>7497</v>
      </c>
      <c r="F620" s="3"/>
      <c r="G620" s="3" t="s">
        <v>119</v>
      </c>
      <c r="H620" s="3" t="s">
        <v>50</v>
      </c>
      <c r="I620" s="3">
        <v>128062.0</v>
      </c>
      <c r="J620" s="3"/>
      <c r="K620" s="3"/>
      <c r="L620" s="3" t="s">
        <v>1737</v>
      </c>
      <c r="M620" s="3" t="s">
        <v>7498</v>
      </c>
      <c r="N620" s="3" t="s">
        <v>186</v>
      </c>
      <c r="O620" s="3" t="s">
        <v>302</v>
      </c>
      <c r="P620" s="4">
        <v>44258.4583333333</v>
      </c>
      <c r="Q620" s="3" t="s">
        <v>56</v>
      </c>
      <c r="R620" s="5">
        <v>44263.0</v>
      </c>
      <c r="S620" s="3" t="s">
        <v>2022</v>
      </c>
      <c r="T620" s="3">
        <v>3304557.0</v>
      </c>
      <c r="U620" s="3" t="s">
        <v>1740</v>
      </c>
      <c r="V620" s="3" t="s">
        <v>1741</v>
      </c>
      <c r="W620" s="3" t="s">
        <v>60</v>
      </c>
      <c r="X620" s="3"/>
      <c r="Y620" s="3"/>
      <c r="Z620" s="3" t="s">
        <v>306</v>
      </c>
      <c r="AA620" s="3" t="s">
        <v>5591</v>
      </c>
      <c r="AB620" s="3" t="str">
        <f>"10456016000167"</f>
        <v>10456016000167</v>
      </c>
      <c r="AC620" s="3"/>
      <c r="AD620" s="3"/>
      <c r="AE620" s="3"/>
      <c r="AF620" s="3">
        <v>-40.428056</v>
      </c>
      <c r="AG620" s="3">
        <v>-22.648611</v>
      </c>
      <c r="AH620" s="3" t="s">
        <v>7499</v>
      </c>
      <c r="AI620" s="3"/>
      <c r="AJ620" s="3" t="s">
        <v>1737</v>
      </c>
      <c r="AK620" s="3"/>
      <c r="AL620" s="3" t="s">
        <v>128</v>
      </c>
      <c r="AM620" s="3" t="s">
        <v>65</v>
      </c>
      <c r="AN620" s="3" t="s">
        <v>1743</v>
      </c>
      <c r="AO620" s="4">
        <v>44266.0</v>
      </c>
      <c r="AP620" s="4">
        <v>44266.4918518519</v>
      </c>
      <c r="AQ620" s="3" t="s">
        <v>132</v>
      </c>
      <c r="AR620" s="3" t="s">
        <v>1745</v>
      </c>
      <c r="AS620" s="3" t="s">
        <v>2097</v>
      </c>
      <c r="AT620" s="4">
        <v>44281.0337152778</v>
      </c>
    </row>
    <row r="621" ht="15.75" customHeight="1">
      <c r="A621" s="3">
        <v>2044359.0</v>
      </c>
      <c r="B621" s="3" t="s">
        <v>116</v>
      </c>
      <c r="C621" s="3" t="s">
        <v>117</v>
      </c>
      <c r="D621" s="3" t="s">
        <v>46</v>
      </c>
      <c r="E621" s="3" t="s">
        <v>7500</v>
      </c>
      <c r="F621" s="3"/>
      <c r="G621" s="3" t="s">
        <v>119</v>
      </c>
      <c r="H621" s="3" t="s">
        <v>72</v>
      </c>
      <c r="I621" s="3">
        <v>35000.0</v>
      </c>
      <c r="J621" s="3"/>
      <c r="K621" s="3"/>
      <c r="L621" s="3" t="s">
        <v>681</v>
      </c>
      <c r="M621" s="3" t="s">
        <v>7501</v>
      </c>
      <c r="N621" s="3" t="s">
        <v>109</v>
      </c>
      <c r="O621" s="3" t="s">
        <v>110</v>
      </c>
      <c r="P621" s="4">
        <v>44258.4583333333</v>
      </c>
      <c r="Q621" s="3" t="s">
        <v>56</v>
      </c>
      <c r="R621" s="3"/>
      <c r="S621" s="3" t="s">
        <v>550</v>
      </c>
      <c r="T621" s="3">
        <v>2915601.0</v>
      </c>
      <c r="U621" s="3" t="s">
        <v>678</v>
      </c>
      <c r="V621" s="3" t="s">
        <v>552</v>
      </c>
      <c r="W621" s="3" t="s">
        <v>78</v>
      </c>
      <c r="X621" s="3"/>
      <c r="Y621" s="3" t="str">
        <f>"02059000020202173"</f>
        <v>02059000020202173</v>
      </c>
      <c r="Z621" s="3" t="s">
        <v>112</v>
      </c>
      <c r="AA621" s="3" t="s">
        <v>679</v>
      </c>
      <c r="AB621" s="3" t="str">
        <f>"***114715**"</f>
        <v>***114715**</v>
      </c>
      <c r="AC621" s="3"/>
      <c r="AD621" s="3"/>
      <c r="AE621" s="3"/>
      <c r="AF621" s="3">
        <v>-39.943056</v>
      </c>
      <c r="AG621" s="3">
        <v>-16.899167</v>
      </c>
      <c r="AH621" s="3" t="s">
        <v>7502</v>
      </c>
      <c r="AI621" s="3"/>
      <c r="AJ621" s="3" t="s">
        <v>681</v>
      </c>
      <c r="AK621" s="3"/>
      <c r="AL621" s="3" t="s">
        <v>128</v>
      </c>
      <c r="AM621" s="3" t="s">
        <v>65</v>
      </c>
      <c r="AN621" s="3" t="s">
        <v>682</v>
      </c>
      <c r="AO621" s="4">
        <v>44270.0</v>
      </c>
      <c r="AP621" s="4">
        <v>44270.6024421296</v>
      </c>
      <c r="AQ621" s="3" t="s">
        <v>132</v>
      </c>
      <c r="AR621" s="3" t="s">
        <v>2564</v>
      </c>
      <c r="AS621" s="3"/>
      <c r="AT621" s="4">
        <v>44281.0337152778</v>
      </c>
    </row>
    <row r="622" ht="15.75" customHeight="1">
      <c r="A622" s="3">
        <v>2044362.0</v>
      </c>
      <c r="B622" s="3" t="s">
        <v>116</v>
      </c>
      <c r="C622" s="3" t="s">
        <v>117</v>
      </c>
      <c r="D622" s="3" t="s">
        <v>46</v>
      </c>
      <c r="E622" s="3" t="s">
        <v>7503</v>
      </c>
      <c r="F622" s="3"/>
      <c r="G622" s="3" t="s">
        <v>119</v>
      </c>
      <c r="H622" s="3" t="s">
        <v>72</v>
      </c>
      <c r="I622" s="3">
        <v>20145.9</v>
      </c>
      <c r="J622" s="3"/>
      <c r="K622" s="3"/>
      <c r="L622" s="3" t="s">
        <v>327</v>
      </c>
      <c r="M622" s="3" t="s">
        <v>7504</v>
      </c>
      <c r="N622" s="3" t="s">
        <v>109</v>
      </c>
      <c r="O622" s="3" t="s">
        <v>110</v>
      </c>
      <c r="P622" s="4">
        <v>44258.4583333333</v>
      </c>
      <c r="Q622" s="3" t="s">
        <v>56</v>
      </c>
      <c r="R622" s="5">
        <v>44263.0</v>
      </c>
      <c r="S622" s="3" t="s">
        <v>220</v>
      </c>
      <c r="T622" s="3">
        <v>5107909.0</v>
      </c>
      <c r="U622" s="3" t="s">
        <v>4046</v>
      </c>
      <c r="V622" s="3" t="s">
        <v>323</v>
      </c>
      <c r="W622" s="3" t="s">
        <v>100</v>
      </c>
      <c r="X622" s="3"/>
      <c r="Y622" s="3" t="str">
        <f>"02013000564202161"</f>
        <v>02013000564202161</v>
      </c>
      <c r="Z622" s="3" t="s">
        <v>112</v>
      </c>
      <c r="AA622" s="3" t="s">
        <v>7505</v>
      </c>
      <c r="AB622" s="3" t="str">
        <f>"13942714000160"</f>
        <v>13942714000160</v>
      </c>
      <c r="AC622" s="3"/>
      <c r="AD622" s="3"/>
      <c r="AE622" s="3"/>
      <c r="AF622" s="3">
        <v>-55.520833</v>
      </c>
      <c r="AG622" s="3">
        <v>-11.892778</v>
      </c>
      <c r="AH622" s="3" t="s">
        <v>7506</v>
      </c>
      <c r="AI622" s="3"/>
      <c r="AJ622" s="3" t="s">
        <v>327</v>
      </c>
      <c r="AK622" s="3"/>
      <c r="AL622" s="3" t="s">
        <v>128</v>
      </c>
      <c r="AM622" s="3" t="s">
        <v>65</v>
      </c>
      <c r="AN622" s="3" t="s">
        <v>274</v>
      </c>
      <c r="AO622" s="4">
        <v>44270.0</v>
      </c>
      <c r="AP622" s="4">
        <v>44270.6087037037</v>
      </c>
      <c r="AQ622" s="3" t="s">
        <v>132</v>
      </c>
      <c r="AR622" s="3" t="s">
        <v>133</v>
      </c>
      <c r="AS622" s="3"/>
      <c r="AT622" s="4">
        <v>44281.0337152778</v>
      </c>
    </row>
    <row r="623" ht="15.75" customHeight="1">
      <c r="A623" s="3">
        <v>2044115.0</v>
      </c>
      <c r="B623" s="3" t="s">
        <v>116</v>
      </c>
      <c r="C623" s="3" t="s">
        <v>117</v>
      </c>
      <c r="D623" s="3" t="s">
        <v>46</v>
      </c>
      <c r="E623" s="3" t="s">
        <v>7507</v>
      </c>
      <c r="F623" s="3"/>
      <c r="G623" s="3" t="s">
        <v>119</v>
      </c>
      <c r="H623" s="3" t="s">
        <v>50</v>
      </c>
      <c r="I623" s="3">
        <v>1000.0</v>
      </c>
      <c r="J623" s="3"/>
      <c r="K623" s="3"/>
      <c r="L623" s="3" t="s">
        <v>295</v>
      </c>
      <c r="M623" s="3" t="s">
        <v>7508</v>
      </c>
      <c r="N623" s="3" t="s">
        <v>186</v>
      </c>
      <c r="O623" s="3" t="s">
        <v>95</v>
      </c>
      <c r="P623" s="4">
        <v>44258.4166666667</v>
      </c>
      <c r="Q623" s="3" t="s">
        <v>56</v>
      </c>
      <c r="R623" s="3"/>
      <c r="S623" s="3" t="s">
        <v>288</v>
      </c>
      <c r="T623" s="3">
        <v>2207702.0</v>
      </c>
      <c r="U623" s="3" t="s">
        <v>7070</v>
      </c>
      <c r="V623" s="3" t="s">
        <v>290</v>
      </c>
      <c r="W623" s="3" t="s">
        <v>291</v>
      </c>
      <c r="X623" s="3"/>
      <c r="Y623" s="3" t="str">
        <f>"02020000386202180"</f>
        <v>02020000386202180</v>
      </c>
      <c r="Z623" s="3" t="s">
        <v>101</v>
      </c>
      <c r="AA623" s="3" t="s">
        <v>7509</v>
      </c>
      <c r="AB623" s="3" t="str">
        <f>"08044783000460"</f>
        <v>08044783000460</v>
      </c>
      <c r="AC623" s="3"/>
      <c r="AD623" s="3"/>
      <c r="AE623" s="3"/>
      <c r="AF623" s="3">
        <v>-41.775556</v>
      </c>
      <c r="AG623" s="3">
        <v>-2.903333</v>
      </c>
      <c r="AH623" s="3" t="s">
        <v>7510</v>
      </c>
      <c r="AI623" s="3"/>
      <c r="AJ623" s="3" t="s">
        <v>295</v>
      </c>
      <c r="AK623" s="3"/>
      <c r="AL623" s="3" t="s">
        <v>128</v>
      </c>
      <c r="AM623" s="3" t="s">
        <v>65</v>
      </c>
      <c r="AN623" s="3" t="s">
        <v>296</v>
      </c>
      <c r="AO623" s="4">
        <v>44263.0</v>
      </c>
      <c r="AP623" s="4">
        <v>44263.6252199074</v>
      </c>
      <c r="AQ623" s="3" t="s">
        <v>132</v>
      </c>
      <c r="AR623" s="3" t="s">
        <v>531</v>
      </c>
      <c r="AS623" s="3"/>
      <c r="AT623" s="4">
        <v>44281.0337152778</v>
      </c>
    </row>
    <row r="624" ht="15.75" customHeight="1">
      <c r="A624" s="3">
        <v>2044117.0</v>
      </c>
      <c r="B624" s="3" t="s">
        <v>116</v>
      </c>
      <c r="C624" s="3" t="s">
        <v>117</v>
      </c>
      <c r="D624" s="3" t="s">
        <v>46</v>
      </c>
      <c r="E624" s="3" t="s">
        <v>7511</v>
      </c>
      <c r="F624" s="3"/>
      <c r="G624" s="3" t="s">
        <v>119</v>
      </c>
      <c r="H624" s="3" t="s">
        <v>50</v>
      </c>
      <c r="I624" s="3">
        <v>1100.0</v>
      </c>
      <c r="J624" s="3"/>
      <c r="K624" s="3"/>
      <c r="L624" s="3" t="s">
        <v>295</v>
      </c>
      <c r="M624" s="3" t="s">
        <v>7512</v>
      </c>
      <c r="N624" s="3" t="s">
        <v>285</v>
      </c>
      <c r="O624" s="3" t="s">
        <v>286</v>
      </c>
      <c r="P624" s="4">
        <v>44258.4166666667</v>
      </c>
      <c r="Q624" s="3" t="s">
        <v>56</v>
      </c>
      <c r="R624" s="5">
        <v>44258.0</v>
      </c>
      <c r="S624" s="3" t="s">
        <v>288</v>
      </c>
      <c r="T624" s="3">
        <v>2207603.0</v>
      </c>
      <c r="U624" s="3" t="s">
        <v>7513</v>
      </c>
      <c r="V624" s="3" t="s">
        <v>290</v>
      </c>
      <c r="W624" s="3" t="s">
        <v>291</v>
      </c>
      <c r="X624" s="3"/>
      <c r="Y624" s="3"/>
      <c r="Z624" s="3" t="s">
        <v>292</v>
      </c>
      <c r="AA624" s="3" t="s">
        <v>7514</v>
      </c>
      <c r="AB624" s="3" t="str">
        <f>"22396091000169"</f>
        <v>22396091000169</v>
      </c>
      <c r="AC624" s="3"/>
      <c r="AD624" s="3"/>
      <c r="AE624" s="3"/>
      <c r="AF624" s="3">
        <v>-42.824556</v>
      </c>
      <c r="AG624" s="3">
        <v>-5.069889</v>
      </c>
      <c r="AH624" s="3" t="s">
        <v>7515</v>
      </c>
      <c r="AI624" s="3"/>
      <c r="AJ624" s="3" t="s">
        <v>295</v>
      </c>
      <c r="AK624" s="3"/>
      <c r="AL624" s="3" t="s">
        <v>128</v>
      </c>
      <c r="AM624" s="3" t="s">
        <v>65</v>
      </c>
      <c r="AN624" s="3" t="s">
        <v>296</v>
      </c>
      <c r="AO624" s="4">
        <v>44263.0</v>
      </c>
      <c r="AP624" s="4">
        <v>44263.6255787037</v>
      </c>
      <c r="AQ624" s="3" t="s">
        <v>132</v>
      </c>
      <c r="AR624" s="3" t="s">
        <v>531</v>
      </c>
      <c r="AS624" s="3"/>
      <c r="AT624" s="4">
        <v>44281.0337152778</v>
      </c>
    </row>
    <row r="625" ht="15.75" customHeight="1">
      <c r="A625" s="3">
        <v>2044360.0</v>
      </c>
      <c r="B625" s="3" t="s">
        <v>116</v>
      </c>
      <c r="C625" s="3" t="s">
        <v>117</v>
      </c>
      <c r="D625" s="3" t="s">
        <v>46</v>
      </c>
      <c r="E625" s="3" t="s">
        <v>7516</v>
      </c>
      <c r="F625" s="3"/>
      <c r="G625" s="3" t="s">
        <v>119</v>
      </c>
      <c r="H625" s="3" t="s">
        <v>72</v>
      </c>
      <c r="I625" s="3">
        <v>20145.9</v>
      </c>
      <c r="J625" s="3"/>
      <c r="K625" s="3"/>
      <c r="L625" s="3" t="s">
        <v>327</v>
      </c>
      <c r="M625" s="3" t="s">
        <v>7517</v>
      </c>
      <c r="N625" s="3" t="s">
        <v>109</v>
      </c>
      <c r="O625" s="3" t="s">
        <v>110</v>
      </c>
      <c r="P625" s="4">
        <v>44258.4166666667</v>
      </c>
      <c r="Q625" s="3" t="s">
        <v>137</v>
      </c>
      <c r="R625" s="3"/>
      <c r="S625" s="3" t="s">
        <v>220</v>
      </c>
      <c r="T625" s="3">
        <v>5107909.0</v>
      </c>
      <c r="U625" s="3" t="s">
        <v>4046</v>
      </c>
      <c r="V625" s="3" t="s">
        <v>323</v>
      </c>
      <c r="W625" s="3" t="s">
        <v>100</v>
      </c>
      <c r="X625" s="3"/>
      <c r="Y625" s="3" t="str">
        <f>"02013000563202117"</f>
        <v>02013000563202117</v>
      </c>
      <c r="Z625" s="3" t="s">
        <v>112</v>
      </c>
      <c r="AA625" s="3" t="s">
        <v>7518</v>
      </c>
      <c r="AB625" s="3" t="str">
        <f>"24538844000159"</f>
        <v>24538844000159</v>
      </c>
      <c r="AC625" s="3"/>
      <c r="AD625" s="3"/>
      <c r="AE625" s="3"/>
      <c r="AF625" s="3">
        <v>-55.514722</v>
      </c>
      <c r="AG625" s="3">
        <v>-11.875833</v>
      </c>
      <c r="AH625" s="3" t="s">
        <v>7519</v>
      </c>
      <c r="AI625" s="3"/>
      <c r="AJ625" s="3" t="s">
        <v>327</v>
      </c>
      <c r="AK625" s="3"/>
      <c r="AL625" s="3" t="s">
        <v>128</v>
      </c>
      <c r="AM625" s="3" t="s">
        <v>65</v>
      </c>
      <c r="AN625" s="3" t="s">
        <v>274</v>
      </c>
      <c r="AO625" s="4">
        <v>44270.0</v>
      </c>
      <c r="AP625" s="4">
        <v>44270.604525463</v>
      </c>
      <c r="AQ625" s="3" t="s">
        <v>132</v>
      </c>
      <c r="AR625" s="3" t="s">
        <v>133</v>
      </c>
      <c r="AS625" s="3"/>
      <c r="AT625" s="4">
        <v>44281.0337152778</v>
      </c>
    </row>
    <row r="626" ht="15.75" customHeight="1">
      <c r="A626" s="3"/>
      <c r="B626" s="3" t="s">
        <v>46</v>
      </c>
      <c r="C626" s="3" t="s">
        <v>47</v>
      </c>
      <c r="D626" s="3"/>
      <c r="E626" s="3" t="s">
        <v>7520</v>
      </c>
      <c r="F626" s="3"/>
      <c r="G626" s="3" t="s">
        <v>49</v>
      </c>
      <c r="H626" s="3" t="s">
        <v>72</v>
      </c>
      <c r="I626" s="3">
        <v>13000.0</v>
      </c>
      <c r="J626" s="3"/>
      <c r="K626" s="3"/>
      <c r="L626" s="3"/>
      <c r="M626" s="3" t="s">
        <v>7521</v>
      </c>
      <c r="N626" s="3" t="s">
        <v>109</v>
      </c>
      <c r="O626" s="3" t="s">
        <v>110</v>
      </c>
      <c r="P626" s="4">
        <v>44258.4130671296</v>
      </c>
      <c r="Q626" s="3" t="s">
        <v>77</v>
      </c>
      <c r="R626" s="3"/>
      <c r="S626" s="3" t="s">
        <v>220</v>
      </c>
      <c r="T626" s="3">
        <v>2304509.0</v>
      </c>
      <c r="U626" s="3" t="s">
        <v>7522</v>
      </c>
      <c r="V626" s="3" t="s">
        <v>439</v>
      </c>
      <c r="W626" s="3" t="s">
        <v>291</v>
      </c>
      <c r="X626" s="3"/>
      <c r="Y626" s="3"/>
      <c r="Z626" s="3" t="s">
        <v>112</v>
      </c>
      <c r="AA626" s="3" t="s">
        <v>7523</v>
      </c>
      <c r="AB626" s="3" t="str">
        <f>"***157937**"</f>
        <v>***157937**</v>
      </c>
      <c r="AC626" s="3"/>
      <c r="AD626" s="3" t="s">
        <v>7160</v>
      </c>
      <c r="AE626" s="3"/>
      <c r="AF626" s="3">
        <v>-40.845</v>
      </c>
      <c r="AG626" s="3">
        <v>-3.770278</v>
      </c>
      <c r="AH626" s="3" t="s">
        <v>7524</v>
      </c>
      <c r="AI626" s="3"/>
      <c r="AJ626" s="3" t="s">
        <v>442</v>
      </c>
      <c r="AK626" s="3"/>
      <c r="AL626" s="3"/>
      <c r="AM626" s="3" t="s">
        <v>65</v>
      </c>
      <c r="AN626" s="3" t="s">
        <v>7439</v>
      </c>
      <c r="AO626" s="3"/>
      <c r="AP626" s="4">
        <v>44258.4195023148</v>
      </c>
      <c r="AQ626" s="3"/>
      <c r="AR626" s="3" t="s">
        <v>7440</v>
      </c>
      <c r="AS626" s="3"/>
      <c r="AT626" s="4">
        <v>44281.0337152778</v>
      </c>
    </row>
    <row r="627" ht="15.75" customHeight="1">
      <c r="A627" s="3"/>
      <c r="B627" s="3" t="s">
        <v>46</v>
      </c>
      <c r="C627" s="3" t="s">
        <v>47</v>
      </c>
      <c r="D627" s="3"/>
      <c r="E627" s="3" t="s">
        <v>7525</v>
      </c>
      <c r="F627" s="3"/>
      <c r="G627" s="3" t="s">
        <v>49</v>
      </c>
      <c r="H627" s="3" t="s">
        <v>50</v>
      </c>
      <c r="I627" s="3">
        <v>51000.0</v>
      </c>
      <c r="J627" s="3"/>
      <c r="K627" s="3" t="s">
        <v>51</v>
      </c>
      <c r="L627" s="3"/>
      <c r="M627" s="3" t="s">
        <v>7236</v>
      </c>
      <c r="N627" s="3" t="s">
        <v>53</v>
      </c>
      <c r="O627" s="3" t="s">
        <v>333</v>
      </c>
      <c r="P627" s="4">
        <v>44258.4112731482</v>
      </c>
      <c r="Q627" s="3" t="s">
        <v>56</v>
      </c>
      <c r="R627" s="3"/>
      <c r="S627" s="3" t="s">
        <v>123</v>
      </c>
      <c r="T627" s="3">
        <v>1100049.0</v>
      </c>
      <c r="U627" s="3" t="s">
        <v>202</v>
      </c>
      <c r="V627" s="3" t="s">
        <v>125</v>
      </c>
      <c r="W627" s="3" t="s">
        <v>100</v>
      </c>
      <c r="X627" s="3"/>
      <c r="Y627" s="3"/>
      <c r="Z627" s="3" t="s">
        <v>223</v>
      </c>
      <c r="AA627" s="3" t="s">
        <v>7526</v>
      </c>
      <c r="AB627" s="3" t="str">
        <f>"08749089000103"</f>
        <v>08749089000103</v>
      </c>
      <c r="AC627" s="3"/>
      <c r="AD627" s="3" t="s">
        <v>81</v>
      </c>
      <c r="AE627" s="3"/>
      <c r="AF627" s="3">
        <v>-61.447778</v>
      </c>
      <c r="AG627" s="3">
        <v>-11.431389</v>
      </c>
      <c r="AH627" s="3" t="s">
        <v>7527</v>
      </c>
      <c r="AI627" s="3"/>
      <c r="AJ627" s="3" t="s">
        <v>158</v>
      </c>
      <c r="AK627" s="3"/>
      <c r="AL627" s="3"/>
      <c r="AM627" s="3" t="s">
        <v>65</v>
      </c>
      <c r="AN627" s="3" t="s">
        <v>159</v>
      </c>
      <c r="AO627" s="3"/>
      <c r="AP627" s="4">
        <v>44258.4162037037</v>
      </c>
      <c r="AQ627" s="3"/>
      <c r="AR627" s="3" t="s">
        <v>339</v>
      </c>
      <c r="AS627" s="3" t="s">
        <v>7239</v>
      </c>
      <c r="AT627" s="4">
        <v>44281.0337152778</v>
      </c>
    </row>
    <row r="628" ht="15.75" customHeight="1">
      <c r="A628" s="3"/>
      <c r="B628" s="3" t="s">
        <v>46</v>
      </c>
      <c r="C628" s="3" t="s">
        <v>47</v>
      </c>
      <c r="D628" s="3"/>
      <c r="E628" s="3" t="s">
        <v>7528</v>
      </c>
      <c r="F628" s="3"/>
      <c r="G628" s="3" t="s">
        <v>49</v>
      </c>
      <c r="H628" s="3" t="s">
        <v>72</v>
      </c>
      <c r="I628" s="3">
        <v>2400.0</v>
      </c>
      <c r="J628" s="3"/>
      <c r="K628" s="3"/>
      <c r="L628" s="3"/>
      <c r="M628" s="3" t="s">
        <v>7529</v>
      </c>
      <c r="N628" s="3" t="s">
        <v>109</v>
      </c>
      <c r="O628" s="3" t="s">
        <v>110</v>
      </c>
      <c r="P628" s="4">
        <v>44258.4105902778</v>
      </c>
      <c r="Q628" s="3" t="s">
        <v>77</v>
      </c>
      <c r="R628" s="3"/>
      <c r="S628" s="3" t="s">
        <v>220</v>
      </c>
      <c r="T628" s="3">
        <v>1506005.0</v>
      </c>
      <c r="U628" s="3" t="s">
        <v>7447</v>
      </c>
      <c r="V628" s="3" t="s">
        <v>917</v>
      </c>
      <c r="W628" s="3" t="s">
        <v>100</v>
      </c>
      <c r="X628" s="3"/>
      <c r="Y628" s="3"/>
      <c r="Z628" s="3" t="s">
        <v>112</v>
      </c>
      <c r="AA628" s="3" t="s">
        <v>7530</v>
      </c>
      <c r="AB628" s="3" t="str">
        <f>"***697691**"</f>
        <v>***697691**</v>
      </c>
      <c r="AC628" s="3"/>
      <c r="AD628" s="3" t="s">
        <v>62</v>
      </c>
      <c r="AE628" s="3"/>
      <c r="AF628" s="3">
        <v>-47.933056</v>
      </c>
      <c r="AG628" s="3">
        <v>-15.83</v>
      </c>
      <c r="AH628" s="3" t="s">
        <v>7531</v>
      </c>
      <c r="AI628" s="3"/>
      <c r="AJ628" s="3" t="s">
        <v>4674</v>
      </c>
      <c r="AK628" s="3"/>
      <c r="AL628" s="3"/>
      <c r="AM628" s="3" t="s">
        <v>65</v>
      </c>
      <c r="AN628" s="3" t="s">
        <v>7450</v>
      </c>
      <c r="AO628" s="3"/>
      <c r="AP628" s="4">
        <v>44279.6814699074</v>
      </c>
      <c r="AQ628" s="3"/>
      <c r="AR628" s="3" t="s">
        <v>1143</v>
      </c>
      <c r="AS628" s="3"/>
      <c r="AT628" s="4">
        <v>44281.0337152778</v>
      </c>
    </row>
    <row r="629" ht="15.75" customHeight="1">
      <c r="A629" s="3"/>
      <c r="B629" s="3" t="s">
        <v>46</v>
      </c>
      <c r="C629" s="3" t="s">
        <v>47</v>
      </c>
      <c r="D629" s="3"/>
      <c r="E629" s="3" t="s">
        <v>7532</v>
      </c>
      <c r="F629" s="3"/>
      <c r="G629" s="3" t="s">
        <v>49</v>
      </c>
      <c r="H629" s="3" t="s">
        <v>72</v>
      </c>
      <c r="I629" s="3">
        <v>2400.0</v>
      </c>
      <c r="J629" s="3"/>
      <c r="K629" s="3"/>
      <c r="L629" s="3"/>
      <c r="M629" s="3" t="s">
        <v>7533</v>
      </c>
      <c r="N629" s="3" t="s">
        <v>109</v>
      </c>
      <c r="O629" s="3" t="s">
        <v>110</v>
      </c>
      <c r="P629" s="4">
        <v>44258.3747222222</v>
      </c>
      <c r="Q629" s="3" t="s">
        <v>77</v>
      </c>
      <c r="R629" s="3"/>
      <c r="S629" s="3" t="s">
        <v>220</v>
      </c>
      <c r="T629" s="3">
        <v>1506005.0</v>
      </c>
      <c r="U629" s="3" t="s">
        <v>7447</v>
      </c>
      <c r="V629" s="3" t="s">
        <v>917</v>
      </c>
      <c r="W629" s="3" t="s">
        <v>100</v>
      </c>
      <c r="X629" s="3"/>
      <c r="Y629" s="3"/>
      <c r="Z629" s="3" t="s">
        <v>112</v>
      </c>
      <c r="AA629" s="3" t="s">
        <v>7534</v>
      </c>
      <c r="AB629" s="3" t="str">
        <f>"***589972**"</f>
        <v>***589972**</v>
      </c>
      <c r="AC629" s="3"/>
      <c r="AD629" s="3" t="s">
        <v>62</v>
      </c>
      <c r="AE629" s="3"/>
      <c r="AF629" s="3">
        <v>-47.933056</v>
      </c>
      <c r="AG629" s="3">
        <v>-15.83</v>
      </c>
      <c r="AH629" s="3" t="s">
        <v>7535</v>
      </c>
      <c r="AI629" s="3"/>
      <c r="AJ629" s="3" t="s">
        <v>4674</v>
      </c>
      <c r="AK629" s="3"/>
      <c r="AL629" s="3"/>
      <c r="AM629" s="3" t="s">
        <v>65</v>
      </c>
      <c r="AN629" s="3" t="s">
        <v>7450</v>
      </c>
      <c r="AO629" s="3"/>
      <c r="AP629" s="4">
        <v>44279.6796064815</v>
      </c>
      <c r="AQ629" s="3"/>
      <c r="AR629" s="3" t="s">
        <v>177</v>
      </c>
      <c r="AS629" s="3"/>
      <c r="AT629" s="4">
        <v>44281.0337152778</v>
      </c>
    </row>
    <row r="630" ht="15.75" customHeight="1">
      <c r="A630" s="3">
        <v>2044488.0</v>
      </c>
      <c r="B630" s="3" t="s">
        <v>116</v>
      </c>
      <c r="C630" s="3" t="s">
        <v>117</v>
      </c>
      <c r="D630" s="3" t="s">
        <v>46</v>
      </c>
      <c r="E630" s="3" t="s">
        <v>7536</v>
      </c>
      <c r="F630" s="3"/>
      <c r="G630" s="3" t="s">
        <v>119</v>
      </c>
      <c r="H630" s="3" t="s">
        <v>72</v>
      </c>
      <c r="I630" s="3">
        <v>3600.0</v>
      </c>
      <c r="J630" s="3"/>
      <c r="K630" s="3"/>
      <c r="L630" s="3" t="s">
        <v>510</v>
      </c>
      <c r="M630" s="3" t="s">
        <v>7537</v>
      </c>
      <c r="N630" s="3" t="s">
        <v>109</v>
      </c>
      <c r="O630" s="3" t="s">
        <v>110</v>
      </c>
      <c r="P630" s="4">
        <v>44258.3333333333</v>
      </c>
      <c r="Q630" s="3" t="s">
        <v>77</v>
      </c>
      <c r="R630" s="5">
        <v>44258.0</v>
      </c>
      <c r="S630" s="3" t="s">
        <v>220</v>
      </c>
      <c r="T630" s="3">
        <v>2610707.0</v>
      </c>
      <c r="U630" s="3" t="s">
        <v>6155</v>
      </c>
      <c r="V630" s="3" t="s">
        <v>507</v>
      </c>
      <c r="W630" s="3" t="s">
        <v>78</v>
      </c>
      <c r="X630" s="3"/>
      <c r="Y630" s="3" t="str">
        <f>"02019000333202106"</f>
        <v>02019000333202106</v>
      </c>
      <c r="Z630" s="3" t="s">
        <v>112</v>
      </c>
      <c r="AA630" s="3" t="s">
        <v>7495</v>
      </c>
      <c r="AB630" s="3" t="str">
        <f>"38403568000126"</f>
        <v>38403568000126</v>
      </c>
      <c r="AC630" s="3"/>
      <c r="AD630" s="3"/>
      <c r="AE630" s="3"/>
      <c r="AF630" s="3">
        <v>-47.933056</v>
      </c>
      <c r="AG630" s="3">
        <v>-15.83</v>
      </c>
      <c r="AH630" s="3" t="s">
        <v>7538</v>
      </c>
      <c r="AI630" s="3"/>
      <c r="AJ630" s="3" t="s">
        <v>510</v>
      </c>
      <c r="AK630" s="3"/>
      <c r="AL630" s="3" t="s">
        <v>128</v>
      </c>
      <c r="AM630" s="3" t="s">
        <v>65</v>
      </c>
      <c r="AN630" s="3"/>
      <c r="AO630" s="4">
        <v>44272.0</v>
      </c>
      <c r="AP630" s="4">
        <v>44272.6449074074</v>
      </c>
      <c r="AQ630" s="3" t="s">
        <v>132</v>
      </c>
      <c r="AR630" s="3" t="s">
        <v>133</v>
      </c>
      <c r="AS630" s="3"/>
      <c r="AT630" s="4">
        <v>44281.0337152778</v>
      </c>
    </row>
    <row r="631" ht="15.75" customHeight="1">
      <c r="A631" s="3">
        <v>2044025.0</v>
      </c>
      <c r="B631" s="3" t="s">
        <v>116</v>
      </c>
      <c r="C631" s="3" t="s">
        <v>117</v>
      </c>
      <c r="D631" s="3" t="s">
        <v>46</v>
      </c>
      <c r="E631" s="3" t="s">
        <v>7539</v>
      </c>
      <c r="F631" s="3"/>
      <c r="G631" s="3" t="s">
        <v>119</v>
      </c>
      <c r="H631" s="3" t="s">
        <v>50</v>
      </c>
      <c r="I631" s="3">
        <v>2500.0</v>
      </c>
      <c r="J631" s="3"/>
      <c r="K631" s="3"/>
      <c r="L631" s="3" t="s">
        <v>1178</v>
      </c>
      <c r="M631" s="3" t="s">
        <v>7540</v>
      </c>
      <c r="N631" s="3" t="s">
        <v>53</v>
      </c>
      <c r="O631" s="3" t="s">
        <v>187</v>
      </c>
      <c r="P631" s="4">
        <v>44258.2916666667</v>
      </c>
      <c r="Q631" s="3" t="s">
        <v>56</v>
      </c>
      <c r="R631" s="5">
        <v>44258.0</v>
      </c>
      <c r="S631" s="3" t="s">
        <v>1173</v>
      </c>
      <c r="T631" s="3">
        <v>2507507.0</v>
      </c>
      <c r="U631" s="3" t="s">
        <v>1189</v>
      </c>
      <c r="V631" s="3" t="s">
        <v>1175</v>
      </c>
      <c r="W631" s="3" t="s">
        <v>60</v>
      </c>
      <c r="X631" s="3"/>
      <c r="Y631" s="3" t="str">
        <f>"02016000461202171"</f>
        <v>02016000461202171</v>
      </c>
      <c r="Z631" s="3" t="s">
        <v>223</v>
      </c>
      <c r="AA631" s="3" t="s">
        <v>7541</v>
      </c>
      <c r="AB631" s="3" t="str">
        <f>"05329135000119"</f>
        <v>05329135000119</v>
      </c>
      <c r="AC631" s="3"/>
      <c r="AD631" s="3"/>
      <c r="AE631" s="3"/>
      <c r="AF631" s="3">
        <v>-34.887778</v>
      </c>
      <c r="AG631" s="3">
        <v>-7.129917</v>
      </c>
      <c r="AH631" s="3" t="s">
        <v>7542</v>
      </c>
      <c r="AI631" s="3"/>
      <c r="AJ631" s="3" t="s">
        <v>1178</v>
      </c>
      <c r="AK631" s="3"/>
      <c r="AL631" s="3" t="s">
        <v>128</v>
      </c>
      <c r="AM631" s="3" t="s">
        <v>65</v>
      </c>
      <c r="AN631" s="3" t="s">
        <v>296</v>
      </c>
      <c r="AO631" s="4">
        <v>44259.0</v>
      </c>
      <c r="AP631" s="4">
        <v>44259.5303587963</v>
      </c>
      <c r="AQ631" s="3" t="s">
        <v>132</v>
      </c>
      <c r="AR631" s="3" t="s">
        <v>2761</v>
      </c>
      <c r="AS631" s="3"/>
      <c r="AT631" s="4">
        <v>44281.0337152778</v>
      </c>
    </row>
    <row r="632" ht="15.75" customHeight="1">
      <c r="A632" s="3">
        <v>2044165.0</v>
      </c>
      <c r="B632" s="3" t="s">
        <v>116</v>
      </c>
      <c r="C632" s="3" t="s">
        <v>117</v>
      </c>
      <c r="D632" s="3" t="s">
        <v>46</v>
      </c>
      <c r="E632" s="3" t="s">
        <v>7543</v>
      </c>
      <c r="F632" s="3"/>
      <c r="G632" s="3" t="s">
        <v>119</v>
      </c>
      <c r="H632" s="3" t="s">
        <v>50</v>
      </c>
      <c r="I632" s="3">
        <v>150000.0</v>
      </c>
      <c r="J632" s="3"/>
      <c r="K632" s="3"/>
      <c r="L632" s="3" t="s">
        <v>1737</v>
      </c>
      <c r="M632" s="3" t="s">
        <v>7544</v>
      </c>
      <c r="N632" s="3" t="s">
        <v>186</v>
      </c>
      <c r="O632" s="3" t="s">
        <v>302</v>
      </c>
      <c r="P632" s="4">
        <v>44258.2916666667</v>
      </c>
      <c r="Q632" s="3" t="s">
        <v>56</v>
      </c>
      <c r="R632" s="3"/>
      <c r="S632" s="3" t="s">
        <v>169</v>
      </c>
      <c r="T632" s="3">
        <v>5300108.0</v>
      </c>
      <c r="U632" s="3" t="s">
        <v>304</v>
      </c>
      <c r="V632" s="3" t="s">
        <v>305</v>
      </c>
      <c r="W632" s="3" t="s">
        <v>60</v>
      </c>
      <c r="X632" s="3"/>
      <c r="Y632" s="3"/>
      <c r="Z632" s="3" t="s">
        <v>306</v>
      </c>
      <c r="AA632" s="3" t="s">
        <v>61</v>
      </c>
      <c r="AB632" s="3" t="str">
        <f>"33000167000101"</f>
        <v>33000167000101</v>
      </c>
      <c r="AC632" s="3"/>
      <c r="AD632" s="3"/>
      <c r="AE632" s="3"/>
      <c r="AF632" s="3">
        <v>-48.023333</v>
      </c>
      <c r="AG632" s="3">
        <v>-15.879444</v>
      </c>
      <c r="AH632" s="3" t="s">
        <v>7545</v>
      </c>
      <c r="AI632" s="3"/>
      <c r="AJ632" s="3" t="s">
        <v>1737</v>
      </c>
      <c r="AK632" s="3"/>
      <c r="AL632" s="3" t="s">
        <v>128</v>
      </c>
      <c r="AM632" s="3" t="s">
        <v>65</v>
      </c>
      <c r="AN632" s="3" t="s">
        <v>1743</v>
      </c>
      <c r="AO632" s="4">
        <v>44264.0</v>
      </c>
      <c r="AP632" s="4">
        <v>44264.4940509259</v>
      </c>
      <c r="AQ632" s="3" t="s">
        <v>132</v>
      </c>
      <c r="AR632" s="3" t="s">
        <v>1745</v>
      </c>
      <c r="AS632" s="3" t="s">
        <v>7546</v>
      </c>
      <c r="AT632" s="4">
        <v>44281.0337152778</v>
      </c>
    </row>
    <row r="633" ht="15.75" customHeight="1">
      <c r="A633" s="3">
        <v>2043935.0</v>
      </c>
      <c r="B633" s="3" t="s">
        <v>116</v>
      </c>
      <c r="C633" s="3" t="s">
        <v>117</v>
      </c>
      <c r="D633" s="3" t="s">
        <v>46</v>
      </c>
      <c r="E633" s="3" t="s">
        <v>7547</v>
      </c>
      <c r="F633" s="3"/>
      <c r="G633" s="3" t="s">
        <v>119</v>
      </c>
      <c r="H633" s="3" t="s">
        <v>50</v>
      </c>
      <c r="I633" s="3">
        <v>1100.0</v>
      </c>
      <c r="J633" s="3"/>
      <c r="K633" s="3"/>
      <c r="L633" s="3" t="s">
        <v>485</v>
      </c>
      <c r="M633" s="3" t="s">
        <v>7548</v>
      </c>
      <c r="N633" s="3" t="s">
        <v>285</v>
      </c>
      <c r="O633" s="3" t="s">
        <v>286</v>
      </c>
      <c r="P633" s="4">
        <v>44258.2083333333</v>
      </c>
      <c r="Q633" s="3" t="s">
        <v>56</v>
      </c>
      <c r="R633" s="5">
        <v>44258.0</v>
      </c>
      <c r="S633" s="3" t="s">
        <v>488</v>
      </c>
      <c r="T633" s="3">
        <v>1709500.0</v>
      </c>
      <c r="U633" s="3" t="s">
        <v>1323</v>
      </c>
      <c r="V633" s="3" t="s">
        <v>490</v>
      </c>
      <c r="W633" s="3" t="s">
        <v>172</v>
      </c>
      <c r="X633" s="3"/>
      <c r="Y633" s="3" t="str">
        <f>"02029000237202131"</f>
        <v>02029000237202131</v>
      </c>
      <c r="Z633" s="3" t="s">
        <v>292</v>
      </c>
      <c r="AA633" s="3" t="s">
        <v>7549</v>
      </c>
      <c r="AB633" s="3" t="str">
        <f>"04441802000198"</f>
        <v>04441802000198</v>
      </c>
      <c r="AC633" s="3"/>
      <c r="AD633" s="3"/>
      <c r="AE633" s="3"/>
      <c r="AF633" s="3">
        <v>-48.332778</v>
      </c>
      <c r="AG633" s="3">
        <v>-10.208611</v>
      </c>
      <c r="AH633" s="3" t="s">
        <v>7550</v>
      </c>
      <c r="AI633" s="3"/>
      <c r="AJ633" s="3" t="s">
        <v>485</v>
      </c>
      <c r="AK633" s="3"/>
      <c r="AL633" s="3" t="s">
        <v>128</v>
      </c>
      <c r="AM633" s="3" t="s">
        <v>65</v>
      </c>
      <c r="AN633" s="3" t="s">
        <v>296</v>
      </c>
      <c r="AO633" s="4">
        <v>44258.0</v>
      </c>
      <c r="AP633" s="4">
        <v>44258.4425578704</v>
      </c>
      <c r="AQ633" s="3" t="s">
        <v>132</v>
      </c>
      <c r="AR633" s="3" t="s">
        <v>693</v>
      </c>
      <c r="AS633" s="3"/>
      <c r="AT633" s="4">
        <v>44281.0337152778</v>
      </c>
    </row>
    <row r="634" ht="15.75" customHeight="1">
      <c r="A634" s="3">
        <v>2044027.0</v>
      </c>
      <c r="B634" s="3" t="s">
        <v>116</v>
      </c>
      <c r="C634" s="3" t="s">
        <v>117</v>
      </c>
      <c r="D634" s="3" t="s">
        <v>46</v>
      </c>
      <c r="E634" s="3" t="s">
        <v>7551</v>
      </c>
      <c r="F634" s="3"/>
      <c r="G634" s="3" t="s">
        <v>119</v>
      </c>
      <c r="H634" s="3" t="s">
        <v>50</v>
      </c>
      <c r="I634" s="3">
        <v>11500.0</v>
      </c>
      <c r="J634" s="3"/>
      <c r="K634" s="3"/>
      <c r="L634" s="3" t="s">
        <v>226</v>
      </c>
      <c r="M634" s="3" t="s">
        <v>7552</v>
      </c>
      <c r="N634" s="3" t="s">
        <v>186</v>
      </c>
      <c r="O634" s="3" t="s">
        <v>95</v>
      </c>
      <c r="P634" s="4">
        <v>44257.7916666667</v>
      </c>
      <c r="Q634" s="3" t="s">
        <v>56</v>
      </c>
      <c r="R634" s="5">
        <v>44257.0</v>
      </c>
      <c r="S634" s="3" t="s">
        <v>220</v>
      </c>
      <c r="T634" s="3">
        <v>4204806.0</v>
      </c>
      <c r="U634" s="3" t="s">
        <v>7553</v>
      </c>
      <c r="V634" s="3" t="s">
        <v>222</v>
      </c>
      <c r="W634" s="3" t="s">
        <v>78</v>
      </c>
      <c r="X634" s="3"/>
      <c r="Y634" s="3" t="str">
        <f>"02026000664202149"</f>
        <v>02026000664202149</v>
      </c>
      <c r="Z634" s="3" t="s">
        <v>101</v>
      </c>
      <c r="AA634" s="3" t="s">
        <v>7554</v>
      </c>
      <c r="AB634" s="3" t="str">
        <f>"***189789**"</f>
        <v>***189789**</v>
      </c>
      <c r="AC634" s="3"/>
      <c r="AD634" s="3"/>
      <c r="AE634" s="3"/>
      <c r="AF634" s="3">
        <v>-50.588833</v>
      </c>
      <c r="AG634" s="3">
        <v>-27.285861</v>
      </c>
      <c r="AH634" s="3" t="s">
        <v>7555</v>
      </c>
      <c r="AI634" s="3"/>
      <c r="AJ634" s="3" t="s">
        <v>226</v>
      </c>
      <c r="AK634" s="3"/>
      <c r="AL634" s="3" t="s">
        <v>128</v>
      </c>
      <c r="AM634" s="3" t="s">
        <v>65</v>
      </c>
      <c r="AN634" s="3" t="s">
        <v>227</v>
      </c>
      <c r="AO634" s="4">
        <v>44259.0</v>
      </c>
      <c r="AP634" s="4">
        <v>44259.5361689815</v>
      </c>
      <c r="AQ634" s="3" t="s">
        <v>132</v>
      </c>
      <c r="AR634" s="3" t="s">
        <v>247</v>
      </c>
      <c r="AS634" s="3"/>
      <c r="AT634" s="4">
        <v>44281.0337152778</v>
      </c>
    </row>
    <row r="635" ht="15.75" customHeight="1">
      <c r="A635" s="3">
        <v>2044001.0</v>
      </c>
      <c r="B635" s="3" t="s">
        <v>116</v>
      </c>
      <c r="C635" s="3" t="s">
        <v>117</v>
      </c>
      <c r="D635" s="3" t="s">
        <v>46</v>
      </c>
      <c r="E635" s="3" t="s">
        <v>7556</v>
      </c>
      <c r="F635" s="3"/>
      <c r="G635" s="3" t="s">
        <v>119</v>
      </c>
      <c r="H635" s="3" t="s">
        <v>72</v>
      </c>
      <c r="I635" s="3">
        <v>25484.4</v>
      </c>
      <c r="J635" s="3"/>
      <c r="K635" s="3"/>
      <c r="L635" s="3" t="s">
        <v>175</v>
      </c>
      <c r="M635" s="3" t="s">
        <v>7557</v>
      </c>
      <c r="N635" s="3" t="s">
        <v>109</v>
      </c>
      <c r="O635" s="3" t="s">
        <v>110</v>
      </c>
      <c r="P635" s="4">
        <v>44257.7083333333</v>
      </c>
      <c r="Q635" s="3" t="s">
        <v>56</v>
      </c>
      <c r="R635" s="3"/>
      <c r="S635" s="3" t="s">
        <v>169</v>
      </c>
      <c r="T635" s="3">
        <v>5211909.0</v>
      </c>
      <c r="U635" s="3" t="s">
        <v>170</v>
      </c>
      <c r="V635" s="3" t="s">
        <v>171</v>
      </c>
      <c r="W635" s="3" t="s">
        <v>100</v>
      </c>
      <c r="X635" s="3"/>
      <c r="Y635" s="3" t="str">
        <f>"02010000338202119"</f>
        <v>02010000338202119</v>
      </c>
      <c r="Z635" s="3" t="s">
        <v>112</v>
      </c>
      <c r="AA635" s="3" t="s">
        <v>173</v>
      </c>
      <c r="AB635" s="3" t="str">
        <f>"15343106000165"</f>
        <v>15343106000165</v>
      </c>
      <c r="AC635" s="3"/>
      <c r="AD635" s="3"/>
      <c r="AE635" s="3"/>
      <c r="AF635" s="3">
        <v>-51.689722</v>
      </c>
      <c r="AG635" s="3">
        <v>-17.923333</v>
      </c>
      <c r="AH635" s="3" t="s">
        <v>7558</v>
      </c>
      <c r="AI635" s="3"/>
      <c r="AJ635" s="3" t="s">
        <v>175</v>
      </c>
      <c r="AK635" s="3"/>
      <c r="AL635" s="3" t="s">
        <v>128</v>
      </c>
      <c r="AM635" s="3" t="s">
        <v>65</v>
      </c>
      <c r="AN635" s="3" t="s">
        <v>83</v>
      </c>
      <c r="AO635" s="4">
        <v>44259.0</v>
      </c>
      <c r="AP635" s="4">
        <v>44259.3475694445</v>
      </c>
      <c r="AQ635" s="3" t="s">
        <v>132</v>
      </c>
      <c r="AR635" s="3" t="s">
        <v>6533</v>
      </c>
      <c r="AS635" s="3"/>
      <c r="AT635" s="4">
        <v>44281.0337152778</v>
      </c>
    </row>
    <row r="636" ht="15.75" customHeight="1">
      <c r="A636" s="3">
        <v>2044648.0</v>
      </c>
      <c r="B636" s="3" t="s">
        <v>116</v>
      </c>
      <c r="C636" s="3" t="s">
        <v>117</v>
      </c>
      <c r="D636" s="3" t="s">
        <v>46</v>
      </c>
      <c r="E636" s="3" t="s">
        <v>7559</v>
      </c>
      <c r="F636" s="3"/>
      <c r="G636" s="3" t="s">
        <v>119</v>
      </c>
      <c r="H636" s="3" t="s">
        <v>50</v>
      </c>
      <c r="I636" s="3">
        <v>3010500.0</v>
      </c>
      <c r="J636" s="3"/>
      <c r="K636" s="3"/>
      <c r="L636" s="3" t="s">
        <v>120</v>
      </c>
      <c r="M636" s="3" t="s">
        <v>7560</v>
      </c>
      <c r="N636" s="3" t="s">
        <v>109</v>
      </c>
      <c r="O636" s="3" t="s">
        <v>110</v>
      </c>
      <c r="P636" s="4">
        <v>44257.7083333333</v>
      </c>
      <c r="Q636" s="3" t="s">
        <v>137</v>
      </c>
      <c r="R636" s="3"/>
      <c r="S636" s="3" t="s">
        <v>241</v>
      </c>
      <c r="T636" s="3">
        <v>1100205.0</v>
      </c>
      <c r="U636" s="3" t="s">
        <v>242</v>
      </c>
      <c r="V636" s="3" t="s">
        <v>125</v>
      </c>
      <c r="W636" s="3" t="s">
        <v>100</v>
      </c>
      <c r="X636" s="3"/>
      <c r="Y636" s="3" t="str">
        <f>"02001005993202164"</f>
        <v>02001005993202164</v>
      </c>
      <c r="Z636" s="3" t="s">
        <v>112</v>
      </c>
      <c r="AA636" s="3" t="s">
        <v>7561</v>
      </c>
      <c r="AB636" s="3" t="str">
        <f>"33119050000141"</f>
        <v>33119050000141</v>
      </c>
      <c r="AC636" s="3"/>
      <c r="AD636" s="3"/>
      <c r="AE636" s="3"/>
      <c r="AF636" s="3">
        <v>-65.75</v>
      </c>
      <c r="AG636" s="3">
        <v>-9.652778</v>
      </c>
      <c r="AH636" s="3" t="s">
        <v>7562</v>
      </c>
      <c r="AI636" s="3"/>
      <c r="AJ636" s="3" t="s">
        <v>120</v>
      </c>
      <c r="AK636" s="3"/>
      <c r="AL636" s="3" t="s">
        <v>128</v>
      </c>
      <c r="AM636" s="3" t="s">
        <v>65</v>
      </c>
      <c r="AN636" s="3" t="s">
        <v>129</v>
      </c>
      <c r="AO636" s="4">
        <v>44279.0</v>
      </c>
      <c r="AP636" s="4">
        <v>44279.4344907407</v>
      </c>
      <c r="AQ636" s="3" t="s">
        <v>132</v>
      </c>
      <c r="AR636" s="3" t="s">
        <v>1088</v>
      </c>
      <c r="AS636" s="3"/>
      <c r="AT636" s="4">
        <v>44281.0337152778</v>
      </c>
    </row>
    <row r="637" ht="15.75" customHeight="1">
      <c r="A637" s="3"/>
      <c r="B637" s="3" t="s">
        <v>46</v>
      </c>
      <c r="C637" s="3" t="s">
        <v>47</v>
      </c>
      <c r="D637" s="3"/>
      <c r="E637" s="3" t="s">
        <v>7563</v>
      </c>
      <c r="F637" s="3"/>
      <c r="G637" s="3" t="s">
        <v>49</v>
      </c>
      <c r="H637" s="3" t="s">
        <v>72</v>
      </c>
      <c r="I637" s="3">
        <v>37000.0</v>
      </c>
      <c r="J637" s="3"/>
      <c r="K637" s="3"/>
      <c r="L637" s="3"/>
      <c r="M637" s="3" t="s">
        <v>7564</v>
      </c>
      <c r="N637" s="3" t="s">
        <v>109</v>
      </c>
      <c r="O637" s="3" t="s">
        <v>110</v>
      </c>
      <c r="P637" s="4">
        <v>44257.6681481481</v>
      </c>
      <c r="Q637" s="3" t="s">
        <v>137</v>
      </c>
      <c r="R637" s="3"/>
      <c r="S637" s="3" t="s">
        <v>220</v>
      </c>
      <c r="T637" s="3">
        <v>2313401.0</v>
      </c>
      <c r="U637" s="3" t="s">
        <v>7565</v>
      </c>
      <c r="V637" s="3" t="s">
        <v>439</v>
      </c>
      <c r="W637" s="3" t="s">
        <v>291</v>
      </c>
      <c r="X637" s="3"/>
      <c r="Y637" s="3"/>
      <c r="Z637" s="3" t="s">
        <v>112</v>
      </c>
      <c r="AA637" s="3" t="s">
        <v>7566</v>
      </c>
      <c r="AB637" s="3" t="str">
        <f>"08149540000143"</f>
        <v>08149540000143</v>
      </c>
      <c r="AC637" s="3"/>
      <c r="AD637" s="3" t="s">
        <v>7160</v>
      </c>
      <c r="AE637" s="3"/>
      <c r="AF637" s="3">
        <v>-40.929167</v>
      </c>
      <c r="AG637" s="3">
        <v>-3.665833</v>
      </c>
      <c r="AH637" s="3" t="s">
        <v>7567</v>
      </c>
      <c r="AI637" s="3"/>
      <c r="AJ637" s="3" t="s">
        <v>442</v>
      </c>
      <c r="AK637" s="3"/>
      <c r="AL637" s="3"/>
      <c r="AM637" s="3" t="s">
        <v>65</v>
      </c>
      <c r="AN637" s="3" t="s">
        <v>7439</v>
      </c>
      <c r="AO637" s="3"/>
      <c r="AP637" s="4">
        <v>44257.6764467593</v>
      </c>
      <c r="AQ637" s="3"/>
      <c r="AR637" s="3" t="s">
        <v>7440</v>
      </c>
      <c r="AS637" s="3"/>
      <c r="AT637" s="4">
        <v>44281.0337152778</v>
      </c>
    </row>
    <row r="638" ht="15.75" customHeight="1">
      <c r="A638" s="3">
        <v>2044396.0</v>
      </c>
      <c r="B638" s="3" t="s">
        <v>116</v>
      </c>
      <c r="C638" s="3" t="s">
        <v>117</v>
      </c>
      <c r="D638" s="3" t="s">
        <v>46</v>
      </c>
      <c r="E638" s="3" t="s">
        <v>7568</v>
      </c>
      <c r="F638" s="3"/>
      <c r="G638" s="3" t="s">
        <v>119</v>
      </c>
      <c r="H638" s="3" t="s">
        <v>50</v>
      </c>
      <c r="I638" s="3">
        <v>391100.0</v>
      </c>
      <c r="J638" s="3"/>
      <c r="K638" s="3"/>
      <c r="L638" s="3" t="s">
        <v>405</v>
      </c>
      <c r="M638" s="3" t="s">
        <v>7569</v>
      </c>
      <c r="N638" s="3" t="s">
        <v>74</v>
      </c>
      <c r="O638" s="3" t="s">
        <v>75</v>
      </c>
      <c r="P638" s="4">
        <v>44257.625</v>
      </c>
      <c r="Q638" s="3" t="s">
        <v>56</v>
      </c>
      <c r="R638" s="3"/>
      <c r="S638" s="3" t="s">
        <v>400</v>
      </c>
      <c r="T638" s="3">
        <v>4315602.0</v>
      </c>
      <c r="U638" s="3" t="s">
        <v>1042</v>
      </c>
      <c r="V638" s="3" t="s">
        <v>402</v>
      </c>
      <c r="W638" s="3" t="s">
        <v>60</v>
      </c>
      <c r="X638" s="3"/>
      <c r="Y638" s="3"/>
      <c r="Z638" s="3" t="s">
        <v>79</v>
      </c>
      <c r="AA638" s="3" t="s">
        <v>7570</v>
      </c>
      <c r="AB638" s="3" t="str">
        <f>"72207251000152"</f>
        <v>72207251000152</v>
      </c>
      <c r="AC638" s="3"/>
      <c r="AD638" s="3"/>
      <c r="AE638" s="3"/>
      <c r="AF638" s="3">
        <v>-52.102778</v>
      </c>
      <c r="AG638" s="3">
        <v>-32.143889</v>
      </c>
      <c r="AH638" s="3" t="s">
        <v>7571</v>
      </c>
      <c r="AI638" s="3"/>
      <c r="AJ638" s="3" t="s">
        <v>405</v>
      </c>
      <c r="AK638" s="3"/>
      <c r="AL638" s="3" t="s">
        <v>128</v>
      </c>
      <c r="AM638" s="3" t="s">
        <v>65</v>
      </c>
      <c r="AN638" s="3"/>
      <c r="AO638" s="4">
        <v>44271.0</v>
      </c>
      <c r="AP638" s="4">
        <v>44271.4263425926</v>
      </c>
      <c r="AQ638" s="3" t="s">
        <v>132</v>
      </c>
      <c r="AR638" s="3" t="s">
        <v>1046</v>
      </c>
      <c r="AS638" s="3" t="s">
        <v>408</v>
      </c>
      <c r="AT638" s="4">
        <v>44281.0337152778</v>
      </c>
    </row>
    <row r="639" ht="15.75" customHeight="1">
      <c r="A639" s="3">
        <v>2044611.0</v>
      </c>
      <c r="B639" s="3" t="s">
        <v>116</v>
      </c>
      <c r="C639" s="3" t="s">
        <v>117</v>
      </c>
      <c r="D639" s="3" t="s">
        <v>46</v>
      </c>
      <c r="E639" s="3" t="s">
        <v>7572</v>
      </c>
      <c r="F639" s="3"/>
      <c r="G639" s="3" t="s">
        <v>119</v>
      </c>
      <c r="H639" s="3" t="s">
        <v>72</v>
      </c>
      <c r="I639" s="3">
        <v>33500.0</v>
      </c>
      <c r="J639" s="3"/>
      <c r="K639" s="3"/>
      <c r="L639" s="3" t="s">
        <v>1473</v>
      </c>
      <c r="M639" s="3" t="s">
        <v>7573</v>
      </c>
      <c r="N639" s="3" t="s">
        <v>109</v>
      </c>
      <c r="O639" s="3" t="s">
        <v>110</v>
      </c>
      <c r="P639" s="4">
        <v>44257.625</v>
      </c>
      <c r="Q639" s="3" t="s">
        <v>77</v>
      </c>
      <c r="R639" s="5">
        <v>44257.0</v>
      </c>
      <c r="S639" s="3" t="s">
        <v>220</v>
      </c>
      <c r="T639" s="3">
        <v>5003157.0</v>
      </c>
      <c r="U639" s="3" t="s">
        <v>7574</v>
      </c>
      <c r="V639" s="3" t="s">
        <v>1470</v>
      </c>
      <c r="W639" s="3" t="s">
        <v>78</v>
      </c>
      <c r="X639" s="3"/>
      <c r="Y639" s="3" t="str">
        <f>"02014000341202194"</f>
        <v>02014000341202194</v>
      </c>
      <c r="Z639" s="3" t="s">
        <v>112</v>
      </c>
      <c r="AA639" s="3" t="s">
        <v>7575</v>
      </c>
      <c r="AB639" s="3" t="str">
        <f>"***309101**"</f>
        <v>***309101**</v>
      </c>
      <c r="AC639" s="3"/>
      <c r="AD639" s="3"/>
      <c r="AE639" s="3"/>
      <c r="AF639" s="3">
        <v>-55.416667</v>
      </c>
      <c r="AG639" s="3">
        <v>-23.281111</v>
      </c>
      <c r="AH639" s="3" t="s">
        <v>7576</v>
      </c>
      <c r="AI639" s="3"/>
      <c r="AJ639" s="3" t="s">
        <v>1473</v>
      </c>
      <c r="AK639" s="3"/>
      <c r="AL639" s="3" t="s">
        <v>128</v>
      </c>
      <c r="AM639" s="3" t="s">
        <v>65</v>
      </c>
      <c r="AN639" s="3"/>
      <c r="AO639" s="4">
        <v>44278.0</v>
      </c>
      <c r="AP639" s="4">
        <v>44278.651724537</v>
      </c>
      <c r="AQ639" s="3" t="s">
        <v>132</v>
      </c>
      <c r="AR639" s="3" t="s">
        <v>1545</v>
      </c>
      <c r="AS639" s="3"/>
      <c r="AT639" s="4">
        <v>44281.0337152778</v>
      </c>
    </row>
    <row r="640" ht="15.75" customHeight="1">
      <c r="A640" s="3">
        <v>2044011.0</v>
      </c>
      <c r="B640" s="3" t="s">
        <v>116</v>
      </c>
      <c r="C640" s="3" t="s">
        <v>117</v>
      </c>
      <c r="D640" s="3" t="s">
        <v>46</v>
      </c>
      <c r="E640" s="3" t="s">
        <v>7577</v>
      </c>
      <c r="F640" s="3"/>
      <c r="G640" s="3" t="s">
        <v>119</v>
      </c>
      <c r="H640" s="3" t="s">
        <v>50</v>
      </c>
      <c r="I640" s="3">
        <v>1000.0</v>
      </c>
      <c r="J640" s="3"/>
      <c r="K640" s="3"/>
      <c r="L640" s="3" t="s">
        <v>1457</v>
      </c>
      <c r="M640" s="3" t="s">
        <v>7578</v>
      </c>
      <c r="N640" s="3" t="s">
        <v>186</v>
      </c>
      <c r="O640" s="3" t="s">
        <v>95</v>
      </c>
      <c r="P640" s="4">
        <v>44257.5833333333</v>
      </c>
      <c r="Q640" s="3" t="s">
        <v>56</v>
      </c>
      <c r="R640" s="3"/>
      <c r="S640" s="3" t="s">
        <v>475</v>
      </c>
      <c r="T640" s="3">
        <v>3150802.0</v>
      </c>
      <c r="U640" s="3" t="s">
        <v>7579</v>
      </c>
      <c r="V640" s="3" t="s">
        <v>477</v>
      </c>
      <c r="W640" s="3" t="s">
        <v>78</v>
      </c>
      <c r="X640" s="3"/>
      <c r="Y640" s="3"/>
      <c r="Z640" s="3" t="s">
        <v>101</v>
      </c>
      <c r="AA640" s="3" t="s">
        <v>7580</v>
      </c>
      <c r="AB640" s="3" t="str">
        <f>"31148457000171"</f>
        <v>31148457000171</v>
      </c>
      <c r="AC640" s="3"/>
      <c r="AD640" s="3"/>
      <c r="AE640" s="3"/>
      <c r="AF640" s="3">
        <v>-43.182778</v>
      </c>
      <c r="AG640" s="3">
        <v>-20.659444</v>
      </c>
      <c r="AH640" s="3" t="s">
        <v>7581</v>
      </c>
      <c r="AI640" s="3"/>
      <c r="AJ640" s="3" t="s">
        <v>1457</v>
      </c>
      <c r="AK640" s="3"/>
      <c r="AL640" s="3" t="s">
        <v>128</v>
      </c>
      <c r="AM640" s="3" t="s">
        <v>65</v>
      </c>
      <c r="AN640" s="3" t="s">
        <v>1462</v>
      </c>
      <c r="AO640" s="4">
        <v>44259.0</v>
      </c>
      <c r="AP640" s="4">
        <v>44259.4203587963</v>
      </c>
      <c r="AQ640" s="3" t="s">
        <v>132</v>
      </c>
      <c r="AR640" s="3" t="s">
        <v>531</v>
      </c>
      <c r="AS640" s="3"/>
      <c r="AT640" s="4">
        <v>44281.0337152778</v>
      </c>
    </row>
    <row r="641" ht="15.75" customHeight="1">
      <c r="A641" s="3">
        <v>2044013.0</v>
      </c>
      <c r="B641" s="3" t="s">
        <v>116</v>
      </c>
      <c r="C641" s="3" t="s">
        <v>117</v>
      </c>
      <c r="D641" s="3" t="s">
        <v>46</v>
      </c>
      <c r="E641" s="3" t="s">
        <v>7582</v>
      </c>
      <c r="F641" s="3"/>
      <c r="G641" s="3" t="s">
        <v>119</v>
      </c>
      <c r="H641" s="3" t="s">
        <v>50</v>
      </c>
      <c r="I641" s="3">
        <v>1000.0</v>
      </c>
      <c r="J641" s="3"/>
      <c r="K641" s="3"/>
      <c r="L641" s="3" t="s">
        <v>1457</v>
      </c>
      <c r="M641" s="3" t="s">
        <v>7583</v>
      </c>
      <c r="N641" s="3" t="s">
        <v>186</v>
      </c>
      <c r="O641" s="3" t="s">
        <v>95</v>
      </c>
      <c r="P641" s="4">
        <v>44257.5833333333</v>
      </c>
      <c r="Q641" s="3" t="s">
        <v>56</v>
      </c>
      <c r="R641" s="3"/>
      <c r="S641" s="3" t="s">
        <v>475</v>
      </c>
      <c r="T641" s="3">
        <v>3150802.0</v>
      </c>
      <c r="U641" s="3" t="s">
        <v>7579</v>
      </c>
      <c r="V641" s="3" t="s">
        <v>477</v>
      </c>
      <c r="W641" s="3" t="s">
        <v>78</v>
      </c>
      <c r="X641" s="3"/>
      <c r="Y641" s="3"/>
      <c r="Z641" s="3" t="s">
        <v>101</v>
      </c>
      <c r="AA641" s="3" t="s">
        <v>7584</v>
      </c>
      <c r="AB641" s="3" t="str">
        <f>"35485026000151"</f>
        <v>35485026000151</v>
      </c>
      <c r="AC641" s="3"/>
      <c r="AD641" s="3"/>
      <c r="AE641" s="3"/>
      <c r="AF641" s="3">
        <v>-43.270833</v>
      </c>
      <c r="AG641" s="3">
        <v>-20.569444</v>
      </c>
      <c r="AH641" s="3" t="s">
        <v>7585</v>
      </c>
      <c r="AI641" s="3"/>
      <c r="AJ641" s="3" t="s">
        <v>1457</v>
      </c>
      <c r="AK641" s="3"/>
      <c r="AL641" s="3" t="s">
        <v>128</v>
      </c>
      <c r="AM641" s="3" t="s">
        <v>65</v>
      </c>
      <c r="AN641" s="3" t="s">
        <v>1462</v>
      </c>
      <c r="AO641" s="4">
        <v>44259.0</v>
      </c>
      <c r="AP641" s="4">
        <v>44259.4483449074</v>
      </c>
      <c r="AQ641" s="3" t="s">
        <v>132</v>
      </c>
      <c r="AR641" s="3" t="s">
        <v>531</v>
      </c>
      <c r="AS641" s="3"/>
      <c r="AT641" s="4">
        <v>44281.0337152778</v>
      </c>
    </row>
    <row r="642" ht="15.75" customHeight="1">
      <c r="A642" s="3">
        <v>2044397.0</v>
      </c>
      <c r="B642" s="3" t="s">
        <v>116</v>
      </c>
      <c r="C642" s="3" t="s">
        <v>117</v>
      </c>
      <c r="D642" s="3" t="s">
        <v>46</v>
      </c>
      <c r="E642" s="3" t="s">
        <v>7586</v>
      </c>
      <c r="F642" s="3"/>
      <c r="G642" s="3" t="s">
        <v>119</v>
      </c>
      <c r="H642" s="3" t="s">
        <v>50</v>
      </c>
      <c r="I642" s="3">
        <v>312100.0</v>
      </c>
      <c r="J642" s="3"/>
      <c r="K642" s="3"/>
      <c r="L642" s="3" t="s">
        <v>405</v>
      </c>
      <c r="M642" s="3" t="s">
        <v>7587</v>
      </c>
      <c r="N642" s="3" t="s">
        <v>74</v>
      </c>
      <c r="O642" s="3" t="s">
        <v>75</v>
      </c>
      <c r="P642" s="4">
        <v>44257.5833333333</v>
      </c>
      <c r="Q642" s="3" t="s">
        <v>56</v>
      </c>
      <c r="R642" s="3"/>
      <c r="S642" s="3" t="s">
        <v>400</v>
      </c>
      <c r="T642" s="3">
        <v>4315602.0</v>
      </c>
      <c r="U642" s="3" t="s">
        <v>1042</v>
      </c>
      <c r="V642" s="3" t="s">
        <v>402</v>
      </c>
      <c r="W642" s="3" t="s">
        <v>60</v>
      </c>
      <c r="X642" s="3"/>
      <c r="Y642" s="3"/>
      <c r="Z642" s="3" t="s">
        <v>79</v>
      </c>
      <c r="AA642" s="3" t="s">
        <v>7588</v>
      </c>
      <c r="AB642" s="3" t="str">
        <f>"31873991000140"</f>
        <v>31873991000140</v>
      </c>
      <c r="AC642" s="3"/>
      <c r="AD642" s="3"/>
      <c r="AE642" s="3"/>
      <c r="AF642" s="3">
        <v>-52.103056</v>
      </c>
      <c r="AG642" s="3">
        <v>-32.143889</v>
      </c>
      <c r="AH642" s="3" t="s">
        <v>7571</v>
      </c>
      <c r="AI642" s="3"/>
      <c r="AJ642" s="3" t="s">
        <v>405</v>
      </c>
      <c r="AK642" s="3"/>
      <c r="AL642" s="3" t="s">
        <v>128</v>
      </c>
      <c r="AM642" s="3" t="s">
        <v>65</v>
      </c>
      <c r="AN642" s="3"/>
      <c r="AO642" s="4">
        <v>44271.0</v>
      </c>
      <c r="AP642" s="4">
        <v>44271.4271875</v>
      </c>
      <c r="AQ642" s="3" t="s">
        <v>132</v>
      </c>
      <c r="AR642" s="3" t="s">
        <v>1046</v>
      </c>
      <c r="AS642" s="3" t="s">
        <v>1157</v>
      </c>
      <c r="AT642" s="4">
        <v>44281.0337152778</v>
      </c>
    </row>
    <row r="643" ht="15.75" customHeight="1">
      <c r="A643" s="3">
        <v>2044712.0</v>
      </c>
      <c r="B643" s="3" t="s">
        <v>116</v>
      </c>
      <c r="C643" s="3" t="s">
        <v>117</v>
      </c>
      <c r="D643" s="3" t="s">
        <v>46</v>
      </c>
      <c r="E643" s="3" t="s">
        <v>7589</v>
      </c>
      <c r="F643" s="3"/>
      <c r="G643" s="3" t="s">
        <v>119</v>
      </c>
      <c r="H643" s="3" t="s">
        <v>72</v>
      </c>
      <c r="I643" s="3">
        <v>40000.0</v>
      </c>
      <c r="J643" s="3"/>
      <c r="K643" s="3"/>
      <c r="L643" s="3" t="s">
        <v>2062</v>
      </c>
      <c r="M643" s="3" t="s">
        <v>7590</v>
      </c>
      <c r="N643" s="3" t="s">
        <v>109</v>
      </c>
      <c r="O643" s="3" t="s">
        <v>110</v>
      </c>
      <c r="P643" s="4">
        <v>44257.5833333333</v>
      </c>
      <c r="Q643" s="3" t="s">
        <v>77</v>
      </c>
      <c r="R643" s="5">
        <v>44257.0</v>
      </c>
      <c r="S643" s="3" t="s">
        <v>123</v>
      </c>
      <c r="T643" s="3">
        <v>1100205.0</v>
      </c>
      <c r="U643" s="3" t="s">
        <v>242</v>
      </c>
      <c r="V643" s="3" t="s">
        <v>125</v>
      </c>
      <c r="W643" s="3" t="s">
        <v>100</v>
      </c>
      <c r="X643" s="3"/>
      <c r="Y643" s="3" t="str">
        <f>"02024000919202193"</f>
        <v>02024000919202193</v>
      </c>
      <c r="Z643" s="3" t="s">
        <v>112</v>
      </c>
      <c r="AA643" s="3" t="s">
        <v>7591</v>
      </c>
      <c r="AB643" s="3" t="str">
        <f>"***761022**"</f>
        <v>***761022**</v>
      </c>
      <c r="AC643" s="3"/>
      <c r="AD643" s="3"/>
      <c r="AE643" s="3"/>
      <c r="AF643" s="3">
        <v>-63.890556</v>
      </c>
      <c r="AG643" s="3">
        <v>-8.737778</v>
      </c>
      <c r="AH643" s="3" t="s">
        <v>7025</v>
      </c>
      <c r="AI643" s="3"/>
      <c r="AJ643" s="3" t="s">
        <v>2062</v>
      </c>
      <c r="AK643" s="3"/>
      <c r="AL643" s="3" t="s">
        <v>128</v>
      </c>
      <c r="AM643" s="3" t="s">
        <v>65</v>
      </c>
      <c r="AN643" s="3"/>
      <c r="AO643" s="4">
        <v>44280.0</v>
      </c>
      <c r="AP643" s="4">
        <v>44280.5851041667</v>
      </c>
      <c r="AQ643" s="3" t="s">
        <v>132</v>
      </c>
      <c r="AR643" s="3" t="s">
        <v>2068</v>
      </c>
      <c r="AS643" s="3"/>
      <c r="AT643" s="4">
        <v>44281.0337152778</v>
      </c>
    </row>
    <row r="644" ht="15.75" customHeight="1">
      <c r="A644" s="3"/>
      <c r="B644" s="3" t="s">
        <v>46</v>
      </c>
      <c r="C644" s="3" t="s">
        <v>47</v>
      </c>
      <c r="D644" s="3"/>
      <c r="E644" s="3" t="s">
        <v>7592</v>
      </c>
      <c r="F644" s="3"/>
      <c r="G644" s="3" t="s">
        <v>49</v>
      </c>
      <c r="H644" s="3" t="s">
        <v>72</v>
      </c>
      <c r="I644" s="3">
        <v>225225.0</v>
      </c>
      <c r="J644" s="3"/>
      <c r="K644" s="3"/>
      <c r="L644" s="3"/>
      <c r="M644" s="3" t="s">
        <v>7593</v>
      </c>
      <c r="N644" s="3" t="s">
        <v>109</v>
      </c>
      <c r="O644" s="3" t="s">
        <v>110</v>
      </c>
      <c r="P644" s="4">
        <v>44257.5571527778</v>
      </c>
      <c r="Q644" s="3" t="s">
        <v>137</v>
      </c>
      <c r="R644" s="3"/>
      <c r="S644" s="3" t="s">
        <v>220</v>
      </c>
      <c r="T644" s="3">
        <v>1500859.0</v>
      </c>
      <c r="U644" s="3" t="s">
        <v>1723</v>
      </c>
      <c r="V644" s="3" t="s">
        <v>917</v>
      </c>
      <c r="W644" s="3" t="s">
        <v>100</v>
      </c>
      <c r="X644" s="3"/>
      <c r="Y644" s="3" t="str">
        <f>"02001004965202120"</f>
        <v>02001004965202120</v>
      </c>
      <c r="Z644" s="3" t="s">
        <v>112</v>
      </c>
      <c r="AA644" s="3" t="s">
        <v>7594</v>
      </c>
      <c r="AB644" s="3"/>
      <c r="AC644" s="3"/>
      <c r="AD644" s="3" t="s">
        <v>7595</v>
      </c>
      <c r="AE644" s="3"/>
      <c r="AF644" s="3">
        <v>-51.337778</v>
      </c>
      <c r="AG644" s="3">
        <v>-3.775556</v>
      </c>
      <c r="AH644" s="3" t="s">
        <v>7596</v>
      </c>
      <c r="AI644" s="3"/>
      <c r="AJ644" s="3" t="s">
        <v>120</v>
      </c>
      <c r="AK644" s="3"/>
      <c r="AL644" s="3"/>
      <c r="AM644" s="3" t="s">
        <v>65</v>
      </c>
      <c r="AN644" s="3" t="s">
        <v>6041</v>
      </c>
      <c r="AO644" s="3"/>
      <c r="AP644" s="4">
        <v>44266.3998148148</v>
      </c>
      <c r="AQ644" s="3"/>
      <c r="AR644" s="3" t="s">
        <v>7597</v>
      </c>
      <c r="AS644" s="3"/>
      <c r="AT644" s="4">
        <v>44281.0337152778</v>
      </c>
    </row>
    <row r="645" ht="15.75" customHeight="1">
      <c r="A645" s="3">
        <v>2044392.0</v>
      </c>
      <c r="B645" s="3" t="s">
        <v>116</v>
      </c>
      <c r="C645" s="3" t="s">
        <v>117</v>
      </c>
      <c r="D645" s="3" t="s">
        <v>46</v>
      </c>
      <c r="E645" s="3" t="s">
        <v>7598</v>
      </c>
      <c r="F645" s="3"/>
      <c r="G645" s="3" t="s">
        <v>119</v>
      </c>
      <c r="H645" s="3" t="s">
        <v>50</v>
      </c>
      <c r="I645" s="3">
        <v>332100.0</v>
      </c>
      <c r="J645" s="3"/>
      <c r="K645" s="3"/>
      <c r="L645" s="3" t="s">
        <v>405</v>
      </c>
      <c r="M645" s="3" t="s">
        <v>7599</v>
      </c>
      <c r="N645" s="3" t="s">
        <v>74</v>
      </c>
      <c r="O645" s="3" t="s">
        <v>75</v>
      </c>
      <c r="P645" s="4">
        <v>44257.5416666667</v>
      </c>
      <c r="Q645" s="3" t="s">
        <v>56</v>
      </c>
      <c r="R645" s="3"/>
      <c r="S645" s="3" t="s">
        <v>400</v>
      </c>
      <c r="T645" s="3">
        <v>4304671.0</v>
      </c>
      <c r="U645" s="3" t="s">
        <v>1755</v>
      </c>
      <c r="V645" s="3" t="s">
        <v>402</v>
      </c>
      <c r="W645" s="3" t="s">
        <v>60</v>
      </c>
      <c r="X645" s="3"/>
      <c r="Y645" s="3"/>
      <c r="Z645" s="3" t="s">
        <v>79</v>
      </c>
      <c r="AA645" s="3" t="s">
        <v>1786</v>
      </c>
      <c r="AB645" s="3" t="str">
        <f>"13295681000104"</f>
        <v>13295681000104</v>
      </c>
      <c r="AC645" s="3"/>
      <c r="AD645" s="3"/>
      <c r="AE645" s="3"/>
      <c r="AF645" s="3">
        <v>-50.513611</v>
      </c>
      <c r="AG645" s="3">
        <v>-30.1475</v>
      </c>
      <c r="AH645" s="3" t="s">
        <v>7600</v>
      </c>
      <c r="AI645" s="3"/>
      <c r="AJ645" s="3" t="s">
        <v>405</v>
      </c>
      <c r="AK645" s="3"/>
      <c r="AL645" s="3" t="s">
        <v>128</v>
      </c>
      <c r="AM645" s="3" t="s">
        <v>65</v>
      </c>
      <c r="AN645" s="3"/>
      <c r="AO645" s="4">
        <v>44271.0</v>
      </c>
      <c r="AP645" s="4">
        <v>44271.4193981481</v>
      </c>
      <c r="AQ645" s="3" t="s">
        <v>132</v>
      </c>
      <c r="AR645" s="3" t="s">
        <v>1046</v>
      </c>
      <c r="AS645" s="3" t="s">
        <v>408</v>
      </c>
      <c r="AT645" s="4">
        <v>44281.0337152778</v>
      </c>
    </row>
    <row r="646" ht="15.75" customHeight="1">
      <c r="A646" s="3">
        <v>2044469.0</v>
      </c>
      <c r="B646" s="3" t="s">
        <v>116</v>
      </c>
      <c r="C646" s="3" t="s">
        <v>117</v>
      </c>
      <c r="D646" s="3" t="s">
        <v>46</v>
      </c>
      <c r="E646" s="3" t="s">
        <v>7601</v>
      </c>
      <c r="F646" s="3"/>
      <c r="G646" s="3" t="s">
        <v>119</v>
      </c>
      <c r="H646" s="3" t="s">
        <v>72</v>
      </c>
      <c r="I646" s="3">
        <v>250000.0</v>
      </c>
      <c r="J646" s="3"/>
      <c r="K646" s="3"/>
      <c r="L646" s="3" t="s">
        <v>120</v>
      </c>
      <c r="M646" s="3" t="s">
        <v>7602</v>
      </c>
      <c r="N646" s="3" t="s">
        <v>109</v>
      </c>
      <c r="O646" s="3" t="s">
        <v>110</v>
      </c>
      <c r="P646" s="4">
        <v>44257.5416666667</v>
      </c>
      <c r="Q646" s="3" t="s">
        <v>77</v>
      </c>
      <c r="R646" s="5">
        <v>44257.0</v>
      </c>
      <c r="S646" s="3" t="s">
        <v>220</v>
      </c>
      <c r="T646" s="3">
        <v>1500859.0</v>
      </c>
      <c r="U646" s="3" t="s">
        <v>1723</v>
      </c>
      <c r="V646" s="3" t="s">
        <v>917</v>
      </c>
      <c r="W646" s="3" t="s">
        <v>100</v>
      </c>
      <c r="X646" s="3"/>
      <c r="Y646" s="3" t="str">
        <f>"02001005412202194"</f>
        <v>02001005412202194</v>
      </c>
      <c r="Z646" s="3" t="s">
        <v>112</v>
      </c>
      <c r="AA646" s="3" t="s">
        <v>7603</v>
      </c>
      <c r="AB646" s="3" t="str">
        <f>"***638512**"</f>
        <v>***638512**</v>
      </c>
      <c r="AC646" s="3"/>
      <c r="AD646" s="3"/>
      <c r="AE646" s="3"/>
      <c r="AF646" s="3">
        <v>-51.336111</v>
      </c>
      <c r="AG646" s="3">
        <v>-3.7775</v>
      </c>
      <c r="AH646" s="3" t="s">
        <v>7604</v>
      </c>
      <c r="AI646" s="3"/>
      <c r="AJ646" s="3" t="s">
        <v>120</v>
      </c>
      <c r="AK646" s="3"/>
      <c r="AL646" s="3" t="s">
        <v>128</v>
      </c>
      <c r="AM646" s="3" t="s">
        <v>65</v>
      </c>
      <c r="AN646" s="3" t="s">
        <v>6041</v>
      </c>
      <c r="AO646" s="4">
        <v>44271.0</v>
      </c>
      <c r="AP646" s="4">
        <v>44271.8507986111</v>
      </c>
      <c r="AQ646" s="3" t="s">
        <v>132</v>
      </c>
      <c r="AR646" s="3" t="s">
        <v>2082</v>
      </c>
      <c r="AS646" s="3"/>
      <c r="AT646" s="4">
        <v>44281.0337152778</v>
      </c>
    </row>
    <row r="647" ht="15.75" customHeight="1">
      <c r="A647" s="3">
        <v>2044113.0</v>
      </c>
      <c r="B647" s="3" t="s">
        <v>116</v>
      </c>
      <c r="C647" s="3" t="s">
        <v>117</v>
      </c>
      <c r="D647" s="3" t="s">
        <v>46</v>
      </c>
      <c r="E647" s="3" t="s">
        <v>7605</v>
      </c>
      <c r="F647" s="3"/>
      <c r="G647" s="3" t="s">
        <v>119</v>
      </c>
      <c r="H647" s="3" t="s">
        <v>50</v>
      </c>
      <c r="I647" s="3">
        <v>1000.0</v>
      </c>
      <c r="J647" s="3"/>
      <c r="K647" s="3"/>
      <c r="L647" s="3" t="s">
        <v>295</v>
      </c>
      <c r="M647" s="3" t="s">
        <v>7606</v>
      </c>
      <c r="N647" s="3" t="s">
        <v>285</v>
      </c>
      <c r="O647" s="3" t="s">
        <v>286</v>
      </c>
      <c r="P647" s="4">
        <v>44257.4583333333</v>
      </c>
      <c r="Q647" s="3" t="s">
        <v>56</v>
      </c>
      <c r="R647" s="5">
        <v>44257.0</v>
      </c>
      <c r="S647" s="3" t="s">
        <v>288</v>
      </c>
      <c r="T647" s="3">
        <v>2204105.0</v>
      </c>
      <c r="U647" s="3" t="s">
        <v>7607</v>
      </c>
      <c r="V647" s="3" t="s">
        <v>290</v>
      </c>
      <c r="W647" s="3" t="s">
        <v>291</v>
      </c>
      <c r="X647" s="3"/>
      <c r="Y647" s="3"/>
      <c r="Z647" s="3" t="s">
        <v>292</v>
      </c>
      <c r="AA647" s="3" t="s">
        <v>7608</v>
      </c>
      <c r="AB647" s="3" t="str">
        <f>"18052236000137"</f>
        <v>18052236000137</v>
      </c>
      <c r="AC647" s="3"/>
      <c r="AD647" s="3"/>
      <c r="AE647" s="3"/>
      <c r="AF647" s="3">
        <v>-42.824472</v>
      </c>
      <c r="AG647" s="3">
        <v>-5.069889</v>
      </c>
      <c r="AH647" s="3" t="s">
        <v>7609</v>
      </c>
      <c r="AI647" s="3"/>
      <c r="AJ647" s="3" t="s">
        <v>295</v>
      </c>
      <c r="AK647" s="3"/>
      <c r="AL647" s="3" t="s">
        <v>128</v>
      </c>
      <c r="AM647" s="3" t="s">
        <v>65</v>
      </c>
      <c r="AN647" s="3" t="s">
        <v>296</v>
      </c>
      <c r="AO647" s="4">
        <v>44263.0</v>
      </c>
      <c r="AP647" s="4">
        <v>44263.6096064815</v>
      </c>
      <c r="AQ647" s="3" t="s">
        <v>132</v>
      </c>
      <c r="AR647" s="3" t="s">
        <v>531</v>
      </c>
      <c r="AS647" s="3"/>
      <c r="AT647" s="4">
        <v>44281.0337152778</v>
      </c>
    </row>
    <row r="648" ht="15.75" customHeight="1">
      <c r="A648" s="3">
        <v>2044205.0</v>
      </c>
      <c r="B648" s="3" t="s">
        <v>116</v>
      </c>
      <c r="C648" s="3" t="s">
        <v>117</v>
      </c>
      <c r="D648" s="3" t="s">
        <v>46</v>
      </c>
      <c r="E648" s="3" t="s">
        <v>7610</v>
      </c>
      <c r="F648" s="3"/>
      <c r="G648" s="3" t="s">
        <v>119</v>
      </c>
      <c r="H648" s="3" t="s">
        <v>72</v>
      </c>
      <c r="I648" s="3">
        <v>130000.0</v>
      </c>
      <c r="J648" s="3"/>
      <c r="K648" s="3"/>
      <c r="L648" s="3" t="s">
        <v>120</v>
      </c>
      <c r="M648" s="3" t="s">
        <v>7611</v>
      </c>
      <c r="N648" s="3" t="s">
        <v>109</v>
      </c>
      <c r="O648" s="3" t="s">
        <v>110</v>
      </c>
      <c r="P648" s="4">
        <v>44257.4583333333</v>
      </c>
      <c r="Q648" s="3" t="s">
        <v>77</v>
      </c>
      <c r="R648" s="5">
        <v>44257.0</v>
      </c>
      <c r="S648" s="3" t="s">
        <v>915</v>
      </c>
      <c r="T648" s="3">
        <v>1505031.0</v>
      </c>
      <c r="U648" s="3" t="s">
        <v>5077</v>
      </c>
      <c r="V648" s="3" t="s">
        <v>917</v>
      </c>
      <c r="W648" s="3" t="s">
        <v>100</v>
      </c>
      <c r="X648" s="3"/>
      <c r="Y648" s="3" t="str">
        <f>"02001004877202128"</f>
        <v>02001004877202128</v>
      </c>
      <c r="Z648" s="3" t="s">
        <v>112</v>
      </c>
      <c r="AA648" s="3" t="s">
        <v>7612</v>
      </c>
      <c r="AB648" s="3" t="str">
        <f>"***008419**"</f>
        <v>***008419**</v>
      </c>
      <c r="AC648" s="3"/>
      <c r="AD648" s="3"/>
      <c r="AE648" s="3"/>
      <c r="AF648" s="3">
        <v>-55.137194</v>
      </c>
      <c r="AG648" s="3">
        <v>-7.574917</v>
      </c>
      <c r="AH648" s="3" t="s">
        <v>7613</v>
      </c>
      <c r="AI648" s="3"/>
      <c r="AJ648" s="3" t="s">
        <v>120</v>
      </c>
      <c r="AK648" s="3"/>
      <c r="AL648" s="3" t="s">
        <v>128</v>
      </c>
      <c r="AM648" s="3" t="s">
        <v>65</v>
      </c>
      <c r="AN648" s="3" t="s">
        <v>6870</v>
      </c>
      <c r="AO648" s="4">
        <v>44265.0</v>
      </c>
      <c r="AP648" s="4">
        <v>44265.4163194444</v>
      </c>
      <c r="AQ648" s="3" t="s">
        <v>132</v>
      </c>
      <c r="AR648" s="3" t="s">
        <v>3557</v>
      </c>
      <c r="AS648" s="3" t="s">
        <v>7198</v>
      </c>
      <c r="AT648" s="4">
        <v>44281.0337152778</v>
      </c>
    </row>
    <row r="649" ht="15.75" customHeight="1">
      <c r="A649" s="3">
        <v>2044240.0</v>
      </c>
      <c r="B649" s="3" t="s">
        <v>116</v>
      </c>
      <c r="C649" s="3" t="s">
        <v>117</v>
      </c>
      <c r="D649" s="3" t="s">
        <v>46</v>
      </c>
      <c r="E649" s="3" t="s">
        <v>7614</v>
      </c>
      <c r="F649" s="3"/>
      <c r="G649" s="3" t="s">
        <v>119</v>
      </c>
      <c r="H649" s="3" t="s">
        <v>50</v>
      </c>
      <c r="I649" s="3">
        <v>1000.0</v>
      </c>
      <c r="J649" s="3"/>
      <c r="K649" s="3"/>
      <c r="L649" s="3" t="s">
        <v>295</v>
      </c>
      <c r="M649" s="3" t="s">
        <v>7615</v>
      </c>
      <c r="N649" s="3" t="s">
        <v>53</v>
      </c>
      <c r="O649" s="3" t="s">
        <v>382</v>
      </c>
      <c r="P649" s="4">
        <v>44257.4583333333</v>
      </c>
      <c r="Q649" s="3" t="s">
        <v>56</v>
      </c>
      <c r="R649" s="3"/>
      <c r="S649" s="3" t="s">
        <v>220</v>
      </c>
      <c r="T649" s="3">
        <v>2203503.0</v>
      </c>
      <c r="U649" s="3" t="s">
        <v>3822</v>
      </c>
      <c r="V649" s="3" t="s">
        <v>290</v>
      </c>
      <c r="W649" s="3" t="s">
        <v>291</v>
      </c>
      <c r="X649" s="3"/>
      <c r="Y649" s="3" t="str">
        <f>"02020000410202181"</f>
        <v>02020000410202181</v>
      </c>
      <c r="Z649" s="3" t="s">
        <v>384</v>
      </c>
      <c r="AA649" s="3" t="s">
        <v>7616</v>
      </c>
      <c r="AB649" s="3" t="str">
        <f>"63337075000182"</f>
        <v>63337075000182</v>
      </c>
      <c r="AC649" s="3"/>
      <c r="AD649" s="3"/>
      <c r="AE649" s="3"/>
      <c r="AF649" s="3">
        <v>-42.763611</v>
      </c>
      <c r="AG649" s="3">
        <v>-5.06</v>
      </c>
      <c r="AH649" s="3" t="s">
        <v>7617</v>
      </c>
      <c r="AI649" s="3"/>
      <c r="AJ649" s="3" t="s">
        <v>295</v>
      </c>
      <c r="AK649" s="3"/>
      <c r="AL649" s="3" t="s">
        <v>128</v>
      </c>
      <c r="AM649" s="3" t="s">
        <v>65</v>
      </c>
      <c r="AN649" s="3" t="s">
        <v>296</v>
      </c>
      <c r="AO649" s="4">
        <v>44265.0</v>
      </c>
      <c r="AP649" s="4">
        <v>44265.7280902778</v>
      </c>
      <c r="AQ649" s="3" t="s">
        <v>132</v>
      </c>
      <c r="AR649" s="3" t="s">
        <v>531</v>
      </c>
      <c r="AS649" s="3"/>
      <c r="AT649" s="4">
        <v>44281.0337152778</v>
      </c>
    </row>
    <row r="650" ht="15.75" customHeight="1">
      <c r="A650" s="3">
        <v>2044302.0</v>
      </c>
      <c r="B650" s="3" t="s">
        <v>116</v>
      </c>
      <c r="C650" s="3" t="s">
        <v>117</v>
      </c>
      <c r="D650" s="3" t="s">
        <v>46</v>
      </c>
      <c r="E650" s="3" t="s">
        <v>7618</v>
      </c>
      <c r="F650" s="3"/>
      <c r="G650" s="3" t="s">
        <v>119</v>
      </c>
      <c r="H650" s="3" t="s">
        <v>50</v>
      </c>
      <c r="I650" s="3">
        <v>4000.0</v>
      </c>
      <c r="J650" s="3"/>
      <c r="K650" s="3"/>
      <c r="L650" s="3" t="s">
        <v>442</v>
      </c>
      <c r="M650" s="3" t="s">
        <v>7619</v>
      </c>
      <c r="N650" s="3" t="s">
        <v>186</v>
      </c>
      <c r="O650" s="3" t="s">
        <v>95</v>
      </c>
      <c r="P650" s="4">
        <v>44257.4583333333</v>
      </c>
      <c r="Q650" s="3" t="s">
        <v>137</v>
      </c>
      <c r="R650" s="3"/>
      <c r="S650" s="3" t="s">
        <v>437</v>
      </c>
      <c r="T650" s="3">
        <v>2301901.0</v>
      </c>
      <c r="U650" s="3" t="s">
        <v>4598</v>
      </c>
      <c r="V650" s="3" t="s">
        <v>439</v>
      </c>
      <c r="W650" s="3" t="s">
        <v>291</v>
      </c>
      <c r="X650" s="3"/>
      <c r="Y650" s="3" t="str">
        <f>"02007000723202115"</f>
        <v>02007000723202115</v>
      </c>
      <c r="Z650" s="3" t="s">
        <v>101</v>
      </c>
      <c r="AA650" s="3" t="s">
        <v>7620</v>
      </c>
      <c r="AB650" s="3" t="str">
        <f>"***000533**"</f>
        <v>***000533**</v>
      </c>
      <c r="AC650" s="3"/>
      <c r="AD650" s="3"/>
      <c r="AE650" s="3"/>
      <c r="AF650" s="3">
        <v>-39.390278</v>
      </c>
      <c r="AG650" s="3">
        <v>-7.338611</v>
      </c>
      <c r="AH650" s="3" t="s">
        <v>7621</v>
      </c>
      <c r="AI650" s="3"/>
      <c r="AJ650" s="3" t="s">
        <v>442</v>
      </c>
      <c r="AK650" s="3"/>
      <c r="AL650" s="3" t="s">
        <v>128</v>
      </c>
      <c r="AM650" s="3" t="s">
        <v>65</v>
      </c>
      <c r="AN650" s="3" t="s">
        <v>159</v>
      </c>
      <c r="AO650" s="4">
        <v>44267.0</v>
      </c>
      <c r="AP650" s="4">
        <v>44267.6817592593</v>
      </c>
      <c r="AQ650" s="3" t="s">
        <v>132</v>
      </c>
      <c r="AR650" s="3" t="s">
        <v>693</v>
      </c>
      <c r="AS650" s="3"/>
      <c r="AT650" s="4">
        <v>44281.0337152778</v>
      </c>
    </row>
    <row r="651" ht="15.75" customHeight="1">
      <c r="A651" s="3">
        <v>2044670.0</v>
      </c>
      <c r="B651" s="3" t="s">
        <v>116</v>
      </c>
      <c r="C651" s="3" t="s">
        <v>117</v>
      </c>
      <c r="D651" s="3" t="s">
        <v>46</v>
      </c>
      <c r="E651" s="3" t="s">
        <v>7622</v>
      </c>
      <c r="F651" s="3"/>
      <c r="G651" s="3" t="s">
        <v>119</v>
      </c>
      <c r="H651" s="3" t="s">
        <v>72</v>
      </c>
      <c r="I651" s="3">
        <v>17340.0</v>
      </c>
      <c r="J651" s="3"/>
      <c r="K651" s="3"/>
      <c r="L651" s="3" t="s">
        <v>452</v>
      </c>
      <c r="M651" s="3" t="s">
        <v>7623</v>
      </c>
      <c r="N651" s="3" t="s">
        <v>109</v>
      </c>
      <c r="O651" s="3" t="s">
        <v>110</v>
      </c>
      <c r="P651" s="4">
        <v>44257.4583333333</v>
      </c>
      <c r="Q651" s="3" t="s">
        <v>77</v>
      </c>
      <c r="R651" s="5">
        <v>44257.0</v>
      </c>
      <c r="S651" s="3" t="s">
        <v>220</v>
      </c>
      <c r="T651" s="3">
        <v>2103000.0</v>
      </c>
      <c r="U651" s="3" t="s">
        <v>7624</v>
      </c>
      <c r="V651" s="3" t="s">
        <v>449</v>
      </c>
      <c r="W651" s="3" t="s">
        <v>172</v>
      </c>
      <c r="X651" s="3"/>
      <c r="Y651" s="3" t="str">
        <f>"02012000514202194"</f>
        <v>02012000514202194</v>
      </c>
      <c r="Z651" s="3" t="s">
        <v>112</v>
      </c>
      <c r="AA651" s="3" t="s">
        <v>7625</v>
      </c>
      <c r="AB651" s="3" t="str">
        <f>"00073455000137"</f>
        <v>00073455000137</v>
      </c>
      <c r="AC651" s="3"/>
      <c r="AD651" s="3"/>
      <c r="AE651" s="3"/>
      <c r="AF651" s="3">
        <v>-43.428056</v>
      </c>
      <c r="AG651" s="3">
        <v>-45.860278</v>
      </c>
      <c r="AH651" s="3" t="s">
        <v>7626</v>
      </c>
      <c r="AI651" s="3"/>
      <c r="AJ651" s="3" t="s">
        <v>452</v>
      </c>
      <c r="AK651" s="3"/>
      <c r="AL651" s="3" t="s">
        <v>128</v>
      </c>
      <c r="AM651" s="3" t="s">
        <v>65</v>
      </c>
      <c r="AN651" s="3"/>
      <c r="AO651" s="4">
        <v>44279.0</v>
      </c>
      <c r="AP651" s="4">
        <v>44279.626724537</v>
      </c>
      <c r="AQ651" s="3" t="s">
        <v>132</v>
      </c>
      <c r="AR651" s="3" t="s">
        <v>2807</v>
      </c>
      <c r="AS651" s="3" t="s">
        <v>7322</v>
      </c>
      <c r="AT651" s="4">
        <v>44281.0337152778</v>
      </c>
    </row>
    <row r="652" ht="15.75" customHeight="1">
      <c r="A652" s="3"/>
      <c r="B652" s="3" t="s">
        <v>46</v>
      </c>
      <c r="C652" s="3" t="s">
        <v>47</v>
      </c>
      <c r="D652" s="3"/>
      <c r="E652" s="3" t="s">
        <v>7627</v>
      </c>
      <c r="F652" s="3"/>
      <c r="G652" s="3" t="s">
        <v>49</v>
      </c>
      <c r="H652" s="3" t="s">
        <v>50</v>
      </c>
      <c r="I652" s="3">
        <v>51000.0</v>
      </c>
      <c r="J652" s="3"/>
      <c r="K652" s="3" t="s">
        <v>92</v>
      </c>
      <c r="L652" s="3"/>
      <c r="M652" s="3" t="s">
        <v>7236</v>
      </c>
      <c r="N652" s="3" t="s">
        <v>53</v>
      </c>
      <c r="O652" s="3" t="s">
        <v>333</v>
      </c>
      <c r="P652" s="4">
        <v>44257.4297916667</v>
      </c>
      <c r="Q652" s="3" t="s">
        <v>56</v>
      </c>
      <c r="R652" s="3"/>
      <c r="S652" s="3" t="s">
        <v>148</v>
      </c>
      <c r="T652" s="3">
        <v>1100049.0</v>
      </c>
      <c r="U652" s="3" t="s">
        <v>202</v>
      </c>
      <c r="V652" s="3" t="s">
        <v>125</v>
      </c>
      <c r="W652" s="3" t="s">
        <v>100</v>
      </c>
      <c r="X652" s="3"/>
      <c r="Y652" s="3"/>
      <c r="Z652" s="3" t="s">
        <v>223</v>
      </c>
      <c r="AA652" s="3" t="s">
        <v>7628</v>
      </c>
      <c r="AB652" s="3" t="str">
        <f>"11768424000117"</f>
        <v>11768424000117</v>
      </c>
      <c r="AC652" s="3"/>
      <c r="AD652" s="3" t="s">
        <v>81</v>
      </c>
      <c r="AE652" s="3"/>
      <c r="AF652" s="3">
        <v>-61.447778</v>
      </c>
      <c r="AG652" s="3">
        <v>-11.431389</v>
      </c>
      <c r="AH652" s="3" t="s">
        <v>7629</v>
      </c>
      <c r="AI652" s="3"/>
      <c r="AJ652" s="3" t="s">
        <v>158</v>
      </c>
      <c r="AK652" s="3"/>
      <c r="AL652" s="3"/>
      <c r="AM652" s="3" t="s">
        <v>65</v>
      </c>
      <c r="AN652" s="3" t="s">
        <v>159</v>
      </c>
      <c r="AO652" s="3"/>
      <c r="AP652" s="4">
        <v>44257.4342361111</v>
      </c>
      <c r="AQ652" s="3"/>
      <c r="AR652" s="3" t="s">
        <v>339</v>
      </c>
      <c r="AS652" s="3" t="s">
        <v>396</v>
      </c>
      <c r="AT652" s="4">
        <v>44281.0337152778</v>
      </c>
    </row>
    <row r="653" ht="15.75" customHeight="1">
      <c r="A653" s="3">
        <v>2044437.0</v>
      </c>
      <c r="B653" s="3" t="s">
        <v>116</v>
      </c>
      <c r="C653" s="3" t="s">
        <v>117</v>
      </c>
      <c r="D653" s="3" t="s">
        <v>46</v>
      </c>
      <c r="E653" s="3" t="s">
        <v>7630</v>
      </c>
      <c r="F653" s="3"/>
      <c r="G653" s="3" t="s">
        <v>119</v>
      </c>
      <c r="H653" s="3" t="s">
        <v>72</v>
      </c>
      <c r="I653" s="3">
        <v>475000.0</v>
      </c>
      <c r="J653" s="3"/>
      <c r="K653" s="3"/>
      <c r="L653" s="3" t="s">
        <v>120</v>
      </c>
      <c r="M653" s="3" t="s">
        <v>7631</v>
      </c>
      <c r="N653" s="3" t="s">
        <v>109</v>
      </c>
      <c r="O653" s="3" t="s">
        <v>110</v>
      </c>
      <c r="P653" s="4">
        <v>44257.4166666667</v>
      </c>
      <c r="Q653" s="3" t="s">
        <v>77</v>
      </c>
      <c r="R653" s="5">
        <v>44257.0</v>
      </c>
      <c r="S653" s="3" t="s">
        <v>915</v>
      </c>
      <c r="T653" s="3">
        <v>1505031.0</v>
      </c>
      <c r="U653" s="3" t="s">
        <v>5077</v>
      </c>
      <c r="V653" s="3" t="s">
        <v>917</v>
      </c>
      <c r="W653" s="3" t="s">
        <v>100</v>
      </c>
      <c r="X653" s="3"/>
      <c r="Y653" s="3" t="str">
        <f>"02001005368202112"</f>
        <v>02001005368202112</v>
      </c>
      <c r="Z653" s="3" t="s">
        <v>112</v>
      </c>
      <c r="AA653" s="3" t="s">
        <v>7632</v>
      </c>
      <c r="AB653" s="3" t="str">
        <f>"***863899**"</f>
        <v>***863899**</v>
      </c>
      <c r="AC653" s="3"/>
      <c r="AD653" s="3"/>
      <c r="AE653" s="3"/>
      <c r="AF653" s="3">
        <v>-55.241389</v>
      </c>
      <c r="AG653" s="3">
        <v>-7.506389</v>
      </c>
      <c r="AH653" s="3" t="s">
        <v>7633</v>
      </c>
      <c r="AI653" s="3"/>
      <c r="AJ653" s="3" t="s">
        <v>120</v>
      </c>
      <c r="AK653" s="3"/>
      <c r="AL653" s="3" t="s">
        <v>128</v>
      </c>
      <c r="AM653" s="3" t="s">
        <v>65</v>
      </c>
      <c r="AN653" s="3" t="s">
        <v>6870</v>
      </c>
      <c r="AO653" s="4">
        <v>44271.0</v>
      </c>
      <c r="AP653" s="4">
        <v>44271.6156018519</v>
      </c>
      <c r="AQ653" s="3" t="s">
        <v>132</v>
      </c>
      <c r="AR653" s="3" t="s">
        <v>2082</v>
      </c>
      <c r="AS653" s="3"/>
      <c r="AT653" s="4">
        <v>44281.0337152778</v>
      </c>
    </row>
    <row r="654" ht="15.75" customHeight="1">
      <c r="A654" s="3">
        <v>2044016.0</v>
      </c>
      <c r="B654" s="3" t="s">
        <v>116</v>
      </c>
      <c r="C654" s="3" t="s">
        <v>117</v>
      </c>
      <c r="D654" s="3" t="s">
        <v>46</v>
      </c>
      <c r="E654" s="3" t="s">
        <v>7634</v>
      </c>
      <c r="F654" s="3"/>
      <c r="G654" s="3" t="s">
        <v>119</v>
      </c>
      <c r="H654" s="3" t="s">
        <v>72</v>
      </c>
      <c r="I654" s="3">
        <v>12017.4</v>
      </c>
      <c r="J654" s="3"/>
      <c r="K654" s="3"/>
      <c r="L654" s="3" t="s">
        <v>1346</v>
      </c>
      <c r="M654" s="3" t="s">
        <v>7635</v>
      </c>
      <c r="N654" s="3" t="s">
        <v>109</v>
      </c>
      <c r="O654" s="3" t="s">
        <v>110</v>
      </c>
      <c r="P654" s="4">
        <v>44257.375</v>
      </c>
      <c r="Q654" s="3" t="s">
        <v>56</v>
      </c>
      <c r="R654" s="5">
        <v>44258.0</v>
      </c>
      <c r="S654" s="3" t="s">
        <v>1349</v>
      </c>
      <c r="T654" s="3">
        <v>1504208.0</v>
      </c>
      <c r="U654" s="3" t="s">
        <v>7636</v>
      </c>
      <c r="V654" s="3" t="s">
        <v>917</v>
      </c>
      <c r="W654" s="3" t="s">
        <v>100</v>
      </c>
      <c r="X654" s="3"/>
      <c r="Y654" s="3" t="str">
        <f>"02018000692202165"</f>
        <v>02018000692202165</v>
      </c>
      <c r="Z654" s="3" t="s">
        <v>112</v>
      </c>
      <c r="AA654" s="3" t="s">
        <v>7637</v>
      </c>
      <c r="AB654" s="3" t="str">
        <f>"30189681000149"</f>
        <v>30189681000149</v>
      </c>
      <c r="AC654" s="3"/>
      <c r="AD654" s="3"/>
      <c r="AE654" s="3"/>
      <c r="AF654" s="3">
        <v>-49.116111</v>
      </c>
      <c r="AG654" s="3">
        <v>2.361667</v>
      </c>
      <c r="AH654" s="3" t="s">
        <v>7638</v>
      </c>
      <c r="AI654" s="3"/>
      <c r="AJ654" s="3" t="s">
        <v>1346</v>
      </c>
      <c r="AK654" s="3"/>
      <c r="AL654" s="3" t="s">
        <v>128</v>
      </c>
      <c r="AM654" s="3" t="s">
        <v>65</v>
      </c>
      <c r="AN654" s="3"/>
      <c r="AO654" s="4">
        <v>44259.0</v>
      </c>
      <c r="AP654" s="4">
        <v>44259.4750810185</v>
      </c>
      <c r="AQ654" s="3" t="s">
        <v>132</v>
      </c>
      <c r="AR654" s="3" t="s">
        <v>6533</v>
      </c>
      <c r="AS654" s="3"/>
      <c r="AT654" s="4">
        <v>44281.0337152778</v>
      </c>
    </row>
    <row r="655" ht="15.75" customHeight="1">
      <c r="A655" s="3">
        <v>2044164.0</v>
      </c>
      <c r="B655" s="3" t="s">
        <v>116</v>
      </c>
      <c r="C655" s="3" t="s">
        <v>117</v>
      </c>
      <c r="D655" s="3" t="s">
        <v>46</v>
      </c>
      <c r="E655" s="3" t="s">
        <v>7639</v>
      </c>
      <c r="F655" s="3"/>
      <c r="G655" s="3" t="s">
        <v>119</v>
      </c>
      <c r="H655" s="3" t="s">
        <v>50</v>
      </c>
      <c r="I655" s="3">
        <v>108925.0</v>
      </c>
      <c r="J655" s="3"/>
      <c r="K655" s="3"/>
      <c r="L655" s="3" t="s">
        <v>1737</v>
      </c>
      <c r="M655" s="3" t="s">
        <v>7640</v>
      </c>
      <c r="N655" s="3" t="s">
        <v>186</v>
      </c>
      <c r="O655" s="3" t="s">
        <v>302</v>
      </c>
      <c r="P655" s="4">
        <v>44257.375</v>
      </c>
      <c r="Q655" s="3" t="s">
        <v>56</v>
      </c>
      <c r="R655" s="3"/>
      <c r="S655" s="3" t="s">
        <v>169</v>
      </c>
      <c r="T655" s="3">
        <v>5300108.0</v>
      </c>
      <c r="U655" s="3" t="s">
        <v>304</v>
      </c>
      <c r="V655" s="3" t="s">
        <v>305</v>
      </c>
      <c r="W655" s="3" t="s">
        <v>60</v>
      </c>
      <c r="X655" s="3"/>
      <c r="Y655" s="3"/>
      <c r="Z655" s="3" t="s">
        <v>306</v>
      </c>
      <c r="AA655" s="3" t="s">
        <v>61</v>
      </c>
      <c r="AB655" s="3" t="str">
        <f>"33000167000101"</f>
        <v>33000167000101</v>
      </c>
      <c r="AC655" s="3"/>
      <c r="AD655" s="3"/>
      <c r="AE655" s="3"/>
      <c r="AF655" s="3">
        <v>-48.023333</v>
      </c>
      <c r="AG655" s="3">
        <v>-15.879444</v>
      </c>
      <c r="AH655" s="3" t="s">
        <v>7641</v>
      </c>
      <c r="AI655" s="3"/>
      <c r="AJ655" s="3" t="s">
        <v>1737</v>
      </c>
      <c r="AK655" s="3"/>
      <c r="AL655" s="3" t="s">
        <v>128</v>
      </c>
      <c r="AM655" s="3" t="s">
        <v>65</v>
      </c>
      <c r="AN655" s="3" t="s">
        <v>1743</v>
      </c>
      <c r="AO655" s="4">
        <v>44264.0</v>
      </c>
      <c r="AP655" s="4">
        <v>44264.4938657407</v>
      </c>
      <c r="AQ655" s="3" t="s">
        <v>132</v>
      </c>
      <c r="AR655" s="3" t="s">
        <v>1745</v>
      </c>
      <c r="AS655" s="3" t="s">
        <v>7642</v>
      </c>
      <c r="AT655" s="4">
        <v>44281.0337152778</v>
      </c>
    </row>
    <row r="656" ht="15.75" customHeight="1">
      <c r="A656" s="3">
        <v>2044233.0</v>
      </c>
      <c r="B656" s="3" t="s">
        <v>116</v>
      </c>
      <c r="C656" s="3" t="s">
        <v>117</v>
      </c>
      <c r="D656" s="3" t="s">
        <v>46</v>
      </c>
      <c r="E656" s="3" t="s">
        <v>7643</v>
      </c>
      <c r="F656" s="3"/>
      <c r="G656" s="3" t="s">
        <v>119</v>
      </c>
      <c r="H656" s="3" t="s">
        <v>50</v>
      </c>
      <c r="I656" s="3">
        <v>1000.0</v>
      </c>
      <c r="J656" s="3"/>
      <c r="K656" s="3"/>
      <c r="L656" s="3" t="s">
        <v>295</v>
      </c>
      <c r="M656" s="3" t="s">
        <v>7644</v>
      </c>
      <c r="N656" s="3" t="s">
        <v>53</v>
      </c>
      <c r="O656" s="3" t="s">
        <v>382</v>
      </c>
      <c r="P656" s="4">
        <v>44257.375</v>
      </c>
      <c r="Q656" s="3" t="s">
        <v>56</v>
      </c>
      <c r="R656" s="3"/>
      <c r="S656" s="3" t="s">
        <v>288</v>
      </c>
      <c r="T656" s="3">
        <v>2203305.0</v>
      </c>
      <c r="U656" s="3" t="s">
        <v>7645</v>
      </c>
      <c r="V656" s="3" t="s">
        <v>290</v>
      </c>
      <c r="W656" s="3" t="s">
        <v>291</v>
      </c>
      <c r="X656" s="3"/>
      <c r="Y656" s="3" t="str">
        <f>"02020000404202123"</f>
        <v>02020000404202123</v>
      </c>
      <c r="Z656" s="3" t="s">
        <v>384</v>
      </c>
      <c r="AA656" s="3" t="s">
        <v>7646</v>
      </c>
      <c r="AB656" s="3" t="str">
        <f>"11842936000186"</f>
        <v>11842936000186</v>
      </c>
      <c r="AC656" s="3"/>
      <c r="AD656" s="3"/>
      <c r="AE656" s="3"/>
      <c r="AF656" s="3">
        <v>-42.763611</v>
      </c>
      <c r="AG656" s="3">
        <v>-5.06</v>
      </c>
      <c r="AH656" s="3" t="s">
        <v>7647</v>
      </c>
      <c r="AI656" s="3"/>
      <c r="AJ656" s="3" t="s">
        <v>295</v>
      </c>
      <c r="AK656" s="3"/>
      <c r="AL656" s="3" t="s">
        <v>128</v>
      </c>
      <c r="AM656" s="3" t="s">
        <v>65</v>
      </c>
      <c r="AN656" s="3" t="s">
        <v>296</v>
      </c>
      <c r="AO656" s="4">
        <v>44265.0</v>
      </c>
      <c r="AP656" s="4">
        <v>44265.7235532407</v>
      </c>
      <c r="AQ656" s="3" t="s">
        <v>132</v>
      </c>
      <c r="AR656" s="3" t="s">
        <v>531</v>
      </c>
      <c r="AS656" s="3"/>
      <c r="AT656" s="4">
        <v>44281.0337152778</v>
      </c>
    </row>
    <row r="657" ht="15.75" customHeight="1">
      <c r="A657" s="3">
        <v>2044235.0</v>
      </c>
      <c r="B657" s="3" t="s">
        <v>116</v>
      </c>
      <c r="C657" s="3" t="s">
        <v>117</v>
      </c>
      <c r="D657" s="3" t="s">
        <v>46</v>
      </c>
      <c r="E657" s="3" t="s">
        <v>7648</v>
      </c>
      <c r="F657" s="3"/>
      <c r="G657" s="3" t="s">
        <v>119</v>
      </c>
      <c r="H657" s="3" t="s">
        <v>50</v>
      </c>
      <c r="I657" s="3">
        <v>1000.0</v>
      </c>
      <c r="J657" s="3"/>
      <c r="K657" s="3"/>
      <c r="L657" s="3" t="s">
        <v>295</v>
      </c>
      <c r="M657" s="3" t="s">
        <v>7649</v>
      </c>
      <c r="N657" s="3" t="s">
        <v>53</v>
      </c>
      <c r="O657" s="3" t="s">
        <v>382</v>
      </c>
      <c r="P657" s="4">
        <v>44257.375</v>
      </c>
      <c r="Q657" s="3" t="s">
        <v>56</v>
      </c>
      <c r="R657" s="3"/>
      <c r="S657" s="3" t="s">
        <v>288</v>
      </c>
      <c r="T657" s="3">
        <v>2206407.0</v>
      </c>
      <c r="U657" s="3" t="s">
        <v>7650</v>
      </c>
      <c r="V657" s="3" t="s">
        <v>290</v>
      </c>
      <c r="W657" s="3" t="s">
        <v>291</v>
      </c>
      <c r="X657" s="3"/>
      <c r="Y657" s="3" t="str">
        <f>"02020000406202112"</f>
        <v>02020000406202112</v>
      </c>
      <c r="Z657" s="3" t="s">
        <v>384</v>
      </c>
      <c r="AA657" s="3" t="s">
        <v>7651</v>
      </c>
      <c r="AB657" s="3" t="str">
        <f>"09234796000111"</f>
        <v>09234796000111</v>
      </c>
      <c r="AC657" s="3"/>
      <c r="AD657" s="3"/>
      <c r="AE657" s="3"/>
      <c r="AF657" s="3">
        <v>-42.763611</v>
      </c>
      <c r="AG657" s="3">
        <v>-5.06</v>
      </c>
      <c r="AH657" s="3" t="s">
        <v>7652</v>
      </c>
      <c r="AI657" s="3"/>
      <c r="AJ657" s="3" t="s">
        <v>295</v>
      </c>
      <c r="AK657" s="3"/>
      <c r="AL657" s="3" t="s">
        <v>128</v>
      </c>
      <c r="AM657" s="3" t="s">
        <v>65</v>
      </c>
      <c r="AN657" s="3" t="s">
        <v>296</v>
      </c>
      <c r="AO657" s="4">
        <v>44265.0</v>
      </c>
      <c r="AP657" s="4">
        <v>44265.7250115741</v>
      </c>
      <c r="AQ657" s="3" t="s">
        <v>132</v>
      </c>
      <c r="AR657" s="3" t="s">
        <v>531</v>
      </c>
      <c r="AS657" s="3"/>
      <c r="AT657" s="4">
        <v>44281.0337152778</v>
      </c>
    </row>
    <row r="658" ht="15.75" customHeight="1">
      <c r="A658" s="3">
        <v>2043874.0</v>
      </c>
      <c r="B658" s="3" t="s">
        <v>116</v>
      </c>
      <c r="C658" s="3" t="s">
        <v>117</v>
      </c>
      <c r="D658" s="3" t="s">
        <v>46</v>
      </c>
      <c r="E658" s="3" t="s">
        <v>7653</v>
      </c>
      <c r="F658" s="3"/>
      <c r="G658" s="3" t="s">
        <v>119</v>
      </c>
      <c r="H658" s="3" t="s">
        <v>50</v>
      </c>
      <c r="I658" s="3">
        <v>1100.0</v>
      </c>
      <c r="J658" s="3"/>
      <c r="K658" s="3"/>
      <c r="L658" s="3" t="s">
        <v>485</v>
      </c>
      <c r="M658" s="3" t="s">
        <v>7654</v>
      </c>
      <c r="N658" s="3" t="s">
        <v>285</v>
      </c>
      <c r="O658" s="3" t="s">
        <v>286</v>
      </c>
      <c r="P658" s="4">
        <v>44257.2083333333</v>
      </c>
      <c r="Q658" s="3" t="s">
        <v>56</v>
      </c>
      <c r="R658" s="5">
        <v>44257.0</v>
      </c>
      <c r="S658" s="3" t="s">
        <v>488</v>
      </c>
      <c r="T658" s="3">
        <v>1720903.0</v>
      </c>
      <c r="U658" s="3" t="s">
        <v>7655</v>
      </c>
      <c r="V658" s="3" t="s">
        <v>490</v>
      </c>
      <c r="W658" s="3" t="s">
        <v>172</v>
      </c>
      <c r="X658" s="3"/>
      <c r="Y658" s="3" t="str">
        <f>"02029000227202103"</f>
        <v>02029000227202103</v>
      </c>
      <c r="Z658" s="3" t="s">
        <v>292</v>
      </c>
      <c r="AA658" s="3" t="s">
        <v>7656</v>
      </c>
      <c r="AB658" s="3" t="str">
        <f>"01855140000104"</f>
        <v>01855140000104</v>
      </c>
      <c r="AC658" s="3"/>
      <c r="AD658" s="3"/>
      <c r="AE658" s="3"/>
      <c r="AF658" s="3">
        <v>-48.332778</v>
      </c>
      <c r="AG658" s="3">
        <v>-10.208611</v>
      </c>
      <c r="AH658" s="3" t="s">
        <v>7657</v>
      </c>
      <c r="AI658" s="3"/>
      <c r="AJ658" s="3" t="s">
        <v>485</v>
      </c>
      <c r="AK658" s="3"/>
      <c r="AL658" s="3" t="s">
        <v>128</v>
      </c>
      <c r="AM658" s="3" t="s">
        <v>65</v>
      </c>
      <c r="AN658" s="3" t="s">
        <v>296</v>
      </c>
      <c r="AO658" s="4">
        <v>44257.0</v>
      </c>
      <c r="AP658" s="4">
        <v>44257.446099537</v>
      </c>
      <c r="AQ658" s="3" t="s">
        <v>132</v>
      </c>
      <c r="AR658" s="3" t="s">
        <v>531</v>
      </c>
      <c r="AS658" s="3"/>
      <c r="AT658" s="4">
        <v>44281.0337152778</v>
      </c>
    </row>
    <row r="659" ht="15.75" customHeight="1">
      <c r="A659" s="3"/>
      <c r="B659" s="3" t="s">
        <v>46</v>
      </c>
      <c r="C659" s="3" t="s">
        <v>47</v>
      </c>
      <c r="D659" s="3"/>
      <c r="E659" s="3" t="s">
        <v>7658</v>
      </c>
      <c r="F659" s="3"/>
      <c r="G659" s="3" t="s">
        <v>49</v>
      </c>
      <c r="H659" s="3" t="s">
        <v>72</v>
      </c>
      <c r="I659" s="3">
        <v>6000.0</v>
      </c>
      <c r="J659" s="3"/>
      <c r="K659" s="3"/>
      <c r="L659" s="3"/>
      <c r="M659" s="3" t="s">
        <v>7659</v>
      </c>
      <c r="N659" s="3" t="s">
        <v>109</v>
      </c>
      <c r="O659" s="3" t="s">
        <v>110</v>
      </c>
      <c r="P659" s="4">
        <v>44257.0420717593</v>
      </c>
      <c r="Q659" s="3" t="s">
        <v>137</v>
      </c>
      <c r="R659" s="3"/>
      <c r="S659" s="3" t="s">
        <v>220</v>
      </c>
      <c r="T659" s="3">
        <v>2103000.0</v>
      </c>
      <c r="U659" s="3" t="s">
        <v>7624</v>
      </c>
      <c r="V659" s="3" t="s">
        <v>449</v>
      </c>
      <c r="W659" s="3" t="s">
        <v>172</v>
      </c>
      <c r="X659" s="3"/>
      <c r="Y659" s="3"/>
      <c r="Z659" s="3" t="s">
        <v>112</v>
      </c>
      <c r="AA659" s="3" t="s">
        <v>7660</v>
      </c>
      <c r="AB659" s="3" t="str">
        <f>"***412844**"</f>
        <v>***412844**</v>
      </c>
      <c r="AC659" s="3"/>
      <c r="AD659" s="3" t="s">
        <v>81</v>
      </c>
      <c r="AE659" s="3"/>
      <c r="AF659" s="3">
        <v>-43.428056</v>
      </c>
      <c r="AG659" s="3">
        <v>4.860278</v>
      </c>
      <c r="AH659" s="3" t="s">
        <v>7661</v>
      </c>
      <c r="AI659" s="3"/>
      <c r="AJ659" s="3" t="s">
        <v>452</v>
      </c>
      <c r="AK659" s="3"/>
      <c r="AL659" s="3"/>
      <c r="AM659" s="3" t="s">
        <v>65</v>
      </c>
      <c r="AN659" s="3"/>
      <c r="AO659" s="3"/>
      <c r="AP659" s="4">
        <v>44265.6540856481</v>
      </c>
      <c r="AQ659" s="3"/>
      <c r="AR659" s="3" t="s">
        <v>177</v>
      </c>
      <c r="AS659" s="3"/>
      <c r="AT659" s="4">
        <v>44281.0337152778</v>
      </c>
    </row>
    <row r="660" ht="15.75" customHeight="1">
      <c r="A660" s="3"/>
      <c r="B660" s="3" t="s">
        <v>46</v>
      </c>
      <c r="C660" s="3" t="s">
        <v>47</v>
      </c>
      <c r="D660" s="3"/>
      <c r="E660" s="3" t="s">
        <v>7662</v>
      </c>
      <c r="F660" s="3"/>
      <c r="G660" s="3" t="s">
        <v>49</v>
      </c>
      <c r="H660" s="3" t="s">
        <v>50</v>
      </c>
      <c r="I660" s="3">
        <v>410000.0</v>
      </c>
      <c r="J660" s="3"/>
      <c r="K660" s="3"/>
      <c r="L660" s="3"/>
      <c r="M660" s="3" t="s">
        <v>7663</v>
      </c>
      <c r="N660" s="3" t="s">
        <v>94</v>
      </c>
      <c r="O660" s="3" t="s">
        <v>95</v>
      </c>
      <c r="P660" s="4">
        <v>44256.9460300926</v>
      </c>
      <c r="Q660" s="3" t="s">
        <v>56</v>
      </c>
      <c r="R660" s="3"/>
      <c r="S660" s="3" t="s">
        <v>1639</v>
      </c>
      <c r="T660" s="3">
        <v>5103700.0</v>
      </c>
      <c r="U660" s="3" t="s">
        <v>5069</v>
      </c>
      <c r="V660" s="3" t="s">
        <v>323</v>
      </c>
      <c r="W660" s="3" t="s">
        <v>100</v>
      </c>
      <c r="X660" s="3"/>
      <c r="Y660" s="3"/>
      <c r="Z660" s="3" t="s">
        <v>101</v>
      </c>
      <c r="AA660" s="3" t="s">
        <v>7664</v>
      </c>
      <c r="AB660" s="3" t="str">
        <f>"***915089**"</f>
        <v>***915089**</v>
      </c>
      <c r="AC660" s="3"/>
      <c r="AD660" s="3" t="s">
        <v>81</v>
      </c>
      <c r="AE660" s="3"/>
      <c r="AF660" s="3">
        <v>-54.795556</v>
      </c>
      <c r="AG660" s="3">
        <v>-12.500556</v>
      </c>
      <c r="AH660" s="3" t="s">
        <v>7665</v>
      </c>
      <c r="AI660" s="3"/>
      <c r="AJ660" s="3" t="s">
        <v>327</v>
      </c>
      <c r="AK660" s="3"/>
      <c r="AL660" s="3"/>
      <c r="AM660" s="3" t="s">
        <v>65</v>
      </c>
      <c r="AN660" s="3" t="s">
        <v>274</v>
      </c>
      <c r="AO660" s="3"/>
      <c r="AP660" s="4">
        <v>44256.9598611111</v>
      </c>
      <c r="AQ660" s="3"/>
      <c r="AR660" s="3" t="s">
        <v>684</v>
      </c>
      <c r="AS660" s="3"/>
      <c r="AT660" s="4">
        <v>44281.0337152778</v>
      </c>
    </row>
    <row r="661" ht="15.75" customHeight="1">
      <c r="A661" s="3">
        <v>2044114.0</v>
      </c>
      <c r="B661" s="3" t="s">
        <v>116</v>
      </c>
      <c r="C661" s="3" t="s">
        <v>117</v>
      </c>
      <c r="D661" s="3" t="s">
        <v>46</v>
      </c>
      <c r="E661" s="3" t="s">
        <v>7666</v>
      </c>
      <c r="F661" s="3"/>
      <c r="G661" s="3" t="s">
        <v>119</v>
      </c>
      <c r="H661" s="3" t="s">
        <v>50</v>
      </c>
      <c r="I661" s="3">
        <v>1000.0</v>
      </c>
      <c r="J661" s="3"/>
      <c r="K661" s="3"/>
      <c r="L661" s="3" t="s">
        <v>295</v>
      </c>
      <c r="M661" s="3" t="s">
        <v>7667</v>
      </c>
      <c r="N661" s="3" t="s">
        <v>186</v>
      </c>
      <c r="O661" s="3" t="s">
        <v>95</v>
      </c>
      <c r="P661" s="4">
        <v>44256.625</v>
      </c>
      <c r="Q661" s="3" t="s">
        <v>56</v>
      </c>
      <c r="R661" s="3"/>
      <c r="S661" s="3" t="s">
        <v>288</v>
      </c>
      <c r="T661" s="3">
        <v>2210052.0</v>
      </c>
      <c r="U661" s="3" t="s">
        <v>7668</v>
      </c>
      <c r="V661" s="3" t="s">
        <v>290</v>
      </c>
      <c r="W661" s="3" t="s">
        <v>291</v>
      </c>
      <c r="X661" s="3"/>
      <c r="Y661" s="3" t="str">
        <f>"02020000384202191"</f>
        <v>02020000384202191</v>
      </c>
      <c r="Z661" s="3" t="s">
        <v>101</v>
      </c>
      <c r="AA661" s="3" t="s">
        <v>7669</v>
      </c>
      <c r="AB661" s="3" t="str">
        <f>"01778517000179"</f>
        <v>01778517000179</v>
      </c>
      <c r="AC661" s="3"/>
      <c r="AD661" s="3"/>
      <c r="AE661" s="3"/>
      <c r="AF661" s="3">
        <v>-41.829167</v>
      </c>
      <c r="AG661" s="3">
        <v>-3.810833</v>
      </c>
      <c r="AH661" s="3" t="s">
        <v>7670</v>
      </c>
      <c r="AI661" s="3"/>
      <c r="AJ661" s="3" t="s">
        <v>295</v>
      </c>
      <c r="AK661" s="3"/>
      <c r="AL661" s="3" t="s">
        <v>128</v>
      </c>
      <c r="AM661" s="3" t="s">
        <v>65</v>
      </c>
      <c r="AN661" s="3" t="s">
        <v>296</v>
      </c>
      <c r="AO661" s="4">
        <v>44263.0</v>
      </c>
      <c r="AP661" s="4">
        <v>44263.6102199074</v>
      </c>
      <c r="AQ661" s="3" t="s">
        <v>132</v>
      </c>
      <c r="AR661" s="3" t="s">
        <v>531</v>
      </c>
      <c r="AS661" s="3"/>
      <c r="AT661" s="4">
        <v>44281.0337152778</v>
      </c>
    </row>
    <row r="662" ht="15.75" customHeight="1">
      <c r="A662" s="3">
        <v>2044193.0</v>
      </c>
      <c r="B662" s="3" t="s">
        <v>116</v>
      </c>
      <c r="C662" s="3" t="s">
        <v>117</v>
      </c>
      <c r="D662" s="3" t="s">
        <v>46</v>
      </c>
      <c r="E662" s="3" t="s">
        <v>7671</v>
      </c>
      <c r="F662" s="3"/>
      <c r="G662" s="3" t="s">
        <v>119</v>
      </c>
      <c r="H662" s="3" t="s">
        <v>72</v>
      </c>
      <c r="I662" s="3">
        <v>80000.0</v>
      </c>
      <c r="J662" s="3"/>
      <c r="K662" s="3"/>
      <c r="L662" s="3" t="s">
        <v>120</v>
      </c>
      <c r="M662" s="3" t="s">
        <v>7672</v>
      </c>
      <c r="N662" s="3" t="s">
        <v>109</v>
      </c>
      <c r="O662" s="3" t="s">
        <v>110</v>
      </c>
      <c r="P662" s="4">
        <v>44256.625</v>
      </c>
      <c r="Q662" s="3" t="s">
        <v>77</v>
      </c>
      <c r="R662" s="5">
        <v>44256.0</v>
      </c>
      <c r="S662" s="3" t="s">
        <v>915</v>
      </c>
      <c r="T662" s="3">
        <v>1505031.0</v>
      </c>
      <c r="U662" s="3" t="s">
        <v>5077</v>
      </c>
      <c r="V662" s="3" t="s">
        <v>917</v>
      </c>
      <c r="W662" s="3" t="s">
        <v>100</v>
      </c>
      <c r="X662" s="3"/>
      <c r="Y662" s="3" t="str">
        <f>"02001004855202168"</f>
        <v>02001004855202168</v>
      </c>
      <c r="Z662" s="3" t="s">
        <v>112</v>
      </c>
      <c r="AA662" s="3" t="s">
        <v>7673</v>
      </c>
      <c r="AB662" s="3" t="str">
        <f>"***969422**"</f>
        <v>***969422**</v>
      </c>
      <c r="AC662" s="3"/>
      <c r="AD662" s="3"/>
      <c r="AE662" s="3"/>
      <c r="AF662" s="3">
        <v>-55.245667</v>
      </c>
      <c r="AG662" s="3">
        <v>-7.902833</v>
      </c>
      <c r="AH662" s="3" t="s">
        <v>7674</v>
      </c>
      <c r="AI662" s="3"/>
      <c r="AJ662" s="3" t="s">
        <v>120</v>
      </c>
      <c r="AK662" s="3"/>
      <c r="AL662" s="3" t="s">
        <v>128</v>
      </c>
      <c r="AM662" s="3" t="s">
        <v>65</v>
      </c>
      <c r="AN662" s="3" t="s">
        <v>6870</v>
      </c>
      <c r="AO662" s="4">
        <v>44265.0</v>
      </c>
      <c r="AP662" s="4">
        <v>44265.345625</v>
      </c>
      <c r="AQ662" s="3" t="s">
        <v>132</v>
      </c>
      <c r="AR662" s="3" t="s">
        <v>6913</v>
      </c>
      <c r="AS662" s="3"/>
      <c r="AT662" s="4">
        <v>44281.0337152778</v>
      </c>
    </row>
    <row r="663" ht="15.75" customHeight="1">
      <c r="A663" s="3">
        <v>2044163.0</v>
      </c>
      <c r="B663" s="3" t="s">
        <v>116</v>
      </c>
      <c r="C663" s="3" t="s">
        <v>117</v>
      </c>
      <c r="D663" s="3" t="s">
        <v>46</v>
      </c>
      <c r="E663" s="3" t="s">
        <v>7675</v>
      </c>
      <c r="F663" s="3"/>
      <c r="G663" s="3" t="s">
        <v>119</v>
      </c>
      <c r="H663" s="3" t="s">
        <v>50</v>
      </c>
      <c r="I663" s="3">
        <v>108560.0</v>
      </c>
      <c r="J663" s="3"/>
      <c r="K663" s="3"/>
      <c r="L663" s="3" t="s">
        <v>1737</v>
      </c>
      <c r="M663" s="3" t="s">
        <v>7676</v>
      </c>
      <c r="N663" s="3" t="s">
        <v>186</v>
      </c>
      <c r="O663" s="3" t="s">
        <v>302</v>
      </c>
      <c r="P663" s="4">
        <v>44256.5833333333</v>
      </c>
      <c r="Q663" s="3" t="s">
        <v>56</v>
      </c>
      <c r="R663" s="3"/>
      <c r="S663" s="3" t="s">
        <v>169</v>
      </c>
      <c r="T663" s="3">
        <v>5300108.0</v>
      </c>
      <c r="U663" s="3" t="s">
        <v>304</v>
      </c>
      <c r="V663" s="3" t="s">
        <v>305</v>
      </c>
      <c r="W663" s="3" t="s">
        <v>60</v>
      </c>
      <c r="X663" s="3"/>
      <c r="Y663" s="3"/>
      <c r="Z663" s="3" t="s">
        <v>306</v>
      </c>
      <c r="AA663" s="3" t="s">
        <v>61</v>
      </c>
      <c r="AB663" s="3" t="str">
        <f>"33000167000101"</f>
        <v>33000167000101</v>
      </c>
      <c r="AC663" s="3"/>
      <c r="AD663" s="3"/>
      <c r="AE663" s="3"/>
      <c r="AF663" s="3">
        <v>-48.023333</v>
      </c>
      <c r="AG663" s="3">
        <v>-15.879444</v>
      </c>
      <c r="AH663" s="3" t="s">
        <v>7677</v>
      </c>
      <c r="AI663" s="3"/>
      <c r="AJ663" s="3" t="s">
        <v>1737</v>
      </c>
      <c r="AK663" s="3"/>
      <c r="AL663" s="3" t="s">
        <v>128</v>
      </c>
      <c r="AM663" s="3" t="s">
        <v>65</v>
      </c>
      <c r="AN663" s="3" t="s">
        <v>1743</v>
      </c>
      <c r="AO663" s="4">
        <v>44264.0</v>
      </c>
      <c r="AP663" s="4">
        <v>44264.4936226852</v>
      </c>
      <c r="AQ663" s="3" t="s">
        <v>132</v>
      </c>
      <c r="AR663" s="3" t="s">
        <v>1745</v>
      </c>
      <c r="AS663" s="3" t="s">
        <v>7678</v>
      </c>
      <c r="AT663" s="4">
        <v>44281.0337152778</v>
      </c>
    </row>
    <row r="664" ht="15.75" customHeight="1">
      <c r="A664" s="3">
        <v>2044169.0</v>
      </c>
      <c r="B664" s="3" t="s">
        <v>116</v>
      </c>
      <c r="C664" s="3" t="s">
        <v>117</v>
      </c>
      <c r="D664" s="3" t="s">
        <v>46</v>
      </c>
      <c r="E664" s="3" t="s">
        <v>7679</v>
      </c>
      <c r="F664" s="3"/>
      <c r="G664" s="3" t="s">
        <v>119</v>
      </c>
      <c r="H664" s="3" t="s">
        <v>50</v>
      </c>
      <c r="I664" s="3">
        <v>10000.0</v>
      </c>
      <c r="J664" s="3"/>
      <c r="K664" s="3"/>
      <c r="L664" s="3" t="s">
        <v>120</v>
      </c>
      <c r="M664" s="3" t="s">
        <v>7680</v>
      </c>
      <c r="N664" s="3" t="s">
        <v>109</v>
      </c>
      <c r="O664" s="3" t="s">
        <v>110</v>
      </c>
      <c r="P664" s="4">
        <v>44256.5833333333</v>
      </c>
      <c r="Q664" s="3" t="s">
        <v>77</v>
      </c>
      <c r="R664" s="5">
        <v>44256.0</v>
      </c>
      <c r="S664" s="3" t="s">
        <v>915</v>
      </c>
      <c r="T664" s="3">
        <v>1505031.0</v>
      </c>
      <c r="U664" s="3" t="s">
        <v>5077</v>
      </c>
      <c r="V664" s="3" t="s">
        <v>917</v>
      </c>
      <c r="W664" s="3" t="s">
        <v>100</v>
      </c>
      <c r="X664" s="3"/>
      <c r="Y664" s="3" t="str">
        <f>"02001004804202136"</f>
        <v>02001004804202136</v>
      </c>
      <c r="Z664" s="3" t="s">
        <v>112</v>
      </c>
      <c r="AA664" s="3" t="s">
        <v>7673</v>
      </c>
      <c r="AB664" s="3" t="str">
        <f>"***969422**"</f>
        <v>***969422**</v>
      </c>
      <c r="AC664" s="3"/>
      <c r="AD664" s="3"/>
      <c r="AE664" s="3"/>
      <c r="AF664" s="3">
        <v>-55.245667</v>
      </c>
      <c r="AG664" s="3">
        <v>-7.902833</v>
      </c>
      <c r="AH664" s="3" t="s">
        <v>7681</v>
      </c>
      <c r="AI664" s="3"/>
      <c r="AJ664" s="3" t="s">
        <v>120</v>
      </c>
      <c r="AK664" s="3"/>
      <c r="AL664" s="3" t="s">
        <v>128</v>
      </c>
      <c r="AM664" s="3" t="s">
        <v>65</v>
      </c>
      <c r="AN664" s="3" t="s">
        <v>6870</v>
      </c>
      <c r="AO664" s="4">
        <v>44264.0</v>
      </c>
      <c r="AP664" s="4">
        <v>44264.6113888889</v>
      </c>
      <c r="AQ664" s="3" t="s">
        <v>132</v>
      </c>
      <c r="AR664" s="3" t="s">
        <v>494</v>
      </c>
      <c r="AS664" s="3"/>
      <c r="AT664" s="4">
        <v>44281.0337152778</v>
      </c>
    </row>
    <row r="665" ht="15.75" customHeight="1">
      <c r="A665" s="3">
        <v>2044597.0</v>
      </c>
      <c r="B665" s="3" t="s">
        <v>116</v>
      </c>
      <c r="C665" s="3" t="s">
        <v>117</v>
      </c>
      <c r="D665" s="3" t="s">
        <v>46</v>
      </c>
      <c r="E665" s="3" t="s">
        <v>7682</v>
      </c>
      <c r="F665" s="3"/>
      <c r="G665" s="3" t="s">
        <v>119</v>
      </c>
      <c r="H665" s="3" t="s">
        <v>50</v>
      </c>
      <c r="I665" s="3">
        <v>1500.0</v>
      </c>
      <c r="J665" s="3"/>
      <c r="K665" s="3"/>
      <c r="L665" s="3" t="s">
        <v>104</v>
      </c>
      <c r="M665" s="3" t="s">
        <v>7683</v>
      </c>
      <c r="N665" s="3" t="s">
        <v>186</v>
      </c>
      <c r="O665" s="3" t="s">
        <v>95</v>
      </c>
      <c r="P665" s="4">
        <v>44256.5416666667</v>
      </c>
      <c r="Q665" s="3" t="s">
        <v>56</v>
      </c>
      <c r="R665" s="3"/>
      <c r="S665" s="3" t="s">
        <v>220</v>
      </c>
      <c r="T665" s="3">
        <v>1301704.0</v>
      </c>
      <c r="U665" s="3" t="s">
        <v>98</v>
      </c>
      <c r="V665" s="3" t="s">
        <v>99</v>
      </c>
      <c r="W665" s="3" t="s">
        <v>100</v>
      </c>
      <c r="X665" s="3"/>
      <c r="Y665" s="3" t="str">
        <f>"02005000355202117"</f>
        <v>02005000355202117</v>
      </c>
      <c r="Z665" s="3" t="s">
        <v>101</v>
      </c>
      <c r="AA665" s="3" t="s">
        <v>7684</v>
      </c>
      <c r="AB665" s="3" t="str">
        <f>"12411772000103"</f>
        <v>12411772000103</v>
      </c>
      <c r="AC665" s="3"/>
      <c r="AD665" s="3"/>
      <c r="AE665" s="3"/>
      <c r="AF665" s="3">
        <v>-63.077778</v>
      </c>
      <c r="AG665" s="3">
        <v>-7.551111</v>
      </c>
      <c r="AH665" s="3" t="s">
        <v>103</v>
      </c>
      <c r="AI665" s="3"/>
      <c r="AJ665" s="3" t="s">
        <v>104</v>
      </c>
      <c r="AK665" s="3"/>
      <c r="AL665" s="3" t="s">
        <v>128</v>
      </c>
      <c r="AM665" s="3" t="s">
        <v>65</v>
      </c>
      <c r="AN665" s="3"/>
      <c r="AO665" s="4">
        <v>44278.0</v>
      </c>
      <c r="AP665" s="4">
        <v>44278.4964814815</v>
      </c>
      <c r="AQ665" s="3" t="s">
        <v>132</v>
      </c>
      <c r="AR665" s="3" t="s">
        <v>247</v>
      </c>
      <c r="AS665" s="3"/>
      <c r="AT665" s="4">
        <v>44281.0337152778</v>
      </c>
    </row>
    <row r="666" ht="15.75" customHeight="1">
      <c r="A666" s="3">
        <v>2043909.0</v>
      </c>
      <c r="B666" s="3" t="s">
        <v>116</v>
      </c>
      <c r="C666" s="3" t="s">
        <v>117</v>
      </c>
      <c r="D666" s="3" t="s">
        <v>46</v>
      </c>
      <c r="E666" s="3" t="s">
        <v>7685</v>
      </c>
      <c r="F666" s="3"/>
      <c r="G666" s="3" t="s">
        <v>119</v>
      </c>
      <c r="H666" s="3" t="s">
        <v>72</v>
      </c>
      <c r="I666" s="3">
        <v>150.0</v>
      </c>
      <c r="J666" s="3"/>
      <c r="K666" s="3"/>
      <c r="L666" s="3" t="s">
        <v>175</v>
      </c>
      <c r="M666" s="3" t="s">
        <v>947</v>
      </c>
      <c r="N666" s="3" t="s">
        <v>186</v>
      </c>
      <c r="O666" s="3" t="s">
        <v>95</v>
      </c>
      <c r="P666" s="4">
        <v>44256.5</v>
      </c>
      <c r="Q666" s="3" t="s">
        <v>56</v>
      </c>
      <c r="R666" s="3"/>
      <c r="S666" s="3" t="s">
        <v>169</v>
      </c>
      <c r="T666" s="3">
        <v>5207535.0</v>
      </c>
      <c r="U666" s="3" t="s">
        <v>7686</v>
      </c>
      <c r="V666" s="3" t="s">
        <v>171</v>
      </c>
      <c r="W666" s="3" t="s">
        <v>172</v>
      </c>
      <c r="X666" s="3"/>
      <c r="Y666" s="3" t="str">
        <f>"02010000330202144"</f>
        <v>02010000330202144</v>
      </c>
      <c r="Z666" s="3" t="s">
        <v>101</v>
      </c>
      <c r="AA666" s="3" t="s">
        <v>7687</v>
      </c>
      <c r="AB666" s="3" t="str">
        <f>"13229739000111"</f>
        <v>13229739000111</v>
      </c>
      <c r="AC666" s="3"/>
      <c r="AD666" s="3"/>
      <c r="AE666" s="3"/>
      <c r="AF666" s="3">
        <v>-50.267222</v>
      </c>
      <c r="AG666" s="3">
        <v>-15.578333</v>
      </c>
      <c r="AH666" s="3" t="s">
        <v>7688</v>
      </c>
      <c r="AI666" s="3"/>
      <c r="AJ666" s="3" t="s">
        <v>175</v>
      </c>
      <c r="AK666" s="3"/>
      <c r="AL666" s="3" t="s">
        <v>128</v>
      </c>
      <c r="AM666" s="3" t="s">
        <v>65</v>
      </c>
      <c r="AN666" s="3" t="s">
        <v>83</v>
      </c>
      <c r="AO666" s="4">
        <v>44257.0</v>
      </c>
      <c r="AP666" s="4">
        <v>44257.6984606481</v>
      </c>
      <c r="AQ666" s="3" t="s">
        <v>132</v>
      </c>
      <c r="AR666" s="3" t="s">
        <v>952</v>
      </c>
      <c r="AS666" s="3" t="s">
        <v>7689</v>
      </c>
      <c r="AT666" s="4">
        <v>44281.0337152778</v>
      </c>
    </row>
    <row r="667" ht="15.75" customHeight="1">
      <c r="A667" s="3">
        <v>2043855.0</v>
      </c>
      <c r="B667" s="3" t="s">
        <v>116</v>
      </c>
      <c r="C667" s="3" t="s">
        <v>117</v>
      </c>
      <c r="D667" s="3" t="s">
        <v>46</v>
      </c>
      <c r="E667" s="3" t="s">
        <v>7690</v>
      </c>
      <c r="F667" s="3"/>
      <c r="G667" s="3" t="s">
        <v>119</v>
      </c>
      <c r="H667" s="3" t="s">
        <v>72</v>
      </c>
      <c r="I667" s="3">
        <v>18000.0</v>
      </c>
      <c r="J667" s="3"/>
      <c r="K667" s="3"/>
      <c r="L667" s="3" t="s">
        <v>175</v>
      </c>
      <c r="M667" s="3" t="s">
        <v>7691</v>
      </c>
      <c r="N667" s="3" t="s">
        <v>257</v>
      </c>
      <c r="O667" s="3" t="s">
        <v>258</v>
      </c>
      <c r="P667" s="4">
        <v>44256.4583333333</v>
      </c>
      <c r="Q667" s="3" t="s">
        <v>56</v>
      </c>
      <c r="R667" s="5">
        <v>44256.0</v>
      </c>
      <c r="S667" s="3" t="s">
        <v>169</v>
      </c>
      <c r="T667" s="3">
        <v>5215603.0</v>
      </c>
      <c r="U667" s="3" t="s">
        <v>7692</v>
      </c>
      <c r="V667" s="3" t="s">
        <v>171</v>
      </c>
      <c r="W667" s="3" t="s">
        <v>172</v>
      </c>
      <c r="X667" s="3"/>
      <c r="Y667" s="3" t="str">
        <f>"02010000321202153"</f>
        <v>02010000321202153</v>
      </c>
      <c r="Z667" s="3" t="s">
        <v>260</v>
      </c>
      <c r="AA667" s="3" t="s">
        <v>7693</v>
      </c>
      <c r="AB667" s="3" t="str">
        <f>"***393541**"</f>
        <v>***393541**</v>
      </c>
      <c r="AC667" s="3"/>
      <c r="AD667" s="3"/>
      <c r="AE667" s="3"/>
      <c r="AF667" s="3">
        <v>-49.2725</v>
      </c>
      <c r="AG667" s="3">
        <v>-16.635</v>
      </c>
      <c r="AH667" s="3" t="s">
        <v>7694</v>
      </c>
      <c r="AI667" s="3"/>
      <c r="AJ667" s="3" t="s">
        <v>175</v>
      </c>
      <c r="AK667" s="3"/>
      <c r="AL667" s="3" t="s">
        <v>128</v>
      </c>
      <c r="AM667" s="3" t="s">
        <v>65</v>
      </c>
      <c r="AN667" s="3" t="s">
        <v>83</v>
      </c>
      <c r="AO667" s="4">
        <v>44256.0</v>
      </c>
      <c r="AP667" s="4">
        <v>44256.5956944445</v>
      </c>
      <c r="AQ667" s="3" t="s">
        <v>132</v>
      </c>
      <c r="AR667" s="3" t="s">
        <v>7695</v>
      </c>
      <c r="AS667" s="3"/>
      <c r="AT667" s="4">
        <v>44281.0337152778</v>
      </c>
    </row>
    <row r="668" ht="15.75" customHeight="1">
      <c r="A668" s="3">
        <v>2043894.0</v>
      </c>
      <c r="B668" s="3" t="s">
        <v>116</v>
      </c>
      <c r="C668" s="3" t="s">
        <v>117</v>
      </c>
      <c r="D668" s="3" t="s">
        <v>46</v>
      </c>
      <c r="E668" s="3" t="s">
        <v>7696</v>
      </c>
      <c r="F668" s="3"/>
      <c r="G668" s="3" t="s">
        <v>119</v>
      </c>
      <c r="H668" s="3" t="s">
        <v>72</v>
      </c>
      <c r="I668" s="3">
        <v>6967.8</v>
      </c>
      <c r="J668" s="3"/>
      <c r="K668" s="3"/>
      <c r="L668" s="3" t="s">
        <v>295</v>
      </c>
      <c r="M668" s="3" t="s">
        <v>7697</v>
      </c>
      <c r="N668" s="3" t="s">
        <v>109</v>
      </c>
      <c r="O668" s="3" t="s">
        <v>110</v>
      </c>
      <c r="P668" s="4">
        <v>44256.4583333333</v>
      </c>
      <c r="Q668" s="3" t="s">
        <v>56</v>
      </c>
      <c r="R668" s="3"/>
      <c r="S668" s="3" t="s">
        <v>288</v>
      </c>
      <c r="T668" s="3">
        <v>2211001.0</v>
      </c>
      <c r="U668" s="3" t="s">
        <v>527</v>
      </c>
      <c r="V668" s="3" t="s">
        <v>290</v>
      </c>
      <c r="W668" s="3" t="s">
        <v>100</v>
      </c>
      <c r="X668" s="3"/>
      <c r="Y668" s="3" t="str">
        <f>"02020000359202115"</f>
        <v>02020000359202115</v>
      </c>
      <c r="Z668" s="3" t="s">
        <v>112</v>
      </c>
      <c r="AA668" s="3" t="s">
        <v>7698</v>
      </c>
      <c r="AB668" s="3" t="str">
        <f>"***574052**"</f>
        <v>***574052**</v>
      </c>
      <c r="AC668" s="3"/>
      <c r="AD668" s="3"/>
      <c r="AE668" s="3"/>
      <c r="AF668" s="3">
        <v>-42.783889</v>
      </c>
      <c r="AG668" s="3">
        <v>-5.065</v>
      </c>
      <c r="AH668" s="3" t="s">
        <v>7699</v>
      </c>
      <c r="AI668" s="3"/>
      <c r="AJ668" s="3" t="s">
        <v>295</v>
      </c>
      <c r="AK668" s="3"/>
      <c r="AL668" s="3" t="s">
        <v>128</v>
      </c>
      <c r="AM668" s="3" t="s">
        <v>65</v>
      </c>
      <c r="AN668" s="3" t="s">
        <v>83</v>
      </c>
      <c r="AO668" s="4">
        <v>44257.0</v>
      </c>
      <c r="AP668" s="4">
        <v>44257.584849537</v>
      </c>
      <c r="AQ668" s="3" t="s">
        <v>132</v>
      </c>
      <c r="AR668" s="3" t="s">
        <v>133</v>
      </c>
      <c r="AS668" s="3"/>
      <c r="AT668" s="4">
        <v>44281.0337152778</v>
      </c>
    </row>
    <row r="669" ht="15.75" customHeight="1">
      <c r="A669" s="3">
        <v>2043907.0</v>
      </c>
      <c r="B669" s="3" t="s">
        <v>116</v>
      </c>
      <c r="C669" s="3" t="s">
        <v>117</v>
      </c>
      <c r="D669" s="3" t="s">
        <v>46</v>
      </c>
      <c r="E669" s="3" t="s">
        <v>7700</v>
      </c>
      <c r="F669" s="3"/>
      <c r="G669" s="3" t="s">
        <v>119</v>
      </c>
      <c r="H669" s="3" t="s">
        <v>72</v>
      </c>
      <c r="I669" s="3">
        <v>9792.0</v>
      </c>
      <c r="J669" s="3"/>
      <c r="K669" s="3"/>
      <c r="L669" s="3" t="s">
        <v>175</v>
      </c>
      <c r="M669" s="3" t="s">
        <v>1526</v>
      </c>
      <c r="N669" s="3" t="s">
        <v>109</v>
      </c>
      <c r="O669" s="3" t="s">
        <v>110</v>
      </c>
      <c r="P669" s="4">
        <v>44256.4583333333</v>
      </c>
      <c r="Q669" s="3" t="s">
        <v>56</v>
      </c>
      <c r="R669" s="3"/>
      <c r="S669" s="3" t="s">
        <v>169</v>
      </c>
      <c r="T669" s="3">
        <v>5207535.0</v>
      </c>
      <c r="U669" s="3" t="s">
        <v>7686</v>
      </c>
      <c r="V669" s="3" t="s">
        <v>171</v>
      </c>
      <c r="W669" s="3" t="s">
        <v>172</v>
      </c>
      <c r="X669" s="3"/>
      <c r="Y669" s="3" t="str">
        <f>"02010000328202175"</f>
        <v>02010000328202175</v>
      </c>
      <c r="Z669" s="3" t="s">
        <v>112</v>
      </c>
      <c r="AA669" s="3" t="s">
        <v>7687</v>
      </c>
      <c r="AB669" s="3" t="str">
        <f>"13229739000111"</f>
        <v>13229739000111</v>
      </c>
      <c r="AC669" s="3"/>
      <c r="AD669" s="3"/>
      <c r="AE669" s="3"/>
      <c r="AF669" s="3">
        <v>-50.267222</v>
      </c>
      <c r="AG669" s="3">
        <v>-15.578333</v>
      </c>
      <c r="AH669" s="3" t="s">
        <v>7701</v>
      </c>
      <c r="AI669" s="3"/>
      <c r="AJ669" s="3" t="s">
        <v>175</v>
      </c>
      <c r="AK669" s="3"/>
      <c r="AL669" s="3" t="s">
        <v>128</v>
      </c>
      <c r="AM669" s="3" t="s">
        <v>65</v>
      </c>
      <c r="AN669" s="3" t="s">
        <v>83</v>
      </c>
      <c r="AO669" s="4">
        <v>44257.0</v>
      </c>
      <c r="AP669" s="4">
        <v>44257.696099537</v>
      </c>
      <c r="AQ669" s="3" t="s">
        <v>132</v>
      </c>
      <c r="AR669" s="3" t="s">
        <v>470</v>
      </c>
      <c r="AS669" s="3"/>
      <c r="AT669" s="4">
        <v>44281.0337152778</v>
      </c>
    </row>
    <row r="670" ht="15.75" customHeight="1">
      <c r="A670" s="3">
        <v>2043908.0</v>
      </c>
      <c r="B670" s="3" t="s">
        <v>116</v>
      </c>
      <c r="C670" s="3" t="s">
        <v>117</v>
      </c>
      <c r="D670" s="3" t="s">
        <v>46</v>
      </c>
      <c r="E670" s="3" t="s">
        <v>7702</v>
      </c>
      <c r="F670" s="3"/>
      <c r="G670" s="3" t="s">
        <v>119</v>
      </c>
      <c r="H670" s="3" t="s">
        <v>72</v>
      </c>
      <c r="I670" s="3">
        <v>50.0</v>
      </c>
      <c r="J670" s="3"/>
      <c r="K670" s="3"/>
      <c r="L670" s="3" t="s">
        <v>175</v>
      </c>
      <c r="M670" s="3" t="s">
        <v>947</v>
      </c>
      <c r="N670" s="3" t="s">
        <v>186</v>
      </c>
      <c r="O670" s="3" t="s">
        <v>95</v>
      </c>
      <c r="P670" s="4">
        <v>44256.4583333333</v>
      </c>
      <c r="Q670" s="3" t="s">
        <v>56</v>
      </c>
      <c r="R670" s="3"/>
      <c r="S670" s="3" t="s">
        <v>169</v>
      </c>
      <c r="T670" s="3">
        <v>5207535.0</v>
      </c>
      <c r="U670" s="3" t="s">
        <v>7686</v>
      </c>
      <c r="V670" s="3" t="s">
        <v>171</v>
      </c>
      <c r="W670" s="3" t="s">
        <v>172</v>
      </c>
      <c r="X670" s="3"/>
      <c r="Y670" s="3" t="str">
        <f>"02010000329202110"</f>
        <v>02010000329202110</v>
      </c>
      <c r="Z670" s="3" t="s">
        <v>101</v>
      </c>
      <c r="AA670" s="3" t="s">
        <v>1529</v>
      </c>
      <c r="AB670" s="3" t="str">
        <f>"***924561**"</f>
        <v>***924561**</v>
      </c>
      <c r="AC670" s="3"/>
      <c r="AD670" s="3"/>
      <c r="AE670" s="3"/>
      <c r="AF670" s="3">
        <v>-50.267222</v>
      </c>
      <c r="AG670" s="3">
        <v>-15.578333</v>
      </c>
      <c r="AH670" s="3" t="s">
        <v>7701</v>
      </c>
      <c r="AI670" s="3"/>
      <c r="AJ670" s="3" t="s">
        <v>175</v>
      </c>
      <c r="AK670" s="3"/>
      <c r="AL670" s="3" t="s">
        <v>128</v>
      </c>
      <c r="AM670" s="3" t="s">
        <v>65</v>
      </c>
      <c r="AN670" s="3" t="s">
        <v>83</v>
      </c>
      <c r="AO670" s="4">
        <v>44257.0</v>
      </c>
      <c r="AP670" s="4">
        <v>44257.6975694444</v>
      </c>
      <c r="AQ670" s="3" t="s">
        <v>132</v>
      </c>
      <c r="AR670" s="3" t="s">
        <v>952</v>
      </c>
      <c r="AS670" s="3" t="s">
        <v>7689</v>
      </c>
      <c r="AT670" s="4">
        <v>44281.0337152778</v>
      </c>
    </row>
    <row r="671" ht="15.75" customHeight="1">
      <c r="A671" s="3">
        <v>2044232.0</v>
      </c>
      <c r="B671" s="3" t="s">
        <v>116</v>
      </c>
      <c r="C671" s="3" t="s">
        <v>117</v>
      </c>
      <c r="D671" s="3" t="s">
        <v>46</v>
      </c>
      <c r="E671" s="3" t="s">
        <v>7703</v>
      </c>
      <c r="F671" s="3"/>
      <c r="G671" s="3" t="s">
        <v>119</v>
      </c>
      <c r="H671" s="3" t="s">
        <v>50</v>
      </c>
      <c r="I671" s="3">
        <v>1100.0</v>
      </c>
      <c r="J671" s="3"/>
      <c r="K671" s="3"/>
      <c r="L671" s="3" t="s">
        <v>295</v>
      </c>
      <c r="M671" s="3" t="s">
        <v>7704</v>
      </c>
      <c r="N671" s="3" t="s">
        <v>53</v>
      </c>
      <c r="O671" s="3" t="s">
        <v>382</v>
      </c>
      <c r="P671" s="4">
        <v>44256.4583333333</v>
      </c>
      <c r="Q671" s="3" t="s">
        <v>56</v>
      </c>
      <c r="R671" s="3"/>
      <c r="S671" s="3" t="s">
        <v>288</v>
      </c>
      <c r="T671" s="3">
        <v>2203206.0</v>
      </c>
      <c r="U671" s="3" t="s">
        <v>7705</v>
      </c>
      <c r="V671" s="3" t="s">
        <v>290</v>
      </c>
      <c r="W671" s="3" t="s">
        <v>291</v>
      </c>
      <c r="X671" s="3"/>
      <c r="Y671" s="3" t="str">
        <f>"02020000403202189"</f>
        <v>02020000403202189</v>
      </c>
      <c r="Z671" s="3" t="s">
        <v>384</v>
      </c>
      <c r="AA671" s="3" t="s">
        <v>7706</v>
      </c>
      <c r="AB671" s="3" t="str">
        <f>"07083835000100"</f>
        <v>07083835000100</v>
      </c>
      <c r="AC671" s="3"/>
      <c r="AD671" s="3"/>
      <c r="AE671" s="3"/>
      <c r="AF671" s="3">
        <v>-42.763611</v>
      </c>
      <c r="AG671" s="3">
        <v>-5.06</v>
      </c>
      <c r="AH671" s="3" t="s">
        <v>7707</v>
      </c>
      <c r="AI671" s="3"/>
      <c r="AJ671" s="3" t="s">
        <v>295</v>
      </c>
      <c r="AK671" s="3"/>
      <c r="AL671" s="3" t="s">
        <v>128</v>
      </c>
      <c r="AM671" s="3" t="s">
        <v>65</v>
      </c>
      <c r="AN671" s="3" t="s">
        <v>296</v>
      </c>
      <c r="AO671" s="4">
        <v>44265.0</v>
      </c>
      <c r="AP671" s="4">
        <v>44265.7230092593</v>
      </c>
      <c r="AQ671" s="3" t="s">
        <v>132</v>
      </c>
      <c r="AR671" s="3" t="s">
        <v>531</v>
      </c>
      <c r="AS671" s="3"/>
      <c r="AT671" s="4">
        <v>44281.0337152778</v>
      </c>
    </row>
    <row r="672" ht="15.75" customHeight="1">
      <c r="A672" s="3">
        <v>2044234.0</v>
      </c>
      <c r="B672" s="3" t="s">
        <v>116</v>
      </c>
      <c r="C672" s="3" t="s">
        <v>117</v>
      </c>
      <c r="D672" s="3" t="s">
        <v>46</v>
      </c>
      <c r="E672" s="3" t="s">
        <v>7708</v>
      </c>
      <c r="F672" s="3"/>
      <c r="G672" s="3" t="s">
        <v>119</v>
      </c>
      <c r="H672" s="3" t="s">
        <v>50</v>
      </c>
      <c r="I672" s="3">
        <v>1000.0</v>
      </c>
      <c r="J672" s="3"/>
      <c r="K672" s="3"/>
      <c r="L672" s="3" t="s">
        <v>295</v>
      </c>
      <c r="M672" s="3" t="s">
        <v>7709</v>
      </c>
      <c r="N672" s="3" t="s">
        <v>53</v>
      </c>
      <c r="O672" s="3" t="s">
        <v>382</v>
      </c>
      <c r="P672" s="4">
        <v>44256.4583333333</v>
      </c>
      <c r="Q672" s="3" t="s">
        <v>56</v>
      </c>
      <c r="R672" s="3"/>
      <c r="S672" s="3" t="s">
        <v>288</v>
      </c>
      <c r="T672" s="3">
        <v>2211001.0</v>
      </c>
      <c r="U672" s="3" t="s">
        <v>527</v>
      </c>
      <c r="V672" s="3" t="s">
        <v>290</v>
      </c>
      <c r="W672" s="3" t="s">
        <v>291</v>
      </c>
      <c r="X672" s="3"/>
      <c r="Y672" s="3" t="str">
        <f>"02020000405202178"</f>
        <v>02020000405202178</v>
      </c>
      <c r="Z672" s="3" t="s">
        <v>384</v>
      </c>
      <c r="AA672" s="3" t="s">
        <v>7710</v>
      </c>
      <c r="AB672" s="3" t="str">
        <f>"13297012000171"</f>
        <v>13297012000171</v>
      </c>
      <c r="AC672" s="3"/>
      <c r="AD672" s="3"/>
      <c r="AE672" s="3"/>
      <c r="AF672" s="3">
        <v>-42.763611</v>
      </c>
      <c r="AG672" s="3">
        <v>-5.06</v>
      </c>
      <c r="AH672" s="3" t="s">
        <v>7711</v>
      </c>
      <c r="AI672" s="3"/>
      <c r="AJ672" s="3" t="s">
        <v>295</v>
      </c>
      <c r="AK672" s="3"/>
      <c r="AL672" s="3" t="s">
        <v>128</v>
      </c>
      <c r="AM672" s="3" t="s">
        <v>65</v>
      </c>
      <c r="AN672" s="3" t="s">
        <v>296</v>
      </c>
      <c r="AO672" s="4">
        <v>44265.0</v>
      </c>
      <c r="AP672" s="4">
        <v>44265.7246527778</v>
      </c>
      <c r="AQ672" s="3" t="s">
        <v>132</v>
      </c>
      <c r="AR672" s="3" t="s">
        <v>531</v>
      </c>
      <c r="AS672" s="3"/>
      <c r="AT672" s="4">
        <v>44281.0337152778</v>
      </c>
    </row>
    <row r="673" ht="15.75" customHeight="1">
      <c r="A673" s="3">
        <v>2044192.0</v>
      </c>
      <c r="B673" s="3" t="s">
        <v>116</v>
      </c>
      <c r="C673" s="3" t="s">
        <v>117</v>
      </c>
      <c r="D673" s="3" t="s">
        <v>46</v>
      </c>
      <c r="E673" s="3" t="s">
        <v>7712</v>
      </c>
      <c r="F673" s="3"/>
      <c r="G673" s="3" t="s">
        <v>119</v>
      </c>
      <c r="H673" s="3" t="s">
        <v>72</v>
      </c>
      <c r="I673" s="3">
        <v>150000.0</v>
      </c>
      <c r="J673" s="3"/>
      <c r="K673" s="3"/>
      <c r="L673" s="3" t="s">
        <v>120</v>
      </c>
      <c r="M673" s="3" t="s">
        <v>7713</v>
      </c>
      <c r="N673" s="3" t="s">
        <v>109</v>
      </c>
      <c r="O673" s="3" t="s">
        <v>110</v>
      </c>
      <c r="P673" s="4">
        <v>44256.4166666667</v>
      </c>
      <c r="Q673" s="3" t="s">
        <v>77</v>
      </c>
      <c r="R673" s="5">
        <v>44256.0</v>
      </c>
      <c r="S673" s="3" t="s">
        <v>220</v>
      </c>
      <c r="T673" s="3">
        <v>1505031.0</v>
      </c>
      <c r="U673" s="3" t="s">
        <v>5077</v>
      </c>
      <c r="V673" s="3" t="s">
        <v>917</v>
      </c>
      <c r="W673" s="3" t="s">
        <v>100</v>
      </c>
      <c r="X673" s="3"/>
      <c r="Y673" s="3" t="str">
        <f>"02001004854202113"</f>
        <v>02001004854202113</v>
      </c>
      <c r="Z673" s="3" t="s">
        <v>112</v>
      </c>
      <c r="AA673" s="3" t="s">
        <v>7714</v>
      </c>
      <c r="AB673" s="3" t="str">
        <f>"***437100**"</f>
        <v>***437100**</v>
      </c>
      <c r="AC673" s="3"/>
      <c r="AD673" s="3"/>
      <c r="AE673" s="3"/>
      <c r="AF673" s="3">
        <v>-55.235692</v>
      </c>
      <c r="AG673" s="3">
        <v>-7.885681</v>
      </c>
      <c r="AH673" s="3" t="s">
        <v>7715</v>
      </c>
      <c r="AI673" s="3"/>
      <c r="AJ673" s="3" t="s">
        <v>120</v>
      </c>
      <c r="AK673" s="3"/>
      <c r="AL673" s="3" t="s">
        <v>128</v>
      </c>
      <c r="AM673" s="3" t="s">
        <v>65</v>
      </c>
      <c r="AN673" s="3" t="s">
        <v>6870</v>
      </c>
      <c r="AO673" s="4">
        <v>44265.0</v>
      </c>
      <c r="AP673" s="4">
        <v>44265.3441319445</v>
      </c>
      <c r="AQ673" s="3" t="s">
        <v>132</v>
      </c>
      <c r="AR673" s="3" t="s">
        <v>2082</v>
      </c>
      <c r="AS673" s="3"/>
      <c r="AT673" s="4">
        <v>44281.0337152778</v>
      </c>
    </row>
    <row r="674" ht="15.75" customHeight="1">
      <c r="A674" s="3">
        <v>2044231.0</v>
      </c>
      <c r="B674" s="3" t="s">
        <v>116</v>
      </c>
      <c r="C674" s="3" t="s">
        <v>117</v>
      </c>
      <c r="D674" s="3" t="s">
        <v>46</v>
      </c>
      <c r="E674" s="3" t="s">
        <v>7716</v>
      </c>
      <c r="F674" s="3"/>
      <c r="G674" s="3" t="s">
        <v>119</v>
      </c>
      <c r="H674" s="3" t="s">
        <v>50</v>
      </c>
      <c r="I674" s="3">
        <v>1100.0</v>
      </c>
      <c r="J674" s="3"/>
      <c r="K674" s="3"/>
      <c r="L674" s="3" t="s">
        <v>295</v>
      </c>
      <c r="M674" s="3" t="s">
        <v>7717</v>
      </c>
      <c r="N674" s="3" t="s">
        <v>53</v>
      </c>
      <c r="O674" s="3" t="s">
        <v>382</v>
      </c>
      <c r="P674" s="4">
        <v>44256.4166666667</v>
      </c>
      <c r="Q674" s="3" t="s">
        <v>56</v>
      </c>
      <c r="R674" s="3"/>
      <c r="S674" s="3" t="s">
        <v>288</v>
      </c>
      <c r="T674" s="3">
        <v>2211001.0</v>
      </c>
      <c r="U674" s="3" t="s">
        <v>527</v>
      </c>
      <c r="V674" s="3" t="s">
        <v>290</v>
      </c>
      <c r="W674" s="3" t="s">
        <v>291</v>
      </c>
      <c r="X674" s="3"/>
      <c r="Y674" s="3" t="str">
        <f>"02020000402202134"</f>
        <v>02020000402202134</v>
      </c>
      <c r="Z674" s="3" t="s">
        <v>384</v>
      </c>
      <c r="AA674" s="3" t="s">
        <v>7718</v>
      </c>
      <c r="AB674" s="3" t="str">
        <f>"41525262000157"</f>
        <v>41525262000157</v>
      </c>
      <c r="AC674" s="3"/>
      <c r="AD674" s="3"/>
      <c r="AE674" s="3"/>
      <c r="AF674" s="3">
        <v>-42.763611</v>
      </c>
      <c r="AG674" s="3">
        <v>-5.06</v>
      </c>
      <c r="AH674" s="3" t="s">
        <v>7719</v>
      </c>
      <c r="AI674" s="3"/>
      <c r="AJ674" s="3" t="s">
        <v>295</v>
      </c>
      <c r="AK674" s="3"/>
      <c r="AL674" s="3" t="s">
        <v>128</v>
      </c>
      <c r="AM674" s="3" t="s">
        <v>65</v>
      </c>
      <c r="AN674" s="3" t="s">
        <v>296</v>
      </c>
      <c r="AO674" s="4">
        <v>44265.0</v>
      </c>
      <c r="AP674" s="4">
        <v>44265.7222569444</v>
      </c>
      <c r="AQ674" s="3" t="s">
        <v>132</v>
      </c>
      <c r="AR674" s="3" t="s">
        <v>531</v>
      </c>
      <c r="AS674" s="3"/>
      <c r="AT674" s="4">
        <v>44281.0337152778</v>
      </c>
    </row>
    <row r="675" ht="15.75" customHeight="1">
      <c r="A675" s="3">
        <v>2044243.0</v>
      </c>
      <c r="B675" s="3" t="s">
        <v>116</v>
      </c>
      <c r="C675" s="3" t="s">
        <v>117</v>
      </c>
      <c r="D675" s="3" t="s">
        <v>46</v>
      </c>
      <c r="E675" s="3" t="s">
        <v>7720</v>
      </c>
      <c r="F675" s="3"/>
      <c r="G675" s="3" t="s">
        <v>119</v>
      </c>
      <c r="H675" s="3" t="s">
        <v>50</v>
      </c>
      <c r="I675" s="3">
        <v>1300.0</v>
      </c>
      <c r="J675" s="3"/>
      <c r="K675" s="3"/>
      <c r="L675" s="3" t="s">
        <v>510</v>
      </c>
      <c r="M675" s="3" t="s">
        <v>7721</v>
      </c>
      <c r="N675" s="3" t="s">
        <v>74</v>
      </c>
      <c r="O675" s="3" t="s">
        <v>75</v>
      </c>
      <c r="P675" s="4">
        <v>44256.4166666667</v>
      </c>
      <c r="Q675" s="3" t="s">
        <v>77</v>
      </c>
      <c r="R675" s="5">
        <v>44256.0</v>
      </c>
      <c r="S675" s="3" t="s">
        <v>220</v>
      </c>
      <c r="T675" s="3">
        <v>2704500.0</v>
      </c>
      <c r="U675" s="3" t="s">
        <v>7722</v>
      </c>
      <c r="V675" s="3" t="s">
        <v>414</v>
      </c>
      <c r="W675" s="3" t="s">
        <v>60</v>
      </c>
      <c r="X675" s="3"/>
      <c r="Y675" s="3" t="str">
        <f>"02019000307202170"</f>
        <v>02019000307202170</v>
      </c>
      <c r="Z675" s="3" t="s">
        <v>79</v>
      </c>
      <c r="AA675" s="3" t="s">
        <v>7723</v>
      </c>
      <c r="AB675" s="3" t="str">
        <f>"***306934**"</f>
        <v>***306934**</v>
      </c>
      <c r="AC675" s="3"/>
      <c r="AD675" s="3"/>
      <c r="AE675" s="3"/>
      <c r="AF675" s="3">
        <v>-35.175472</v>
      </c>
      <c r="AG675" s="3">
        <v>-8.961861</v>
      </c>
      <c r="AH675" s="3" t="s">
        <v>7724</v>
      </c>
      <c r="AI675" s="3"/>
      <c r="AJ675" s="3" t="s">
        <v>510</v>
      </c>
      <c r="AK675" s="3"/>
      <c r="AL675" s="3" t="s">
        <v>128</v>
      </c>
      <c r="AM675" s="3" t="s">
        <v>65</v>
      </c>
      <c r="AN675" s="3" t="s">
        <v>511</v>
      </c>
      <c r="AO675" s="4">
        <v>44265.0</v>
      </c>
      <c r="AP675" s="4">
        <v>44265.7329513889</v>
      </c>
      <c r="AQ675" s="3" t="s">
        <v>132</v>
      </c>
      <c r="AR675" s="3" t="s">
        <v>4187</v>
      </c>
      <c r="AS675" s="3" t="s">
        <v>7725</v>
      </c>
      <c r="AT675" s="4">
        <v>44281.0337152778</v>
      </c>
    </row>
    <row r="676" ht="15.75" customHeight="1">
      <c r="A676" s="3">
        <v>2043854.0</v>
      </c>
      <c r="B676" s="3" t="s">
        <v>116</v>
      </c>
      <c r="C676" s="3" t="s">
        <v>117</v>
      </c>
      <c r="D676" s="3" t="s">
        <v>46</v>
      </c>
      <c r="E676" s="3" t="s">
        <v>7726</v>
      </c>
      <c r="F676" s="3"/>
      <c r="G676" s="3" t="s">
        <v>119</v>
      </c>
      <c r="H676" s="3" t="s">
        <v>72</v>
      </c>
      <c r="I676" s="3">
        <v>241500.0</v>
      </c>
      <c r="J676" s="3"/>
      <c r="K676" s="3"/>
      <c r="L676" s="3" t="s">
        <v>175</v>
      </c>
      <c r="M676" s="3" t="s">
        <v>7727</v>
      </c>
      <c r="N676" s="3" t="s">
        <v>257</v>
      </c>
      <c r="O676" s="3" t="s">
        <v>258</v>
      </c>
      <c r="P676" s="4">
        <v>44256.375</v>
      </c>
      <c r="Q676" s="3" t="s">
        <v>56</v>
      </c>
      <c r="R676" s="5">
        <v>44256.0</v>
      </c>
      <c r="S676" s="3" t="s">
        <v>169</v>
      </c>
      <c r="T676" s="3">
        <v>5201405.0</v>
      </c>
      <c r="U676" s="3" t="s">
        <v>2443</v>
      </c>
      <c r="V676" s="3" t="s">
        <v>171</v>
      </c>
      <c r="W676" s="3" t="s">
        <v>172</v>
      </c>
      <c r="X676" s="3"/>
      <c r="Y676" s="3" t="str">
        <f>"02010000320202117"</f>
        <v>02010000320202117</v>
      </c>
      <c r="Z676" s="3" t="s">
        <v>260</v>
      </c>
      <c r="AA676" s="3" t="s">
        <v>7728</v>
      </c>
      <c r="AB676" s="3" t="str">
        <f>"***992781**"</f>
        <v>***992781**</v>
      </c>
      <c r="AC676" s="3"/>
      <c r="AD676" s="3"/>
      <c r="AE676" s="3"/>
      <c r="AF676" s="3">
        <v>-49.2725</v>
      </c>
      <c r="AG676" s="3">
        <v>-16.635</v>
      </c>
      <c r="AH676" s="3" t="s">
        <v>7729</v>
      </c>
      <c r="AI676" s="3"/>
      <c r="AJ676" s="3" t="s">
        <v>175</v>
      </c>
      <c r="AK676" s="3"/>
      <c r="AL676" s="3" t="s">
        <v>128</v>
      </c>
      <c r="AM676" s="3" t="s">
        <v>65</v>
      </c>
      <c r="AN676" s="3" t="s">
        <v>83</v>
      </c>
      <c r="AO676" s="4">
        <v>44256.0</v>
      </c>
      <c r="AP676" s="4">
        <v>44256.5941087963</v>
      </c>
      <c r="AQ676" s="3" t="s">
        <v>132</v>
      </c>
      <c r="AR676" s="3" t="s">
        <v>4042</v>
      </c>
      <c r="AS676" s="3"/>
      <c r="AT676" s="4">
        <v>44281.0337152778</v>
      </c>
    </row>
    <row r="677" ht="15.75" customHeight="1">
      <c r="A677" s="3">
        <v>2043936.0</v>
      </c>
      <c r="B677" s="3" t="s">
        <v>116</v>
      </c>
      <c r="C677" s="3" t="s">
        <v>117</v>
      </c>
      <c r="D677" s="3" t="s">
        <v>46</v>
      </c>
      <c r="E677" s="3" t="s">
        <v>7730</v>
      </c>
      <c r="F677" s="3"/>
      <c r="G677" s="3" t="s">
        <v>119</v>
      </c>
      <c r="H677" s="3" t="s">
        <v>50</v>
      </c>
      <c r="I677" s="3">
        <v>5706.0</v>
      </c>
      <c r="J677" s="3"/>
      <c r="K677" s="3"/>
      <c r="L677" s="3" t="s">
        <v>587</v>
      </c>
      <c r="M677" s="3" t="s">
        <v>7731</v>
      </c>
      <c r="N677" s="3" t="s">
        <v>109</v>
      </c>
      <c r="O677" s="3" t="s">
        <v>110</v>
      </c>
      <c r="P677" s="4">
        <v>44256.375</v>
      </c>
      <c r="Q677" s="3" t="s">
        <v>56</v>
      </c>
      <c r="R677" s="5">
        <v>44257.0</v>
      </c>
      <c r="S677" s="3" t="s">
        <v>220</v>
      </c>
      <c r="T677" s="3">
        <v>1400472.0</v>
      </c>
      <c r="U677" s="3" t="s">
        <v>4655</v>
      </c>
      <c r="V677" s="3" t="s">
        <v>584</v>
      </c>
      <c r="W677" s="3" t="s">
        <v>100</v>
      </c>
      <c r="X677" s="3"/>
      <c r="Y677" s="3" t="str">
        <f>"02025000207202164"</f>
        <v>02025000207202164</v>
      </c>
      <c r="Z677" s="3" t="s">
        <v>112</v>
      </c>
      <c r="AA677" s="3" t="s">
        <v>7732</v>
      </c>
      <c r="AB677" s="3" t="str">
        <f>"04648286000177"</f>
        <v>04648286000177</v>
      </c>
      <c r="AC677" s="3"/>
      <c r="AD677" s="3"/>
      <c r="AE677" s="3"/>
      <c r="AF677" s="3">
        <v>-47.933056</v>
      </c>
      <c r="AG677" s="3">
        <v>-15.83</v>
      </c>
      <c r="AH677" s="3" t="s">
        <v>7733</v>
      </c>
      <c r="AI677" s="3"/>
      <c r="AJ677" s="3" t="s">
        <v>587</v>
      </c>
      <c r="AK677" s="3"/>
      <c r="AL677" s="3" t="s">
        <v>128</v>
      </c>
      <c r="AM677" s="3" t="s">
        <v>65</v>
      </c>
      <c r="AN677" s="3" t="s">
        <v>83</v>
      </c>
      <c r="AO677" s="4">
        <v>44258.0</v>
      </c>
      <c r="AP677" s="4">
        <v>44258.4550347222</v>
      </c>
      <c r="AQ677" s="3" t="s">
        <v>132</v>
      </c>
      <c r="AR677" s="3" t="s">
        <v>1236</v>
      </c>
      <c r="AS677" s="3"/>
      <c r="AT677" s="4">
        <v>44281.0337152778</v>
      </c>
    </row>
    <row r="678" ht="15.75" customHeight="1">
      <c r="A678" s="3">
        <v>2044599.0</v>
      </c>
      <c r="B678" s="3" t="s">
        <v>116</v>
      </c>
      <c r="C678" s="3" t="s">
        <v>117</v>
      </c>
      <c r="D678" s="3" t="s">
        <v>46</v>
      </c>
      <c r="E678" s="3" t="s">
        <v>7734</v>
      </c>
      <c r="F678" s="3"/>
      <c r="G678" s="3" t="s">
        <v>119</v>
      </c>
      <c r="H678" s="3" t="s">
        <v>72</v>
      </c>
      <c r="I678" s="3">
        <v>6000.0</v>
      </c>
      <c r="J678" s="3"/>
      <c r="K678" s="3"/>
      <c r="L678" s="3" t="s">
        <v>1473</v>
      </c>
      <c r="M678" s="3" t="s">
        <v>7735</v>
      </c>
      <c r="N678" s="3" t="s">
        <v>109</v>
      </c>
      <c r="O678" s="3" t="s">
        <v>110</v>
      </c>
      <c r="P678" s="4">
        <v>44256.375</v>
      </c>
      <c r="Q678" s="3" t="s">
        <v>77</v>
      </c>
      <c r="R678" s="5">
        <v>44256.0</v>
      </c>
      <c r="S678" s="3" t="s">
        <v>220</v>
      </c>
      <c r="T678" s="3">
        <v>5007901.0</v>
      </c>
      <c r="U678" s="3" t="s">
        <v>1469</v>
      </c>
      <c r="V678" s="3" t="s">
        <v>1470</v>
      </c>
      <c r="W678" s="3" t="s">
        <v>172</v>
      </c>
      <c r="X678" s="3"/>
      <c r="Y678" s="3" t="str">
        <f>"02014000340202140"</f>
        <v>02014000340202140</v>
      </c>
      <c r="Z678" s="3" t="s">
        <v>112</v>
      </c>
      <c r="AA678" s="3" t="s">
        <v>7736</v>
      </c>
      <c r="AB678" s="3" t="str">
        <f>"***825421**"</f>
        <v>***825421**</v>
      </c>
      <c r="AC678" s="3"/>
      <c r="AD678" s="3"/>
      <c r="AE678" s="3"/>
      <c r="AF678" s="3">
        <v>-54.946944</v>
      </c>
      <c r="AG678" s="3">
        <v>-21.102778</v>
      </c>
      <c r="AH678" s="3" t="s">
        <v>7737</v>
      </c>
      <c r="AI678" s="3"/>
      <c r="AJ678" s="3" t="s">
        <v>1473</v>
      </c>
      <c r="AK678" s="3"/>
      <c r="AL678" s="3" t="s">
        <v>128</v>
      </c>
      <c r="AM678" s="3" t="s">
        <v>65</v>
      </c>
      <c r="AN678" s="3"/>
      <c r="AO678" s="4">
        <v>44278.0</v>
      </c>
      <c r="AP678" s="4">
        <v>44278.5601736111</v>
      </c>
      <c r="AQ678" s="3" t="s">
        <v>132</v>
      </c>
      <c r="AR678" s="3" t="s">
        <v>1207</v>
      </c>
      <c r="AS678" s="3"/>
      <c r="AT678" s="4">
        <v>44281.0337152778</v>
      </c>
    </row>
    <row r="679" ht="15.75" customHeight="1">
      <c r="A679" s="3">
        <v>2044044.0</v>
      </c>
      <c r="B679" s="3" t="s">
        <v>116</v>
      </c>
      <c r="C679" s="3" t="s">
        <v>117</v>
      </c>
      <c r="D679" s="3" t="s">
        <v>46</v>
      </c>
      <c r="E679" s="3" t="s">
        <v>7738</v>
      </c>
      <c r="F679" s="3"/>
      <c r="G679" s="3" t="s">
        <v>119</v>
      </c>
      <c r="H679" s="3" t="s">
        <v>72</v>
      </c>
      <c r="I679" s="3">
        <v>1893900.0</v>
      </c>
      <c r="J679" s="3"/>
      <c r="K679" s="3"/>
      <c r="L679" s="3" t="s">
        <v>4674</v>
      </c>
      <c r="M679" s="3" t="s">
        <v>7739</v>
      </c>
      <c r="N679" s="3" t="s">
        <v>109</v>
      </c>
      <c r="O679" s="3" t="s">
        <v>110</v>
      </c>
      <c r="P679" s="4">
        <v>44256.3333333333</v>
      </c>
      <c r="Q679" s="3" t="s">
        <v>56</v>
      </c>
      <c r="R679" s="3"/>
      <c r="S679" s="3" t="s">
        <v>241</v>
      </c>
      <c r="T679" s="3">
        <v>1506807.0</v>
      </c>
      <c r="U679" s="3" t="s">
        <v>4677</v>
      </c>
      <c r="V679" s="3" t="s">
        <v>917</v>
      </c>
      <c r="W679" s="3" t="s">
        <v>100</v>
      </c>
      <c r="X679" s="3"/>
      <c r="Y679" s="3" t="str">
        <f>"02048000032202127"</f>
        <v>02048000032202127</v>
      </c>
      <c r="Z679" s="3" t="s">
        <v>112</v>
      </c>
      <c r="AA679" s="3" t="s">
        <v>7740</v>
      </c>
      <c r="AB679" s="3" t="str">
        <f>"***209211**"</f>
        <v>***209211**</v>
      </c>
      <c r="AC679" s="3"/>
      <c r="AD679" s="3"/>
      <c r="AE679" s="3"/>
      <c r="AF679" s="3">
        <v>-54.736111</v>
      </c>
      <c r="AG679" s="3">
        <v>-2.420556</v>
      </c>
      <c r="AH679" s="3" t="s">
        <v>7741</v>
      </c>
      <c r="AI679" s="3"/>
      <c r="AJ679" s="3" t="s">
        <v>4674</v>
      </c>
      <c r="AK679" s="3"/>
      <c r="AL679" s="3" t="s">
        <v>128</v>
      </c>
      <c r="AM679" s="3" t="s">
        <v>65</v>
      </c>
      <c r="AN679" s="3" t="s">
        <v>4680</v>
      </c>
      <c r="AO679" s="4">
        <v>44259.0</v>
      </c>
      <c r="AP679" s="4">
        <v>44259.922025463</v>
      </c>
      <c r="AQ679" s="3" t="s">
        <v>132</v>
      </c>
      <c r="AR679" s="3" t="s">
        <v>4409</v>
      </c>
      <c r="AS679" s="3"/>
      <c r="AT679" s="4">
        <v>44281.0337152778</v>
      </c>
    </row>
    <row r="680" ht="15.75" customHeight="1">
      <c r="A680" s="3">
        <v>2044603.0</v>
      </c>
      <c r="B680" s="3" t="s">
        <v>116</v>
      </c>
      <c r="C680" s="3" t="s">
        <v>117</v>
      </c>
      <c r="D680" s="3" t="s">
        <v>46</v>
      </c>
      <c r="E680" s="3" t="s">
        <v>7742</v>
      </c>
      <c r="F680" s="3"/>
      <c r="G680" s="3" t="s">
        <v>119</v>
      </c>
      <c r="H680" s="3" t="s">
        <v>72</v>
      </c>
      <c r="I680" s="3">
        <v>50000.0</v>
      </c>
      <c r="J680" s="3"/>
      <c r="K680" s="3"/>
      <c r="L680" s="3" t="s">
        <v>64</v>
      </c>
      <c r="M680" s="3" t="s">
        <v>7743</v>
      </c>
      <c r="N680" s="3" t="s">
        <v>74</v>
      </c>
      <c r="O680" s="3" t="s">
        <v>75</v>
      </c>
      <c r="P680" s="4">
        <v>44256.3333333333</v>
      </c>
      <c r="Q680" s="3" t="s">
        <v>77</v>
      </c>
      <c r="R680" s="5">
        <v>44256.0</v>
      </c>
      <c r="S680" s="3" t="s">
        <v>57</v>
      </c>
      <c r="T680" s="3">
        <v>3200409.0</v>
      </c>
      <c r="U680" s="3" t="s">
        <v>58</v>
      </c>
      <c r="V680" s="3" t="s">
        <v>59</v>
      </c>
      <c r="W680" s="3" t="s">
        <v>78</v>
      </c>
      <c r="X680" s="3"/>
      <c r="Y680" s="3" t="str">
        <f>"02009000526202178"</f>
        <v>02009000526202178</v>
      </c>
      <c r="Z680" s="3" t="s">
        <v>79</v>
      </c>
      <c r="AA680" s="3" t="s">
        <v>7744</v>
      </c>
      <c r="AB680" s="3" t="str">
        <f>"***102017**"</f>
        <v>***102017**</v>
      </c>
      <c r="AC680" s="3"/>
      <c r="AD680" s="3"/>
      <c r="AE680" s="3"/>
      <c r="AF680" s="3">
        <v>-40.643889</v>
      </c>
      <c r="AG680" s="3">
        <v>-20.807778</v>
      </c>
      <c r="AH680" s="3" t="s">
        <v>7745</v>
      </c>
      <c r="AI680" s="3"/>
      <c r="AJ680" s="3" t="s">
        <v>64</v>
      </c>
      <c r="AK680" s="3"/>
      <c r="AL680" s="3" t="s">
        <v>128</v>
      </c>
      <c r="AM680" s="3" t="s">
        <v>65</v>
      </c>
      <c r="AN680" s="3" t="s">
        <v>83</v>
      </c>
      <c r="AO680" s="4">
        <v>44278.0</v>
      </c>
      <c r="AP680" s="4">
        <v>44278.6238541667</v>
      </c>
      <c r="AQ680" s="3" t="s">
        <v>132</v>
      </c>
      <c r="AR680" s="3" t="s">
        <v>7746</v>
      </c>
      <c r="AS680" s="3"/>
      <c r="AT680" s="4">
        <v>44281.0337152778</v>
      </c>
    </row>
    <row r="681" ht="15.75" customHeight="1">
      <c r="A681" s="3"/>
      <c r="B681" s="3" t="s">
        <v>46</v>
      </c>
      <c r="C681" s="3" t="s">
        <v>47</v>
      </c>
      <c r="D681" s="3"/>
      <c r="E681" s="3" t="s">
        <v>7747</v>
      </c>
      <c r="F681" s="3"/>
      <c r="G681" s="3" t="s">
        <v>49</v>
      </c>
      <c r="H681" s="3" t="s">
        <v>50</v>
      </c>
      <c r="I681" s="3">
        <v>51000.0</v>
      </c>
      <c r="J681" s="3"/>
      <c r="K681" s="3" t="s">
        <v>92</v>
      </c>
      <c r="L681" s="3"/>
      <c r="M681" s="3" t="s">
        <v>7236</v>
      </c>
      <c r="N681" s="3" t="s">
        <v>53</v>
      </c>
      <c r="O681" s="3" t="s">
        <v>333</v>
      </c>
      <c r="P681" s="4">
        <v>44256.2608912037</v>
      </c>
      <c r="Q681" s="3" t="s">
        <v>56</v>
      </c>
      <c r="R681" s="3"/>
      <c r="S681" s="3" t="s">
        <v>123</v>
      </c>
      <c r="T681" s="3">
        <v>1100288.0</v>
      </c>
      <c r="U681" s="3" t="s">
        <v>423</v>
      </c>
      <c r="V681" s="3" t="s">
        <v>125</v>
      </c>
      <c r="W681" s="3" t="s">
        <v>100</v>
      </c>
      <c r="X681" s="3"/>
      <c r="Y681" s="3"/>
      <c r="Z681" s="3" t="s">
        <v>223</v>
      </c>
      <c r="AA681" s="3" t="s">
        <v>7748</v>
      </c>
      <c r="AB681" s="3" t="str">
        <f>"27939002000105"</f>
        <v>27939002000105</v>
      </c>
      <c r="AC681" s="3"/>
      <c r="AD681" s="3" t="s">
        <v>81</v>
      </c>
      <c r="AE681" s="3"/>
      <c r="AF681" s="3">
        <v>-61.779722</v>
      </c>
      <c r="AG681" s="3">
        <v>-11.73</v>
      </c>
      <c r="AH681" s="3" t="s">
        <v>7749</v>
      </c>
      <c r="AI681" s="3"/>
      <c r="AJ681" s="3" t="s">
        <v>158</v>
      </c>
      <c r="AK681" s="3"/>
      <c r="AL681" s="3"/>
      <c r="AM681" s="3" t="s">
        <v>65</v>
      </c>
      <c r="AN681" s="3" t="s">
        <v>159</v>
      </c>
      <c r="AO681" s="3"/>
      <c r="AP681" s="4">
        <v>44256.265162037</v>
      </c>
      <c r="AQ681" s="3"/>
      <c r="AR681" s="3" t="s">
        <v>339</v>
      </c>
      <c r="AS681" s="3" t="s">
        <v>396</v>
      </c>
      <c r="AT681" s="4">
        <v>44281.0337152778</v>
      </c>
    </row>
    <row r="682" ht="15.75" customHeight="1">
      <c r="A682" s="3">
        <v>2044194.0</v>
      </c>
      <c r="B682" s="3" t="s">
        <v>116</v>
      </c>
      <c r="C682" s="3" t="s">
        <v>117</v>
      </c>
      <c r="D682" s="3" t="s">
        <v>46</v>
      </c>
      <c r="E682" s="3" t="s">
        <v>7750</v>
      </c>
      <c r="F682" s="3"/>
      <c r="G682" s="3" t="s">
        <v>119</v>
      </c>
      <c r="H682" s="3" t="s">
        <v>72</v>
      </c>
      <c r="I682" s="3">
        <v>330000.0</v>
      </c>
      <c r="J682" s="3"/>
      <c r="K682" s="3"/>
      <c r="L682" s="3" t="s">
        <v>120</v>
      </c>
      <c r="M682" s="3" t="s">
        <v>7751</v>
      </c>
      <c r="N682" s="3" t="s">
        <v>109</v>
      </c>
      <c r="O682" s="3" t="s">
        <v>110</v>
      </c>
      <c r="P682" s="4">
        <v>44256.25</v>
      </c>
      <c r="Q682" s="3" t="s">
        <v>77</v>
      </c>
      <c r="R682" s="5">
        <v>44256.0</v>
      </c>
      <c r="S682" s="3" t="s">
        <v>220</v>
      </c>
      <c r="T682" s="3">
        <v>1505031.0</v>
      </c>
      <c r="U682" s="3" t="s">
        <v>5077</v>
      </c>
      <c r="V682" s="3" t="s">
        <v>917</v>
      </c>
      <c r="W682" s="3" t="s">
        <v>100</v>
      </c>
      <c r="X682" s="3"/>
      <c r="Y682" s="3" t="str">
        <f>"02001004858202100"</f>
        <v>02001004858202100</v>
      </c>
      <c r="Z682" s="3" t="s">
        <v>112</v>
      </c>
      <c r="AA682" s="3" t="s">
        <v>7752</v>
      </c>
      <c r="AB682" s="3" t="str">
        <f>"***965982**"</f>
        <v>***965982**</v>
      </c>
      <c r="AC682" s="3"/>
      <c r="AD682" s="3"/>
      <c r="AE682" s="3"/>
      <c r="AF682" s="3">
        <v>-55.237222</v>
      </c>
      <c r="AG682" s="3">
        <v>-7.888889</v>
      </c>
      <c r="AH682" s="3" t="s">
        <v>7753</v>
      </c>
      <c r="AI682" s="3"/>
      <c r="AJ682" s="3" t="s">
        <v>120</v>
      </c>
      <c r="AK682" s="3"/>
      <c r="AL682" s="3" t="s">
        <v>128</v>
      </c>
      <c r="AM682" s="3" t="s">
        <v>65</v>
      </c>
      <c r="AN682" s="3" t="s">
        <v>6870</v>
      </c>
      <c r="AO682" s="4">
        <v>44265.0</v>
      </c>
      <c r="AP682" s="4">
        <v>44265.3488888889</v>
      </c>
      <c r="AQ682" s="3" t="s">
        <v>132</v>
      </c>
      <c r="AR682" s="3" t="s">
        <v>3557</v>
      </c>
      <c r="AS682" s="3" t="s">
        <v>7754</v>
      </c>
      <c r="AT682" s="4">
        <v>44281.0337152778</v>
      </c>
    </row>
    <row r="683" ht="15.75" customHeight="1">
      <c r="A683" s="3"/>
      <c r="B683" s="3" t="s">
        <v>46</v>
      </c>
      <c r="C683" s="3" t="s">
        <v>47</v>
      </c>
      <c r="D683" s="3"/>
      <c r="E683" s="3" t="s">
        <v>7755</v>
      </c>
      <c r="F683" s="3"/>
      <c r="G683" s="3" t="s">
        <v>49</v>
      </c>
      <c r="H683" s="3" t="s">
        <v>50</v>
      </c>
      <c r="I683" s="3">
        <v>51000.0</v>
      </c>
      <c r="J683" s="3"/>
      <c r="K683" s="3" t="s">
        <v>92</v>
      </c>
      <c r="L683" s="3"/>
      <c r="M683" s="3" t="s">
        <v>7756</v>
      </c>
      <c r="N683" s="3" t="s">
        <v>53</v>
      </c>
      <c r="O683" s="3" t="s">
        <v>333</v>
      </c>
      <c r="P683" s="4">
        <v>44256.2400231482</v>
      </c>
      <c r="Q683" s="3" t="s">
        <v>56</v>
      </c>
      <c r="R683" s="3"/>
      <c r="S683" s="3" t="s">
        <v>148</v>
      </c>
      <c r="T683" s="3">
        <v>1100122.0</v>
      </c>
      <c r="U683" s="3" t="s">
        <v>3469</v>
      </c>
      <c r="V683" s="3" t="s">
        <v>125</v>
      </c>
      <c r="W683" s="3" t="s">
        <v>100</v>
      </c>
      <c r="X683" s="3"/>
      <c r="Y683" s="3"/>
      <c r="Z683" s="3" t="s">
        <v>223</v>
      </c>
      <c r="AA683" s="3" t="s">
        <v>7757</v>
      </c>
      <c r="AB683" s="3" t="str">
        <f>"76492065000597"</f>
        <v>76492065000597</v>
      </c>
      <c r="AC683" s="3"/>
      <c r="AD683" s="3" t="s">
        <v>81</v>
      </c>
      <c r="AE683" s="3"/>
      <c r="AF683" s="3">
        <v>-61.951667</v>
      </c>
      <c r="AG683" s="3">
        <v>-10.885278</v>
      </c>
      <c r="AH683" s="3" t="s">
        <v>7758</v>
      </c>
      <c r="AI683" s="3"/>
      <c r="AJ683" s="3" t="s">
        <v>158</v>
      </c>
      <c r="AK683" s="3"/>
      <c r="AL683" s="3"/>
      <c r="AM683" s="3" t="s">
        <v>65</v>
      </c>
      <c r="AN683" s="3" t="s">
        <v>159</v>
      </c>
      <c r="AO683" s="3"/>
      <c r="AP683" s="4">
        <v>44256.2531018519</v>
      </c>
      <c r="AQ683" s="3"/>
      <c r="AR683" s="3" t="s">
        <v>339</v>
      </c>
      <c r="AS683" s="3" t="s">
        <v>7759</v>
      </c>
      <c r="AT683" s="4">
        <v>44281.0337152778</v>
      </c>
    </row>
  </sheetData>
  <autoFilter ref="$A$1:$AT$683"/>
  <printOptions/>
  <pageMargins bottom="1.025" footer="0.0" header="0.0" left="0.7875" right="0.7875" top="1.025"/>
  <pageSetup paperSize="9" orientation="portrait"/>
  <headerFooter>
    <oddHeader>&amp;C&amp;A</oddHeader>
    <oddFooter>&amp;CPágina &amp;P</oddFooter>
  </headerFooter>
  <drawing r:id="rId1"/>
</worksheet>
</file>