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cemex-my.sharepoint.com/personal/dijana_jurkovic_cemex_com/Documents/Escritorio/"/>
    </mc:Choice>
  </mc:AlternateContent>
  <xr:revisionPtr revIDLastSave="212" documentId="8_{B12E07E4-5DB5-4EF5-9438-47944D5C7446}" xr6:coauthVersionLast="47" xr6:coauthVersionMax="47" xr10:uidLastSave="{C92A0EAC-28A8-475E-9323-14FB72FCC4F9}"/>
  <bookViews>
    <workbookView xWindow="28680" yWindow="-120" windowWidth="29040" windowHeight="15720" xr2:uid="{26D4546B-D2A1-4444-8EAF-A6228F96F0C1}"/>
  </bookViews>
  <sheets>
    <sheet name="data" sheetId="2" r:id="rId1"/>
    <sheet name="pivot" sheetId="4" r:id="rId2"/>
    <sheet name="statistics" sheetId="3" r:id="rId3"/>
  </sheets>
  <definedNames>
    <definedName name="_xlnm._FilterDatabase" localSheetId="1" hidden="1">pivot!$E$87:$G$87</definedName>
    <definedName name="_xlnm._FilterDatabase" localSheetId="2" hidden="1">statistics!$O$3:$R$3</definedName>
    <definedName name="_xlcn.WorksheetConnection_beginnerDAcourseblank1.xlsxTable21" hidden="1">Table2[]</definedName>
    <definedName name="data">Table2[]</definedName>
    <definedName name="Slicer_Geography">#N/A</definedName>
    <definedName name="Slicer_Sales_Person">#N/A</definedName>
  </definedNames>
  <calcPr calcId="191029"/>
  <pivotCaches>
    <pivotCache cacheId="152" r:id="rId4"/>
    <pivotCache cacheId="155" r:id="rId5"/>
    <pivotCache cacheId="158" r:id="rId6"/>
    <pivotCache cacheId="162" r:id="rId7"/>
    <pivotCache cacheId="167" r:id="rId8"/>
  </pivotCaches>
  <extLst>
    <ext xmlns:x14="http://schemas.microsoft.com/office/spreadsheetml/2009/9/main" uri="{876F7934-8845-4945-9796-88D515C7AA90}">
      <x14:pivotCaches>
        <pivotCache cacheId="161"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beginner-DA-course-blank (1).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2" i="4" l="1"/>
  <c r="C91" i="4"/>
  <c r="B92" i="4"/>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2" i="2"/>
  <c r="M83" i="4" a="1"/>
  <c r="M83" i="4" s="1"/>
  <c r="C87" i="4"/>
  <c r="B90" i="4"/>
  <c r="C90" i="4"/>
  <c r="E88" i="4" a="1"/>
  <c r="E88" i="4" s="1"/>
  <c r="F3" i="2"/>
  <c r="G3" i="2" s="1"/>
  <c r="F4" i="2"/>
  <c r="G4" i="2" s="1"/>
  <c r="F5" i="2"/>
  <c r="G5" i="2" s="1"/>
  <c r="B91" i="4" s="1"/>
  <c r="F6" i="2"/>
  <c r="G6" i="2" s="1"/>
  <c r="F7" i="2"/>
  <c r="G7" i="2" s="1"/>
  <c r="F8" i="2"/>
  <c r="G8" i="2" s="1"/>
  <c r="F9" i="2"/>
  <c r="G9" i="2" s="1"/>
  <c r="F10" i="2"/>
  <c r="G10" i="2" s="1"/>
  <c r="F11" i="2"/>
  <c r="G11" i="2" s="1"/>
  <c r="F12" i="2"/>
  <c r="G12" i="2" s="1"/>
  <c r="F13" i="2"/>
  <c r="G13" i="2" s="1"/>
  <c r="F14" i="2"/>
  <c r="G14" i="2" s="1"/>
  <c r="F15" i="2"/>
  <c r="G15" i="2" s="1"/>
  <c r="F16" i="2"/>
  <c r="G16" i="2" s="1"/>
  <c r="F17" i="2"/>
  <c r="G17" i="2" s="1"/>
  <c r="F18" i="2"/>
  <c r="G18" i="2" s="1"/>
  <c r="F19" i="2"/>
  <c r="G19" i="2" s="1"/>
  <c r="F20" i="2"/>
  <c r="G20" i="2" s="1"/>
  <c r="F21" i="2"/>
  <c r="G21" i="2" s="1"/>
  <c r="F22" i="2"/>
  <c r="G22" i="2" s="1"/>
  <c r="F23" i="2"/>
  <c r="G23" i="2" s="1"/>
  <c r="F24" i="2"/>
  <c r="G24" i="2" s="1"/>
  <c r="F25" i="2"/>
  <c r="G25" i="2" s="1"/>
  <c r="F26" i="2"/>
  <c r="G26" i="2" s="1"/>
  <c r="F27" i="2"/>
  <c r="G27" i="2" s="1"/>
  <c r="F28" i="2"/>
  <c r="G28" i="2" s="1"/>
  <c r="F29" i="2"/>
  <c r="G29" i="2" s="1"/>
  <c r="F30" i="2"/>
  <c r="G30" i="2" s="1"/>
  <c r="F31" i="2"/>
  <c r="G31" i="2" s="1"/>
  <c r="F32" i="2"/>
  <c r="G32" i="2" s="1"/>
  <c r="F33" i="2"/>
  <c r="G33" i="2" s="1"/>
  <c r="F34" i="2"/>
  <c r="G34" i="2" s="1"/>
  <c r="F35" i="2"/>
  <c r="G35" i="2" s="1"/>
  <c r="F36" i="2"/>
  <c r="G36" i="2" s="1"/>
  <c r="F37" i="2"/>
  <c r="G37" i="2" s="1"/>
  <c r="F38" i="2"/>
  <c r="G38" i="2" s="1"/>
  <c r="F39" i="2"/>
  <c r="G39" i="2" s="1"/>
  <c r="F40" i="2"/>
  <c r="G40" i="2" s="1"/>
  <c r="F41" i="2"/>
  <c r="G41" i="2" s="1"/>
  <c r="F42" i="2"/>
  <c r="G42" i="2" s="1"/>
  <c r="F43" i="2"/>
  <c r="G43" i="2" s="1"/>
  <c r="F44" i="2"/>
  <c r="G44" i="2" s="1"/>
  <c r="F45" i="2"/>
  <c r="G45" i="2" s="1"/>
  <c r="F46" i="2"/>
  <c r="G46" i="2" s="1"/>
  <c r="F47" i="2"/>
  <c r="G47" i="2" s="1"/>
  <c r="F48" i="2"/>
  <c r="G48" i="2" s="1"/>
  <c r="F49" i="2"/>
  <c r="G49" i="2" s="1"/>
  <c r="F50" i="2"/>
  <c r="G50" i="2" s="1"/>
  <c r="F51" i="2"/>
  <c r="G51" i="2" s="1"/>
  <c r="F52" i="2"/>
  <c r="G52" i="2" s="1"/>
  <c r="F53" i="2"/>
  <c r="G53" i="2" s="1"/>
  <c r="F54" i="2"/>
  <c r="G54" i="2" s="1"/>
  <c r="F55" i="2"/>
  <c r="G55" i="2" s="1"/>
  <c r="F56" i="2"/>
  <c r="G56" i="2" s="1"/>
  <c r="F57" i="2"/>
  <c r="G57" i="2" s="1"/>
  <c r="F58" i="2"/>
  <c r="G58" i="2" s="1"/>
  <c r="F59" i="2"/>
  <c r="G59" i="2" s="1"/>
  <c r="F60" i="2"/>
  <c r="G60" i="2" s="1"/>
  <c r="F61" i="2"/>
  <c r="G61" i="2" s="1"/>
  <c r="F62" i="2"/>
  <c r="G62" i="2" s="1"/>
  <c r="F63" i="2"/>
  <c r="G63" i="2" s="1"/>
  <c r="F64" i="2"/>
  <c r="G64" i="2" s="1"/>
  <c r="F65" i="2"/>
  <c r="G65" i="2" s="1"/>
  <c r="F66" i="2"/>
  <c r="G66" i="2" s="1"/>
  <c r="F67" i="2"/>
  <c r="G67" i="2" s="1"/>
  <c r="F68" i="2"/>
  <c r="G68" i="2" s="1"/>
  <c r="F69" i="2"/>
  <c r="G69" i="2" s="1"/>
  <c r="F70" i="2"/>
  <c r="G70" i="2" s="1"/>
  <c r="F71" i="2"/>
  <c r="G71" i="2" s="1"/>
  <c r="F72" i="2"/>
  <c r="G72" i="2" s="1"/>
  <c r="F73" i="2"/>
  <c r="G73" i="2" s="1"/>
  <c r="F74" i="2"/>
  <c r="G74" i="2" s="1"/>
  <c r="F75" i="2"/>
  <c r="G75" i="2" s="1"/>
  <c r="F76" i="2"/>
  <c r="G76" i="2" s="1"/>
  <c r="F77" i="2"/>
  <c r="G77" i="2" s="1"/>
  <c r="F78" i="2"/>
  <c r="G78" i="2" s="1"/>
  <c r="F79" i="2"/>
  <c r="G79" i="2" s="1"/>
  <c r="F80" i="2"/>
  <c r="G80" i="2" s="1"/>
  <c r="F81" i="2"/>
  <c r="G81" i="2" s="1"/>
  <c r="F82" i="2"/>
  <c r="G82" i="2" s="1"/>
  <c r="F83" i="2"/>
  <c r="G83" i="2" s="1"/>
  <c r="F84" i="2"/>
  <c r="G84" i="2" s="1"/>
  <c r="F85" i="2"/>
  <c r="G85" i="2" s="1"/>
  <c r="F86" i="2"/>
  <c r="G86" i="2" s="1"/>
  <c r="F87" i="2"/>
  <c r="G87" i="2" s="1"/>
  <c r="F88" i="2"/>
  <c r="G88" i="2" s="1"/>
  <c r="F89" i="2"/>
  <c r="G89" i="2" s="1"/>
  <c r="F90" i="2"/>
  <c r="G90" i="2" s="1"/>
  <c r="F91" i="2"/>
  <c r="G91" i="2" s="1"/>
  <c r="F92" i="2"/>
  <c r="G92" i="2" s="1"/>
  <c r="F93" i="2"/>
  <c r="G93" i="2" s="1"/>
  <c r="F94" i="2"/>
  <c r="G94" i="2" s="1"/>
  <c r="F95" i="2"/>
  <c r="G95" i="2" s="1"/>
  <c r="F96" i="2"/>
  <c r="G96" i="2" s="1"/>
  <c r="F97" i="2"/>
  <c r="G97" i="2" s="1"/>
  <c r="F98" i="2"/>
  <c r="G98" i="2" s="1"/>
  <c r="F99" i="2"/>
  <c r="G99" i="2" s="1"/>
  <c r="F100" i="2"/>
  <c r="G100" i="2" s="1"/>
  <c r="F101" i="2"/>
  <c r="G101" i="2" s="1"/>
  <c r="F102" i="2"/>
  <c r="G102" i="2" s="1"/>
  <c r="F103" i="2"/>
  <c r="G103" i="2" s="1"/>
  <c r="F104" i="2"/>
  <c r="G104" i="2" s="1"/>
  <c r="F105" i="2"/>
  <c r="G105" i="2" s="1"/>
  <c r="F106" i="2"/>
  <c r="G106" i="2" s="1"/>
  <c r="F107" i="2"/>
  <c r="G107" i="2" s="1"/>
  <c r="F108" i="2"/>
  <c r="G108" i="2" s="1"/>
  <c r="F109" i="2"/>
  <c r="G109" i="2" s="1"/>
  <c r="F110" i="2"/>
  <c r="G110" i="2" s="1"/>
  <c r="F111" i="2"/>
  <c r="G111" i="2" s="1"/>
  <c r="F112" i="2"/>
  <c r="G112" i="2" s="1"/>
  <c r="F113" i="2"/>
  <c r="G113" i="2" s="1"/>
  <c r="F114" i="2"/>
  <c r="G114" i="2" s="1"/>
  <c r="F115" i="2"/>
  <c r="G115" i="2" s="1"/>
  <c r="F116" i="2"/>
  <c r="G116" i="2" s="1"/>
  <c r="F117" i="2"/>
  <c r="G117" i="2" s="1"/>
  <c r="F118" i="2"/>
  <c r="G118" i="2" s="1"/>
  <c r="F119" i="2"/>
  <c r="G119" i="2" s="1"/>
  <c r="F120" i="2"/>
  <c r="G120" i="2" s="1"/>
  <c r="F121" i="2"/>
  <c r="G121" i="2" s="1"/>
  <c r="F122" i="2"/>
  <c r="G122" i="2" s="1"/>
  <c r="F123" i="2"/>
  <c r="G123" i="2" s="1"/>
  <c r="F124" i="2"/>
  <c r="G124" i="2" s="1"/>
  <c r="F125" i="2"/>
  <c r="G125" i="2" s="1"/>
  <c r="F126" i="2"/>
  <c r="G126" i="2" s="1"/>
  <c r="F127" i="2"/>
  <c r="G127" i="2" s="1"/>
  <c r="F128" i="2"/>
  <c r="G128" i="2" s="1"/>
  <c r="F129" i="2"/>
  <c r="G129" i="2" s="1"/>
  <c r="F130" i="2"/>
  <c r="G130" i="2" s="1"/>
  <c r="F131" i="2"/>
  <c r="G131" i="2" s="1"/>
  <c r="F132" i="2"/>
  <c r="G132" i="2" s="1"/>
  <c r="F133" i="2"/>
  <c r="G133" i="2" s="1"/>
  <c r="F134" i="2"/>
  <c r="G134" i="2" s="1"/>
  <c r="F135" i="2"/>
  <c r="G135" i="2" s="1"/>
  <c r="F136" i="2"/>
  <c r="G136" i="2" s="1"/>
  <c r="F137" i="2"/>
  <c r="G137" i="2" s="1"/>
  <c r="F138" i="2"/>
  <c r="G138" i="2" s="1"/>
  <c r="F139" i="2"/>
  <c r="G139" i="2" s="1"/>
  <c r="F140" i="2"/>
  <c r="G140" i="2" s="1"/>
  <c r="F141" i="2"/>
  <c r="G141" i="2" s="1"/>
  <c r="F142" i="2"/>
  <c r="G142" i="2" s="1"/>
  <c r="F143" i="2"/>
  <c r="G143" i="2" s="1"/>
  <c r="F144" i="2"/>
  <c r="G144" i="2" s="1"/>
  <c r="F145" i="2"/>
  <c r="G145" i="2" s="1"/>
  <c r="F146" i="2"/>
  <c r="G146" i="2" s="1"/>
  <c r="F147" i="2"/>
  <c r="G147" i="2" s="1"/>
  <c r="F148" i="2"/>
  <c r="G148" i="2" s="1"/>
  <c r="F149" i="2"/>
  <c r="G149" i="2" s="1"/>
  <c r="F150" i="2"/>
  <c r="G150" i="2" s="1"/>
  <c r="F151" i="2"/>
  <c r="G151" i="2" s="1"/>
  <c r="F152" i="2"/>
  <c r="G152" i="2" s="1"/>
  <c r="F153" i="2"/>
  <c r="G153" i="2" s="1"/>
  <c r="F154" i="2"/>
  <c r="G154" i="2" s="1"/>
  <c r="F155" i="2"/>
  <c r="G155" i="2" s="1"/>
  <c r="F156" i="2"/>
  <c r="G156" i="2" s="1"/>
  <c r="F157" i="2"/>
  <c r="G157" i="2" s="1"/>
  <c r="F158" i="2"/>
  <c r="G158" i="2" s="1"/>
  <c r="F159" i="2"/>
  <c r="G159" i="2" s="1"/>
  <c r="F160" i="2"/>
  <c r="G160" i="2" s="1"/>
  <c r="F161" i="2"/>
  <c r="G161" i="2" s="1"/>
  <c r="F162" i="2"/>
  <c r="G162" i="2" s="1"/>
  <c r="F163" i="2"/>
  <c r="G163" i="2" s="1"/>
  <c r="F164" i="2"/>
  <c r="G164" i="2" s="1"/>
  <c r="F165" i="2"/>
  <c r="G165" i="2" s="1"/>
  <c r="F166" i="2"/>
  <c r="G166" i="2" s="1"/>
  <c r="F167" i="2"/>
  <c r="G167" i="2" s="1"/>
  <c r="F168" i="2"/>
  <c r="G168" i="2" s="1"/>
  <c r="F169" i="2"/>
  <c r="G169" i="2" s="1"/>
  <c r="F170" i="2"/>
  <c r="G170" i="2" s="1"/>
  <c r="F171" i="2"/>
  <c r="G171" i="2" s="1"/>
  <c r="F172" i="2"/>
  <c r="G172" i="2" s="1"/>
  <c r="F173" i="2"/>
  <c r="G173" i="2" s="1"/>
  <c r="F174" i="2"/>
  <c r="G174" i="2" s="1"/>
  <c r="F175" i="2"/>
  <c r="G175" i="2" s="1"/>
  <c r="F176" i="2"/>
  <c r="G176" i="2" s="1"/>
  <c r="F177" i="2"/>
  <c r="G177" i="2" s="1"/>
  <c r="F178" i="2"/>
  <c r="G178" i="2" s="1"/>
  <c r="F179" i="2"/>
  <c r="G179" i="2" s="1"/>
  <c r="F180" i="2"/>
  <c r="G180" i="2" s="1"/>
  <c r="F181" i="2"/>
  <c r="G181" i="2" s="1"/>
  <c r="F182" i="2"/>
  <c r="G182" i="2" s="1"/>
  <c r="F183" i="2"/>
  <c r="G183" i="2" s="1"/>
  <c r="F184" i="2"/>
  <c r="G184" i="2" s="1"/>
  <c r="F185" i="2"/>
  <c r="G185" i="2" s="1"/>
  <c r="F186" i="2"/>
  <c r="G186" i="2" s="1"/>
  <c r="F187" i="2"/>
  <c r="G187" i="2" s="1"/>
  <c r="F188" i="2"/>
  <c r="G188" i="2" s="1"/>
  <c r="F189" i="2"/>
  <c r="G189" i="2" s="1"/>
  <c r="F190" i="2"/>
  <c r="G190" i="2" s="1"/>
  <c r="F191" i="2"/>
  <c r="G191" i="2" s="1"/>
  <c r="F192" i="2"/>
  <c r="G192" i="2" s="1"/>
  <c r="F193" i="2"/>
  <c r="G193" i="2" s="1"/>
  <c r="F194" i="2"/>
  <c r="G194" i="2" s="1"/>
  <c r="F195" i="2"/>
  <c r="G195" i="2" s="1"/>
  <c r="F196" i="2"/>
  <c r="G196" i="2" s="1"/>
  <c r="F197" i="2"/>
  <c r="G197" i="2" s="1"/>
  <c r="F198" i="2"/>
  <c r="G198" i="2" s="1"/>
  <c r="F199" i="2"/>
  <c r="G199" i="2" s="1"/>
  <c r="F200" i="2"/>
  <c r="G200" i="2" s="1"/>
  <c r="F201" i="2"/>
  <c r="G201" i="2" s="1"/>
  <c r="F202" i="2"/>
  <c r="G202" i="2" s="1"/>
  <c r="F203" i="2"/>
  <c r="G203" i="2" s="1"/>
  <c r="F204" i="2"/>
  <c r="G204" i="2" s="1"/>
  <c r="F205" i="2"/>
  <c r="G205" i="2" s="1"/>
  <c r="F206" i="2"/>
  <c r="G206" i="2" s="1"/>
  <c r="F207" i="2"/>
  <c r="G207" i="2" s="1"/>
  <c r="F208" i="2"/>
  <c r="G208" i="2" s="1"/>
  <c r="F209" i="2"/>
  <c r="G209" i="2" s="1"/>
  <c r="F210" i="2"/>
  <c r="G210" i="2" s="1"/>
  <c r="F211" i="2"/>
  <c r="G211" i="2" s="1"/>
  <c r="F212" i="2"/>
  <c r="G212" i="2" s="1"/>
  <c r="F213" i="2"/>
  <c r="G213" i="2" s="1"/>
  <c r="F214" i="2"/>
  <c r="G214" i="2" s="1"/>
  <c r="F215" i="2"/>
  <c r="G215" i="2" s="1"/>
  <c r="F216" i="2"/>
  <c r="G216" i="2" s="1"/>
  <c r="F217" i="2"/>
  <c r="G217" i="2" s="1"/>
  <c r="F218" i="2"/>
  <c r="G218" i="2" s="1"/>
  <c r="F219" i="2"/>
  <c r="G219" i="2" s="1"/>
  <c r="F220" i="2"/>
  <c r="G220" i="2" s="1"/>
  <c r="F221" i="2"/>
  <c r="G221" i="2" s="1"/>
  <c r="F222" i="2"/>
  <c r="G222" i="2" s="1"/>
  <c r="F223" i="2"/>
  <c r="G223" i="2" s="1"/>
  <c r="F224" i="2"/>
  <c r="G224" i="2" s="1"/>
  <c r="F225" i="2"/>
  <c r="G225" i="2" s="1"/>
  <c r="F226" i="2"/>
  <c r="G226" i="2" s="1"/>
  <c r="F227" i="2"/>
  <c r="G227" i="2" s="1"/>
  <c r="F228" i="2"/>
  <c r="G228" i="2" s="1"/>
  <c r="F229" i="2"/>
  <c r="G229" i="2" s="1"/>
  <c r="F230" i="2"/>
  <c r="G230" i="2" s="1"/>
  <c r="F231" i="2"/>
  <c r="G231" i="2" s="1"/>
  <c r="F232" i="2"/>
  <c r="G232" i="2" s="1"/>
  <c r="F233" i="2"/>
  <c r="G233" i="2" s="1"/>
  <c r="F234" i="2"/>
  <c r="G234" i="2" s="1"/>
  <c r="F235" i="2"/>
  <c r="G235" i="2" s="1"/>
  <c r="F236" i="2"/>
  <c r="G236" i="2" s="1"/>
  <c r="F237" i="2"/>
  <c r="G237" i="2" s="1"/>
  <c r="F238" i="2"/>
  <c r="G238" i="2" s="1"/>
  <c r="F239" i="2"/>
  <c r="G239" i="2" s="1"/>
  <c r="F240" i="2"/>
  <c r="G240" i="2" s="1"/>
  <c r="F241" i="2"/>
  <c r="G241" i="2" s="1"/>
  <c r="F242" i="2"/>
  <c r="G242" i="2" s="1"/>
  <c r="F243" i="2"/>
  <c r="G243" i="2" s="1"/>
  <c r="F244" i="2"/>
  <c r="G244" i="2" s="1"/>
  <c r="F245" i="2"/>
  <c r="G245" i="2" s="1"/>
  <c r="F246" i="2"/>
  <c r="G246" i="2" s="1"/>
  <c r="F247" i="2"/>
  <c r="G247" i="2" s="1"/>
  <c r="F248" i="2"/>
  <c r="G248" i="2" s="1"/>
  <c r="F249" i="2"/>
  <c r="G249" i="2" s="1"/>
  <c r="F250" i="2"/>
  <c r="G250" i="2" s="1"/>
  <c r="F251" i="2"/>
  <c r="G251" i="2" s="1"/>
  <c r="F252" i="2"/>
  <c r="G252" i="2" s="1"/>
  <c r="F253" i="2"/>
  <c r="G253" i="2" s="1"/>
  <c r="F254" i="2"/>
  <c r="G254" i="2" s="1"/>
  <c r="F255" i="2"/>
  <c r="G255" i="2" s="1"/>
  <c r="F256" i="2"/>
  <c r="G256" i="2" s="1"/>
  <c r="F257" i="2"/>
  <c r="G257" i="2" s="1"/>
  <c r="F258" i="2"/>
  <c r="G258" i="2" s="1"/>
  <c r="F259" i="2"/>
  <c r="G259" i="2" s="1"/>
  <c r="F260" i="2"/>
  <c r="G260" i="2" s="1"/>
  <c r="F261" i="2"/>
  <c r="G261" i="2" s="1"/>
  <c r="F262" i="2"/>
  <c r="G262" i="2" s="1"/>
  <c r="F263" i="2"/>
  <c r="G263" i="2" s="1"/>
  <c r="F264" i="2"/>
  <c r="G264" i="2" s="1"/>
  <c r="F265" i="2"/>
  <c r="G265" i="2" s="1"/>
  <c r="F266" i="2"/>
  <c r="G266" i="2" s="1"/>
  <c r="F267" i="2"/>
  <c r="G267" i="2" s="1"/>
  <c r="F268" i="2"/>
  <c r="G268" i="2" s="1"/>
  <c r="F269" i="2"/>
  <c r="G269" i="2" s="1"/>
  <c r="F270" i="2"/>
  <c r="G270" i="2" s="1"/>
  <c r="F271" i="2"/>
  <c r="G271" i="2" s="1"/>
  <c r="F272" i="2"/>
  <c r="G272" i="2" s="1"/>
  <c r="F273" i="2"/>
  <c r="G273" i="2" s="1"/>
  <c r="F274" i="2"/>
  <c r="G274" i="2" s="1"/>
  <c r="F275" i="2"/>
  <c r="G275" i="2" s="1"/>
  <c r="F276" i="2"/>
  <c r="G276" i="2" s="1"/>
  <c r="F277" i="2"/>
  <c r="G277" i="2" s="1"/>
  <c r="F278" i="2"/>
  <c r="G278" i="2" s="1"/>
  <c r="F279" i="2"/>
  <c r="G279" i="2" s="1"/>
  <c r="F280" i="2"/>
  <c r="G280" i="2" s="1"/>
  <c r="F281" i="2"/>
  <c r="G281" i="2" s="1"/>
  <c r="F282" i="2"/>
  <c r="G282" i="2" s="1"/>
  <c r="F283" i="2"/>
  <c r="G283" i="2" s="1"/>
  <c r="F284" i="2"/>
  <c r="G284" i="2" s="1"/>
  <c r="F285" i="2"/>
  <c r="G285" i="2" s="1"/>
  <c r="F286" i="2"/>
  <c r="G286" i="2" s="1"/>
  <c r="F287" i="2"/>
  <c r="G287" i="2" s="1"/>
  <c r="F288" i="2"/>
  <c r="G288" i="2" s="1"/>
  <c r="F289" i="2"/>
  <c r="G289" i="2" s="1"/>
  <c r="F290" i="2"/>
  <c r="G290" i="2" s="1"/>
  <c r="F291" i="2"/>
  <c r="G291" i="2" s="1"/>
  <c r="F292" i="2"/>
  <c r="G292" i="2" s="1"/>
  <c r="F293" i="2"/>
  <c r="G293" i="2" s="1"/>
  <c r="F294" i="2"/>
  <c r="G294" i="2" s="1"/>
  <c r="F295" i="2"/>
  <c r="G295" i="2" s="1"/>
  <c r="F296" i="2"/>
  <c r="G296" i="2" s="1"/>
  <c r="F297" i="2"/>
  <c r="G297" i="2" s="1"/>
  <c r="F298" i="2"/>
  <c r="G298" i="2" s="1"/>
  <c r="F299" i="2"/>
  <c r="G299" i="2" s="1"/>
  <c r="F300" i="2"/>
  <c r="G300" i="2" s="1"/>
  <c r="F301" i="2"/>
  <c r="G301" i="2" s="1"/>
  <c r="F2" i="2"/>
  <c r="G2" i="2" s="1"/>
  <c r="I4" i="3" a="1"/>
  <c r="I4" i="3" s="1"/>
  <c r="K4" i="3" s="1"/>
  <c r="B12" i="3"/>
  <c r="C10" i="3"/>
  <c r="B10" i="3"/>
  <c r="B9" i="3"/>
  <c r="C9" i="3"/>
  <c r="C7" i="3"/>
  <c r="B7" i="3"/>
  <c r="C6" i="3"/>
  <c r="B6" i="3"/>
  <c r="C5" i="3"/>
  <c r="B5" i="3"/>
  <c r="C4" i="3"/>
  <c r="B4" i="3"/>
  <c r="G92" i="4" l="1"/>
  <c r="G97" i="4"/>
  <c r="G91" i="4"/>
  <c r="F97" i="4"/>
  <c r="H97" i="4" s="1"/>
  <c r="F91" i="4"/>
  <c r="H91" i="4" s="1"/>
  <c r="G96" i="4"/>
  <c r="G90" i="4"/>
  <c r="F96" i="4"/>
  <c r="H96" i="4" s="1"/>
  <c r="F90" i="4"/>
  <c r="H90" i="4" s="1"/>
  <c r="G94" i="4"/>
  <c r="G95" i="4"/>
  <c r="G89" i="4"/>
  <c r="F95" i="4"/>
  <c r="H95" i="4" s="1"/>
  <c r="F89" i="4"/>
  <c r="H89" i="4" s="1"/>
  <c r="F94" i="4"/>
  <c r="H94" i="4" s="1"/>
  <c r="G93" i="4"/>
  <c r="F93" i="4"/>
  <c r="H93" i="4" s="1"/>
  <c r="F92" i="4"/>
  <c r="H92" i="4" s="1"/>
  <c r="F88" i="4"/>
  <c r="H88" i="4" s="1"/>
  <c r="G88" i="4"/>
  <c r="B8" i="3"/>
  <c r="C8" i="3"/>
  <c r="J4" i="3"/>
  <c r="J5" i="3"/>
  <c r="J9" i="3"/>
  <c r="J8" i="3"/>
  <c r="J7" i="3"/>
  <c r="J6" i="3"/>
  <c r="K9" i="3"/>
  <c r="K8" i="3"/>
  <c r="K7" i="3"/>
  <c r="K6" i="3"/>
  <c r="K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69CD61-CCE8-4F23-B62A-D1EA789395E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54E3F1C-F1D5-4296-AB5C-4C427AA6776D}" name="WorksheetConnection_beginner-DA-course-blank (1).xlsx!Table2" type="102" refreshedVersion="8" minRefreshableVersion="5">
    <extLst>
      <ext xmlns:x15="http://schemas.microsoft.com/office/spreadsheetml/2010/11/main" uri="{DE250136-89BD-433C-8126-D09CA5730AF9}">
        <x15:connection id="Table2" autoDelete="1">
          <x15:rangePr sourceName="_xlcn.WorksheetConnection_beginnerDAcourseblank1.xlsxTable2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<sst xmlns="http://schemas.openxmlformats.org/spreadsheetml/2006/main" count="1960" uniqueCount="83">
  <si>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</si>
  <si>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</si>
  <si>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</si>
  <si>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</si>
  <si>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</si>
  <si>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</si>
  <si>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</si>
  <si>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</si>
  <si>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</si>
  <si>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</si>
  <si>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</si>
  <si>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</si>
  <si>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</si>
  <si>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</si>
  <si>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</si>
  <si>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</si>
  <si>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</si>
  <si>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</si>
  <si>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</si>
  <si>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</si>
  <si>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</si>
  <si>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</si>
  <si>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</si>
  <si>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</si>
  <si>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</si>
  <si>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</si>
  <si>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</si>
  <si>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</si>
  <si>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</si>
  <si>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</si>
  <si>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</si>
  <si>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</si>
  <si>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</si>
  <si>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</si>
  <si>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</si>
  <si>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</si>
  <si>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</si>
  <si>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</si>
  <si>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</si>
  <si>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</si>
  <si>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</si>
  <si>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</si>
  <si>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</si>
  <si>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</si>
  <si>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</si>
  <si>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</si>
  <si>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</si>
  <si>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Best Sales person by country</t>
  </si>
  <si>
    <t>Units</t>
  </si>
  <si>
    <t>Cost per unit</t>
  </si>
  <si>
    <t>Exploratory Data Analysis (EDA) with CF</t>
  </si>
  <si>
    <t>Top 5 products by $ per unit</t>
  </si>
  <si>
    <t>Are there any anomalies in the data?</t>
  </si>
  <si>
    <t>average</t>
  </si>
  <si>
    <t>amount</t>
  </si>
  <si>
    <t>units</t>
  </si>
  <si>
    <t>median</t>
  </si>
  <si>
    <t>min</t>
  </si>
  <si>
    <t>max</t>
  </si>
  <si>
    <t>range</t>
  </si>
  <si>
    <t>first Q</t>
  </si>
  <si>
    <t>Distinct count of products</t>
  </si>
  <si>
    <t>QUICK STATISTICS</t>
  </si>
  <si>
    <t>country</t>
  </si>
  <si>
    <t>third Q</t>
  </si>
  <si>
    <t>Sum of Amount</t>
  </si>
  <si>
    <t>Sum of Units</t>
  </si>
  <si>
    <t>Row Labels</t>
  </si>
  <si>
    <t>Grand Total</t>
  </si>
  <si>
    <t>Sales by country</t>
  </si>
  <si>
    <t>sales per unit</t>
  </si>
  <si>
    <t>cost per unit</t>
  </si>
  <si>
    <t>cost</t>
  </si>
  <si>
    <t xml:space="preserve">Profits by product (using products table) </t>
  </si>
  <si>
    <t>total profit</t>
  </si>
  <si>
    <t>Pick a country</t>
  </si>
  <si>
    <t>QUICK SUMMERY</t>
  </si>
  <si>
    <t>NUMBER OF TRANSACTIONS</t>
  </si>
  <si>
    <t>profit</t>
  </si>
  <si>
    <t>sales</t>
  </si>
  <si>
    <t>total</t>
  </si>
  <si>
    <t>BY SALES PERSON</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</si>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</sst>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409]* #,##0.00_ ;_-[$$-409]* \-#,##0.00\ ;_-[$$-409]* &quot;-&quot;??_ ;_-@_ "/>
    <numFmt numFmtId="170" formatCode="#,##0.0"/>
    <numFmt numFmtId="171" formatCode="\$#,##0.00;\-\$#,##0.00;\$#,##0.00"/>
    <numFmt numFmtId="176" formatCode="\$#,##0;\-\$#,##0;\$#,##0"/>
  </numFmts>
  <fonts count="8" x14ac:knownFonts="1">
    <font>
      <sz val="11"/>
      <color theme="1"/>
      <name val="Calibri"/>
      <family val="2"/>
      <scheme val="minor"/>
    </font>
    <font>
      <b/>
      <sz val="11"/>
      <color theme="1"/>
      <name val="Calibri"/>
      <family val="2"/>
      <scheme val="minor"/>
    </font>
    <font>
      <b/>
      <sz val="13"/>
      <color theme="3"/>
      <name val="Calibri"/>
      <family val="2"/>
      <charset val="238"/>
      <scheme val="minor"/>
    </font>
    <font>
      <b/>
      <sz val="11"/>
      <color theme="3"/>
      <name val="Calibri"/>
      <family val="2"/>
      <charset val="238"/>
      <scheme val="minor"/>
    </font>
    <font>
      <b/>
      <sz val="11"/>
      <color theme="1"/>
      <name val="Calibri"/>
      <family val="2"/>
      <charset val="238"/>
      <scheme val="minor"/>
    </font>
    <font>
      <b/>
      <sz val="11"/>
      <color theme="0"/>
      <name val="Calibri"/>
      <family val="2"/>
      <scheme val="minor"/>
    </font>
    <font>
      <sz val="11"/>
      <color theme="3"/>
      <name val="Calibri"/>
      <family val="2"/>
      <scheme val="minor"/>
    </font>
    <font>
      <i/>
      <sz val="11"/>
      <color theme="1"/>
      <name val="Calibri"/>
      <family val="2"/>
      <charset val="238"/>
      <scheme val="minor"/>
    </font>
  </fonts>
  <fills count="9">
    <fill>
      <patternFill patternType="none"/>
    </fill>
    <fill>
      <patternFill patternType="gray125"/>
    </fill>
    <fill>
      <patternFill patternType="solid">
        <fgColor theme="2"/>
        <bgColor indexed="64"/>
      </patternFill>
    </fill>
    <fill>
      <patternFill patternType="solid">
        <fgColor theme="6" tint="0.79998168889431442"/>
        <bgColor theme="6" tint="0.79998168889431442"/>
      </patternFill>
    </fill>
    <fill>
      <patternFill patternType="solid">
        <fgColor theme="6"/>
        <bgColor theme="6"/>
      </patternFill>
    </fill>
    <fill>
      <patternFill patternType="solid">
        <fgColor theme="7" tint="0.59999389629810485"/>
        <bgColor indexed="64"/>
      </patternFill>
    </fill>
    <fill>
      <patternFill patternType="solid">
        <fgColor theme="0"/>
        <bgColor indexed="64"/>
      </patternFill>
    </fill>
    <fill>
      <patternFill patternType="solid">
        <fgColor theme="7" tint="0.39997558519241921"/>
        <bgColor indexed="64"/>
      </patternFill>
    </fill>
    <fill>
      <patternFill patternType="solid">
        <fgColor theme="7"/>
        <bgColor indexed="64"/>
      </patternFill>
    </fill>
  </fills>
  <borders count="24">
    <border>
      <left/>
      <right/>
      <top/>
      <bottom/>
      <diagonal/>
    </border>
    <border>
      <left/>
      <right/>
      <top style="dotted">
        <color theme="0" tint="-0.24994659260841701"/>
      </top>
      <bottom style="dotted">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medium">
        <color theme="4" tint="0.39997558519241921"/>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2" fillId="0" borderId="2" applyNumberFormat="0" applyFill="0" applyAlignment="0" applyProtection="0"/>
    <xf numFmtId="0" fontId="3" fillId="0" borderId="3" applyNumberFormat="0" applyFill="0" applyAlignment="0" applyProtection="0"/>
    <xf numFmtId="0" fontId="3" fillId="0" borderId="0" applyNumberFormat="0" applyFill="0" applyBorder="0" applyAlignment="0" applyProtection="0"/>
  </cellStyleXfs>
  <cellXfs count="70">
    <xf numFmtId="0" fontId="0" fillId="0" borderId="0" xfId="0"/>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0" borderId="0" xfId="0" applyFont="1" applyAlignment="1">
      <alignment horizontal="right"/>
    </xf>
    <xf numFmtId="0" fontId="2" fillId="2" borderId="2" xfId="1" applyFill="1" applyAlignment="1">
      <alignment horizontal="center" vertical="center"/>
    </xf>
    <xf numFmtId="0" fontId="0" fillId="0" borderId="4" xfId="0" applyFont="1" applyBorder="1"/>
    <xf numFmtId="0" fontId="0" fillId="0" borderId="5" xfId="0" applyFont="1" applyBorder="1"/>
    <xf numFmtId="0" fontId="0" fillId="3" borderId="4" xfId="0" applyFont="1" applyFill="1" applyBorder="1"/>
    <xf numFmtId="0" fontId="0" fillId="3" borderId="5" xfId="0" applyFont="1" applyFill="1" applyBorder="1"/>
    <xf numFmtId="0" fontId="2" fillId="0" borderId="2" xfId="1"/>
    <xf numFmtId="0" fontId="2" fillId="0" borderId="2" xfId="1" applyAlignment="1"/>
    <xf numFmtId="0" fontId="4" fillId="0" borderId="0" xfId="0" applyFont="1"/>
    <xf numFmtId="0" fontId="2" fillId="0" borderId="2" xfId="1" applyAlignment="1">
      <alignment horizontal="center"/>
    </xf>
    <xf numFmtId="164" fontId="0" fillId="3" borderId="5" xfId="0" applyNumberFormat="1" applyFont="1" applyFill="1" applyBorder="1"/>
    <xf numFmtId="3" fontId="0" fillId="3" borderId="6" xfId="0" applyNumberFormat="1" applyFont="1" applyFill="1" applyBorder="1"/>
    <xf numFmtId="164" fontId="0" fillId="0" borderId="5" xfId="0" applyNumberFormat="1" applyFont="1" applyBorder="1"/>
    <xf numFmtId="3" fontId="0" fillId="0" borderId="6" xfId="0" applyNumberFormat="1" applyFont="1" applyBorder="1"/>
    <xf numFmtId="0" fontId="5" fillId="4" borderId="4" xfId="0" applyFont="1" applyFill="1" applyBorder="1"/>
    <xf numFmtId="0" fontId="5" fillId="4" borderId="5" xfId="0" applyFont="1" applyFill="1" applyBorder="1"/>
    <xf numFmtId="0" fontId="5" fillId="4" borderId="5" xfId="0" applyFont="1" applyFill="1" applyBorder="1" applyAlignment="1">
      <alignment horizontal="right"/>
    </xf>
    <xf numFmtId="0" fontId="5" fillId="4" borderId="6" xfId="0" applyFont="1" applyFill="1" applyBorder="1" applyAlignment="1">
      <alignment horizontal="right"/>
    </xf>
    <xf numFmtId="0" fontId="2" fillId="0" borderId="2" xfId="1" applyAlignment="1">
      <alignment horizontal="center"/>
    </xf>
    <xf numFmtId="0" fontId="4" fillId="0" borderId="7" xfId="0" applyFont="1" applyBorder="1"/>
    <xf numFmtId="0" fontId="0" fillId="0" borderId="8" xfId="0" applyBorder="1"/>
    <xf numFmtId="0" fontId="0" fillId="0" borderId="9" xfId="0" applyBorder="1"/>
    <xf numFmtId="0" fontId="4" fillId="0" borderId="10" xfId="0" applyFont="1" applyBorder="1"/>
    <xf numFmtId="0" fontId="0" fillId="0" borderId="0" xfId="0" applyBorder="1"/>
    <xf numFmtId="0" fontId="0" fillId="0" borderId="11" xfId="0" applyBorder="1"/>
    <xf numFmtId="0" fontId="4" fillId="0" borderId="12" xfId="0" applyFont="1" applyBorder="1"/>
    <xf numFmtId="0" fontId="0" fillId="0" borderId="13" xfId="0" applyBorder="1"/>
    <xf numFmtId="0" fontId="0" fillId="0" borderId="14" xfId="0" applyBorder="1"/>
    <xf numFmtId="166" fontId="0" fillId="0" borderId="0" xfId="0" applyNumberFormat="1"/>
    <xf numFmtId="170" fontId="6" fillId="0" borderId="0" xfId="0" applyNumberFormat="1" applyFont="1"/>
    <xf numFmtId="0" fontId="0" fillId="0" borderId="0" xfId="0" applyNumberFormat="1"/>
    <xf numFmtId="0" fontId="0" fillId="0" borderId="0" xfId="0" pivotButton="1"/>
    <xf numFmtId="0" fontId="0" fillId="0" borderId="0" xfId="0" applyAlignment="1">
      <alignment horizontal="left"/>
    </xf>
    <xf numFmtId="0" fontId="3" fillId="0" borderId="0" xfId="3" applyAlignment="1">
      <alignment horizontal="center"/>
    </xf>
    <xf numFmtId="0" fontId="0" fillId="0" borderId="0" xfId="0" applyAlignment="1">
      <alignment horizontal="left" indent="1"/>
    </xf>
    <xf numFmtId="0" fontId="3" fillId="0" borderId="3" xfId="2" applyAlignment="1">
      <alignment horizontal="center"/>
    </xf>
    <xf numFmtId="171" fontId="0" fillId="0" borderId="0" xfId="0" applyNumberFormat="1"/>
    <xf numFmtId="0" fontId="0" fillId="0" borderId="0" xfId="0"/>
    <xf numFmtId="164" fontId="0" fillId="0" borderId="0" xfId="0" applyNumberFormat="1"/>
    <xf numFmtId="0" fontId="1" fillId="0" borderId="0" xfId="0" applyFont="1"/>
    <xf numFmtId="165" fontId="0" fillId="0" borderId="0" xfId="0" applyNumberFormat="1"/>
    <xf numFmtId="176" fontId="0" fillId="0" borderId="0" xfId="0" applyNumberFormat="1"/>
    <xf numFmtId="0" fontId="0" fillId="6" borderId="0" xfId="0" applyFill="1"/>
    <xf numFmtId="0" fontId="0" fillId="6" borderId="0" xfId="0" applyFill="1" applyBorder="1"/>
    <xf numFmtId="0" fontId="0" fillId="7" borderId="0" xfId="0" applyFill="1" applyBorder="1"/>
    <xf numFmtId="0" fontId="4" fillId="7" borderId="0" xfId="0" applyFont="1" applyFill="1" applyBorder="1"/>
    <xf numFmtId="0" fontId="4" fillId="5" borderId="0" xfId="0" applyFont="1" applyFill="1" applyBorder="1"/>
    <xf numFmtId="0" fontId="7" fillId="6" borderId="0" xfId="0" applyFont="1" applyFill="1" applyBorder="1"/>
    <xf numFmtId="166" fontId="0" fillId="6" borderId="0" xfId="0" applyNumberFormat="1" applyFill="1" applyBorder="1"/>
    <xf numFmtId="0" fontId="0" fillId="6" borderId="15" xfId="0" applyFill="1" applyBorder="1"/>
    <xf numFmtId="0" fontId="0" fillId="6" borderId="16" xfId="0" applyFill="1" applyBorder="1"/>
    <xf numFmtId="0" fontId="0" fillId="6" borderId="17" xfId="0" applyFill="1" applyBorder="1"/>
    <xf numFmtId="0" fontId="3" fillId="6" borderId="18" xfId="2" applyFill="1" applyBorder="1" applyAlignment="1">
      <alignment horizontal="center"/>
    </xf>
    <xf numFmtId="0" fontId="3" fillId="6" borderId="3" xfId="2" applyFill="1" applyBorder="1" applyAlignment="1">
      <alignment horizontal="center"/>
    </xf>
    <xf numFmtId="0" fontId="0" fillId="6" borderId="19" xfId="0" applyFill="1" applyBorder="1"/>
    <xf numFmtId="0" fontId="0" fillId="6" borderId="20" xfId="0" applyFill="1" applyBorder="1"/>
    <xf numFmtId="0" fontId="7" fillId="6" borderId="20" xfId="0" applyFont="1" applyFill="1" applyBorder="1"/>
    <xf numFmtId="0" fontId="0" fillId="8" borderId="0" xfId="0" applyFill="1" applyBorder="1"/>
    <xf numFmtId="0" fontId="4" fillId="7" borderId="20" xfId="0" applyFont="1" applyFill="1" applyBorder="1"/>
    <xf numFmtId="0" fontId="0" fillId="5" borderId="0" xfId="0" applyFill="1" applyBorder="1"/>
    <xf numFmtId="0" fontId="4" fillId="5" borderId="20" xfId="0" applyFont="1" applyFill="1" applyBorder="1"/>
    <xf numFmtId="0" fontId="0" fillId="0" borderId="21" xfId="0" applyBorder="1"/>
    <xf numFmtId="0" fontId="0" fillId="0" borderId="22" xfId="0" applyBorder="1"/>
    <xf numFmtId="0" fontId="0" fillId="0" borderId="23" xfId="0" applyBorder="1"/>
  </cellXfs>
  <cellStyles count="4">
    <cellStyle name="Heading 2" xfId="1" builtinId="17"/>
    <cellStyle name="Heading 3" xfId="2" builtinId="18"/>
    <cellStyle name="Heading 4" xfId="3" builtinId="19"/>
    <cellStyle name="Normal" xfId="0" builtinId="0"/>
  </cellStyles>
  <dxfs count="7">
    <dxf>
      <numFmt numFmtId="166" formatCode="_-[$$-409]* #,##0.00_ ;_-[$$-409]* \-#,##0.00\ ;_-[$$-409]* &quot;-&quot;??_ ;_-@_ "/>
    </dxf>
    <dxf>
      <font>
        <b/>
        <i val="0"/>
        <strike val="0"/>
        <condense val="0"/>
        <extend val="0"/>
        <outline val="0"/>
        <shadow val="0"/>
        <u val="none"/>
        <vertAlign val="baseline"/>
        <sz val="11"/>
        <color theme="1"/>
        <name val="Calibri"/>
        <family val="2"/>
        <charset val="238"/>
        <scheme val="minor"/>
      </font>
    </dxf>
    <dxf>
      <numFmt numFmtId="165" formatCode="&quot;$&quot;#,##0.00_);[Red]\(&quot;$&quot;#,##0.00\)"/>
    </dxf>
    <dxf>
      <numFmt numFmtId="166" formatCode="_-[$$-409]* #,##0.00_ ;_-[$$-409]* \-#,##0.00\ ;_-[$$-409]* &quot;-&quot;??_ ;_-@_ "/>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2.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9525</xdr:colOff>
      <xdr:row>2</xdr:row>
      <xdr:rowOff>38101</xdr:rowOff>
    </xdr:from>
    <xdr:to>
      <xdr:col>9</xdr:col>
      <xdr:colOff>9525</xdr:colOff>
      <xdr:row>11</xdr:row>
      <xdr:rowOff>9525</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3B20B56B-EA69-7CF9-EE1F-A155A5D845E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419600" y="419101"/>
              <a:ext cx="3619500" cy="1685924"/>
            </a:xfrm>
            <a:prstGeom prst="rect">
              <a:avLst/>
            </a:prstGeom>
            <a:solidFill>
              <a:prstClr val="white"/>
            </a:solidFill>
            <a:ln w="1">
              <a:solidFill>
                <a:prstClr val="green"/>
              </a:solidFill>
            </a:ln>
          </xdr:spPr>
          <xdr:txBody>
            <a:bodyPr vertOverflow="clip" horzOverflow="clip"/>
            <a:lstStyle/>
            <a:p>
              <a:r>
                <a:rPr lang="hr-B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xdr:colOff>
      <xdr:row>12</xdr:row>
      <xdr:rowOff>171450</xdr:rowOff>
    </xdr:from>
    <xdr:to>
      <xdr:col>23</xdr:col>
      <xdr:colOff>561975</xdr:colOff>
      <xdr:row>12</xdr:row>
      <xdr:rowOff>171450</xdr:rowOff>
    </xdr:to>
    <xdr:cxnSp macro="">
      <xdr:nvCxnSpPr>
        <xdr:cNvPr id="4" name="Straight Connector 3">
          <a:extLst>
            <a:ext uri="{FF2B5EF4-FFF2-40B4-BE49-F238E27FC236}">
              <a16:creationId xmlns:a16="http://schemas.microsoft.com/office/drawing/2014/main" id="{888EFAF6-352E-C96E-5C96-69F0309B95F0}"/>
            </a:ext>
          </a:extLst>
        </xdr:cNvPr>
        <xdr:cNvCxnSpPr/>
      </xdr:nvCxnSpPr>
      <xdr:spPr>
        <a:xfrm>
          <a:off x="9525" y="2457450"/>
          <a:ext cx="16002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26</xdr:row>
      <xdr:rowOff>161925</xdr:rowOff>
    </xdr:from>
    <xdr:to>
      <xdr:col>26</xdr:col>
      <xdr:colOff>371475</xdr:colOff>
      <xdr:row>27</xdr:row>
      <xdr:rowOff>28575</xdr:rowOff>
    </xdr:to>
    <xdr:cxnSp macro="">
      <xdr:nvCxnSpPr>
        <xdr:cNvPr id="7" name="Straight Connector 6">
          <a:extLst>
            <a:ext uri="{FF2B5EF4-FFF2-40B4-BE49-F238E27FC236}">
              <a16:creationId xmlns:a16="http://schemas.microsoft.com/office/drawing/2014/main" id="{FC9219C2-6608-E36B-48D7-74ACB3608BD0}"/>
            </a:ext>
          </a:extLst>
        </xdr:cNvPr>
        <xdr:cNvCxnSpPr/>
      </xdr:nvCxnSpPr>
      <xdr:spPr>
        <a:xfrm>
          <a:off x="38100" y="5124450"/>
          <a:ext cx="17611725" cy="57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45</xdr:row>
      <xdr:rowOff>180975</xdr:rowOff>
    </xdr:from>
    <xdr:to>
      <xdr:col>25</xdr:col>
      <xdr:colOff>314325</xdr:colOff>
      <xdr:row>46</xdr:row>
      <xdr:rowOff>0</xdr:rowOff>
    </xdr:to>
    <xdr:cxnSp macro="">
      <xdr:nvCxnSpPr>
        <xdr:cNvPr id="12" name="Straight Connector 11">
          <a:extLst>
            <a:ext uri="{FF2B5EF4-FFF2-40B4-BE49-F238E27FC236}">
              <a16:creationId xmlns:a16="http://schemas.microsoft.com/office/drawing/2014/main" id="{AE65EE39-B176-0119-4061-588A8335B10A}"/>
            </a:ext>
          </a:extLst>
        </xdr:cNvPr>
        <xdr:cNvCxnSpPr/>
      </xdr:nvCxnSpPr>
      <xdr:spPr>
        <a:xfrm>
          <a:off x="28575" y="8772525"/>
          <a:ext cx="180879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19050</xdr:colOff>
      <xdr:row>53</xdr:row>
      <xdr:rowOff>38100</xdr:rowOff>
    </xdr:from>
    <xdr:to>
      <xdr:col>4</xdr:col>
      <xdr:colOff>762000</xdr:colOff>
      <xdr:row>66</xdr:row>
      <xdr:rowOff>85725</xdr:rowOff>
    </xdr:to>
    <mc:AlternateContent xmlns:mc="http://schemas.openxmlformats.org/markup-compatibility/2006">
      <mc:Choice xmlns:a14="http://schemas.microsoft.com/office/drawing/2010/main" Requires="a14">
        <xdr:graphicFrame macro="">
          <xdr:nvGraphicFramePr>
            <xdr:cNvPr id="13" name="Geography">
              <a:extLst>
                <a:ext uri="{FF2B5EF4-FFF2-40B4-BE49-F238E27FC236}">
                  <a16:creationId xmlns:a16="http://schemas.microsoft.com/office/drawing/2014/main" id="{ECD322D9-A8C0-0EC4-498D-343F111499D1}"/>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343275" y="10163175"/>
              <a:ext cx="1828800" cy="2524125"/>
            </a:xfrm>
            <a:prstGeom prst="rect">
              <a:avLst/>
            </a:prstGeom>
            <a:solidFill>
              <a:prstClr val="white"/>
            </a:solidFill>
            <a:ln w="1">
              <a:solidFill>
                <a:prstClr val="green"/>
              </a:solidFill>
            </a:ln>
          </xdr:spPr>
          <xdr:txBody>
            <a:bodyPr vertOverflow="clip" horzOverflow="clip"/>
            <a:lstStyle/>
            <a:p>
              <a:r>
                <a:rPr lang="hr-B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66675</xdr:colOff>
      <xdr:row>75</xdr:row>
      <xdr:rowOff>171450</xdr:rowOff>
    </xdr:from>
    <xdr:to>
      <xdr:col>25</xdr:col>
      <xdr:colOff>352425</xdr:colOff>
      <xdr:row>75</xdr:row>
      <xdr:rowOff>180975</xdr:rowOff>
    </xdr:to>
    <xdr:cxnSp macro="">
      <xdr:nvCxnSpPr>
        <xdr:cNvPr id="15" name="Straight Connector 14">
          <a:extLst>
            <a:ext uri="{FF2B5EF4-FFF2-40B4-BE49-F238E27FC236}">
              <a16:creationId xmlns:a16="http://schemas.microsoft.com/office/drawing/2014/main" id="{E3DC311E-5B46-E719-BB5E-A65B5E3F3FAE}"/>
            </a:ext>
          </a:extLst>
        </xdr:cNvPr>
        <xdr:cNvCxnSpPr/>
      </xdr:nvCxnSpPr>
      <xdr:spPr>
        <a:xfrm flipV="1">
          <a:off x="66675" y="14487525"/>
          <a:ext cx="173259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762000</xdr:colOff>
      <xdr:row>101</xdr:row>
      <xdr:rowOff>171450</xdr:rowOff>
    </xdr:from>
    <xdr:to>
      <xdr:col>20</xdr:col>
      <xdr:colOff>180975</xdr:colOff>
      <xdr:row>101</xdr:row>
      <xdr:rowOff>190500</xdr:rowOff>
    </xdr:to>
    <xdr:cxnSp macro="">
      <xdr:nvCxnSpPr>
        <xdr:cNvPr id="17" name="Straight Connector 16">
          <a:extLst>
            <a:ext uri="{FF2B5EF4-FFF2-40B4-BE49-F238E27FC236}">
              <a16:creationId xmlns:a16="http://schemas.microsoft.com/office/drawing/2014/main" id="{C0424383-97B6-F83B-E96B-3AC1A2E9668F}"/>
            </a:ext>
          </a:extLst>
        </xdr:cNvPr>
        <xdr:cNvCxnSpPr/>
      </xdr:nvCxnSpPr>
      <xdr:spPr>
        <a:xfrm flipV="1">
          <a:off x="2276475" y="19450050"/>
          <a:ext cx="126396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jana" refreshedDate="45352.953646180555" backgroundQuery="1" createdVersion="8" refreshedVersion="8" minRefreshableVersion="3" recordCount="0" supportSubquery="1" supportAdvancedDrill="1" xr:uid="{8E12FAED-D0B3-430C-83CA-A4FABC8C1494}">
  <cacheSource type="external" connectionId="1"/>
  <cacheFields count="3">
    <cacheField name="[Table2].[Geography].[Geography]" caption="Geography" numFmtId="0" hierarchy="1" level="1">
      <sharedItems count="6">
        <s v="Australia"/>
        <s v="Canada"/>
        <s v="India"/>
        <s v="New Zealand"/>
        <s v="UK"/>
        <s v="USA"/>
      </sharedItems>
    </cacheField>
    <cacheField name="[Table2].[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5">
    <cacheHierarchy uniqueName="[Table2].[Sales Person]" caption="Sales Person" attribute="1" defaultMemberUniqueName="[Table2].[Sales Person].[All]" allUniqueName="[Table2].[Sales Person].[All]" dimensionUniqueName="[Table2]" displayFolder="" count="2" memberValueDatatype="130" unbalanced="0">
      <fieldsUsage count="2">
        <fieldUsage x="-1"/>
        <fieldUsage x="1"/>
      </fieldsUsage>
    </cacheHierarchy>
    <cacheHierarchy uniqueName="[Table2].[Geography]" caption="Geography" attribute="1" defaultMemberUniqueName="[Table2].[Geography].[All]" allUniqueName="[Table2].[Geography].[All]" dimensionUniqueName="[Table2]" displayFolder="" count="2" memberValueDatatype="130" unbalanced="0">
      <fieldsUsage count="2">
        <fieldUsage x="-1"/>
        <fieldUsage x="0"/>
      </fieldsUsage>
    </cacheHierarchy>
    <cacheHierarchy uniqueName="[Table2].[Product]" caption="Product" attribute="1" defaultMemberUniqueName="[Table2].[Product].[All]" allUniqueName="[Table2].[Product].[All]" dimensionUniqueName="[Table2]" displayFolder="" count="0" memberValueDatatype="130" unbalanced="0"/>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per unit]" caption="cost per unit" attribute="1" defaultMemberUniqueName="[Table2].[cost per unit].[All]" allUniqueName="[Table2].[cost per unit].[All]" dimensionUniqueName="[Table2]" displayFolder="" count="0" memberValueDatatype="5" unbalanced="0"/>
    <cacheHierarchy uniqueName="[Table2].[cost]" caption="cost" attribute="1" defaultMemberUniqueName="[Table2].[cost].[All]" allUniqueName="[Table2].[cost].[All]" dimensionUniqueName="[Table2]" displayFolder="" count="0" memberValueDatatype="5" unbalanced="0"/>
    <cacheHierarchy uniqueName="[Measures].[Sum of Amount]" caption="Sum of Amount" measure="1" displayFolder="" measureGroup="Table2"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Table2" count="0">
      <extLst>
        <ext xmlns:x15="http://schemas.microsoft.com/office/spreadsheetml/2010/11/main" uri="{B97F6D7D-B522-45F9-BDA1-12C45D357490}">
          <x15:cacheHierarchy aggregatedColumn="0"/>
        </ext>
      </extLst>
    </cacheHierarchy>
    <cacheHierarchy uniqueName="[Measures].[Sum of cost]" caption="Sum of cost" measure="1" displayFolder="" measureGroup="Table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le2" count="0"/>
    <cacheHierarchy uniqueName="[Measures].[total profit]" caption="total profi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jana" refreshedDate="45352.953647106478" backgroundQuery="1" createdVersion="8" refreshedVersion="8" minRefreshableVersion="3" recordCount="0" supportSubquery="1" supportAdvancedDrill="1" xr:uid="{ABE4AFFB-6E3E-4577-8563-4E68D82CC8F6}">
  <cacheSource type="external" connectionId="1"/>
  <cacheFields count="3">
    <cacheField name="[Table2].[Geography].[Geography]" caption="Geography" numFmtId="0" hierarchy="1" level="1">
      <sharedItems count="6">
        <s v="Australia"/>
        <s v="Canada"/>
        <s v="India"/>
        <s v="New Zealand"/>
        <s v="UK"/>
        <s v="USA"/>
      </sharedItems>
    </cacheField>
    <cacheField name="[Table2].[Sales Person].[Sales Person]" caption="Sales Person" numFmtId="0" level="1">
      <sharedItems count="4">
        <s v="Gigi Bohling"/>
        <s v="Ches Bonnell"/>
        <s v="Barr Faughny"/>
        <s v="Ram Mahesh"/>
      </sharedItems>
    </cacheField>
    <cacheField name="[Measures].[Sum of Amount]" caption="Sum of Amount" numFmtId="0" hierarchy="7" level="32767"/>
  </cacheFields>
  <cacheHierarchies count="15">
    <cacheHierarchy uniqueName="[Table2].[Sales Person]" caption="Sales Person" attribute="1" defaultMemberUniqueName="[Table2].[Sales Person].[All]" allUniqueName="[Table2].[Sales Person].[All]" dimensionUniqueName="[Table2]" displayFolder="" count="2" memberValueDatatype="130" unbalanced="0">
      <fieldsUsage count="2">
        <fieldUsage x="-1"/>
        <fieldUsage x="1"/>
      </fieldsUsage>
    </cacheHierarchy>
    <cacheHierarchy uniqueName="[Table2].[Geography]" caption="Geography" attribute="1" defaultMemberUniqueName="[Table2].[Geography].[All]" allUniqueName="[Table2].[Geography].[All]" dimensionUniqueName="[Table2]" displayFolder="" count="2" memberValueDatatype="130" unbalanced="0">
      <fieldsUsage count="2">
        <fieldUsage x="-1"/>
        <fieldUsage x="0"/>
      </fieldsUsage>
    </cacheHierarchy>
    <cacheHierarchy uniqueName="[Table2].[Product]" caption="Product" attribute="1" defaultMemberUniqueName="[Table2].[Product].[All]" allUniqueName="[Table2].[Product].[All]" dimensionUniqueName="[Table2]" displayFolder="" count="0" memberValueDatatype="130" unbalanced="0"/>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per unit]" caption="cost per unit" attribute="1" defaultMemberUniqueName="[Table2].[cost per unit].[All]" allUniqueName="[Table2].[cost per unit].[All]" dimensionUniqueName="[Table2]" displayFolder="" count="0" memberValueDatatype="5" unbalanced="0"/>
    <cacheHierarchy uniqueName="[Table2].[cost]" caption="cost" attribute="1" defaultMemberUniqueName="[Table2].[cost].[All]" allUniqueName="[Table2].[cost].[All]" dimensionUniqueName="[Table2]" displayFolder="" count="0" memberValueDatatype="5" unbalanced="0"/>
    <cacheHierarchy uniqueName="[Measures].[Sum of Amount]" caption="Sum of Amount" measure="1" displayFolder="" measureGroup="Table2"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Table2" count="0">
      <extLst>
        <ext xmlns:x15="http://schemas.microsoft.com/office/spreadsheetml/2010/11/main" uri="{B97F6D7D-B522-45F9-BDA1-12C45D357490}">
          <x15:cacheHierarchy aggregatedColumn="0"/>
        </ext>
      </extLst>
    </cacheHierarchy>
    <cacheHierarchy uniqueName="[Measures].[Sum of cost]" caption="Sum of cost" measure="1" displayFolder="" measureGroup="Table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le2" count="0"/>
    <cacheHierarchy uniqueName="[Measures].[total profit]" caption="total profi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jana" refreshedDate="45352.953647916664" backgroundQuery="1" createdVersion="8" refreshedVersion="8" minRefreshableVersion="3" recordCount="0" supportSubquery="1" supportAdvancedDrill="1" xr:uid="{356F8290-2C7B-443C-AB52-865583804DF3}">
  <cacheSource type="external" connectionId="1"/>
  <cacheFields count="2">
    <cacheField name="[Table2].[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5">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0" memberValueDatatype="130" unbalanced="0"/>
    <cacheHierarchy uniqueName="[Table2].[Product]" caption="Product" attribute="1" defaultMemberUniqueName="[Table2].[Product].[All]" allUniqueName="[Table2].[Product].[All]" dimensionUniqueName="[Table2]" displayFolder="" count="2" memberValueDatatype="130" unbalanced="0">
      <fieldsUsage count="2">
        <fieldUsage x="-1"/>
        <fieldUsage x="0"/>
      </fieldsUsage>
    </cacheHierarchy>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per unit]" caption="cost per unit" attribute="1" defaultMemberUniqueName="[Table2].[cost per unit].[All]" allUniqueName="[Table2].[cost per unit].[All]" dimensionUniqueName="[Table2]" displayFolder="" count="0" memberValueDatatype="5" unbalanced="0"/>
    <cacheHierarchy uniqueName="[Table2].[cost]" caption="cost" attribute="1" defaultMemberUniqueName="[Table2].[cost].[All]" allUniqueName="[Table2].[cost].[All]" dimensionUniqueName="[Table2]" displayFolder="" count="0"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Table2" count="0">
      <extLst>
        <ext xmlns:x15="http://schemas.microsoft.com/office/spreadsheetml/2010/11/main" uri="{B97F6D7D-B522-45F9-BDA1-12C45D357490}">
          <x15:cacheHierarchy aggregatedColumn="0"/>
        </ext>
      </extLst>
    </cacheHierarchy>
    <cacheHierarchy uniqueName="[Measures].[Sum of cost]" caption="Sum of cost" measure="1" displayFolder="" measureGroup="Table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le2" count="0" oneField="1">
      <fieldsUsage count="1">
        <fieldUsage x="1"/>
      </fieldsUsage>
    </cacheHierarchy>
    <cacheHierarchy uniqueName="[Measures].[total profit]" caption="total profi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jana" refreshedDate="45352.953649189818" backgroundQuery="1" createdVersion="8" refreshedVersion="8" minRefreshableVersion="3" recordCount="0" supportSubquery="1" supportAdvancedDrill="1" xr:uid="{1320EB73-F54E-450B-927B-12739EFB0084}">
  <cacheSource type="external" connectionId="1"/>
  <cacheFields count="3">
    <cacheField name="[Table2].[Product].[Product]" caption="Product" numFmtId="0" hierarchy="2"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total profit]" caption="total profit" numFmtId="0" hierarchy="12" level="32767"/>
    <cacheField name="[Table2].[Geography].[Geography]" caption="Geography" numFmtId="0" hierarchy="1" level="1">
      <sharedItems containsSemiMixedTypes="0" containsNonDate="0" containsString="0"/>
    </cacheField>
  </cacheFields>
  <cacheHierarchies count="15">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2" memberValueDatatype="130" unbalanced="0">
      <fieldsUsage count="2">
        <fieldUsage x="-1"/>
        <fieldUsage x="2"/>
      </fieldsUsage>
    </cacheHierarchy>
    <cacheHierarchy uniqueName="[Table2].[Product]" caption="Product" attribute="1" defaultMemberUniqueName="[Table2].[Product].[All]" allUniqueName="[Table2].[Product].[All]" dimensionUniqueName="[Table2]" displayFolder="" count="2" memberValueDatatype="130" unbalanced="0">
      <fieldsUsage count="2">
        <fieldUsage x="-1"/>
        <fieldUsage x="0"/>
      </fieldsUsage>
    </cacheHierarchy>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per unit]" caption="cost per unit" attribute="1" defaultMemberUniqueName="[Table2].[cost per unit].[All]" allUniqueName="[Table2].[cost per unit].[All]" dimensionUniqueName="[Table2]" displayFolder="" count="0" memberValueDatatype="5" unbalanced="0"/>
    <cacheHierarchy uniqueName="[Table2].[cost]" caption="cost" attribute="1" defaultMemberUniqueName="[Table2].[cost].[All]" allUniqueName="[Table2].[cost].[All]" dimensionUniqueName="[Table2]" displayFolder="" count="0"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Table2" count="0">
      <extLst>
        <ext xmlns:x15="http://schemas.microsoft.com/office/spreadsheetml/2010/11/main" uri="{B97F6D7D-B522-45F9-BDA1-12C45D357490}">
          <x15:cacheHierarchy aggregatedColumn="0"/>
        </ext>
      </extLst>
    </cacheHierarchy>
    <cacheHierarchy uniqueName="[Measures].[Sum of cost]" caption="Sum of cost" measure="1" displayFolder="" measureGroup="Table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le2" count="0"/>
    <cacheHierarchy uniqueName="[Measures].[total profit]" caption="total profit" measure="1" displayFolder="" measureGroup="Table2" count="0" oneField="1">
      <fieldsUsage count="1">
        <fieldUsage x="1"/>
      </fieldsUsage>
    </cacheHierarchy>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jana" refreshedDate="45352.953650115742" createdVersion="8" refreshedVersion="8" minRefreshableVersion="3" recordCount="300" xr:uid="{78EE7397-82EB-46D5-89AB-5D13B876C9C5}">
  <cacheSource type="worksheet">
    <worksheetSource ref="A18:E318" sheet="statistics"/>
  </cacheSource>
  <cacheFields count="5">
    <cacheField name="Sales Person" numFmtId="0">
      <sharedItems count="10">
        <s v="Oby Sorrel"/>
        <s v="Barr Faughny"/>
        <s v="Brien Boise"/>
        <s v="Gunar Cockshoot"/>
        <s v="Husein Augar"/>
        <s v="Curtice Advani"/>
        <s v="Ram Mahesh"/>
        <s v="Ches Bonnell"/>
        <s v="Gigi Bohling"/>
        <s v="Carla Molina"/>
      </sharedItems>
    </cacheField>
    <cacheField name="Geography" numFmtId="0">
      <sharedItems count="6">
        <s v="Australia"/>
        <s v="Canada"/>
        <s v="India"/>
        <s v="UK"/>
        <s v="USA"/>
        <s v="New Zealand"/>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0399490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jana" refreshedDate="45352.953648495371" backgroundQuery="1" createdVersion="3" refreshedVersion="8" minRefreshableVersion="3" recordCount="0" supportSubquery="1" supportAdvancedDrill="1" xr:uid="{A1A277E1-F04A-4BAD-9E41-B234C3999B5B}">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2"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per unit]" caption="cost per unit" attribute="1" defaultMemberUniqueName="[Table2].[cost per unit].[All]" allUniqueName="[Table2].[cost per unit].[All]" dimensionUniqueName="[Table2]" displayFolder="" count="0" memberValueDatatype="5" unbalanced="0"/>
    <cacheHierarchy uniqueName="[Table2].[cost]" caption="cost" attribute="1" defaultMemberUniqueName="[Table2].[cost].[All]" allUniqueName="[Table2].[cost].[All]" dimensionUniqueName="[Table2]" displayFolder="" count="0"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Table2" count="0">
      <extLst>
        <ext xmlns:x15="http://schemas.microsoft.com/office/spreadsheetml/2010/11/main" uri="{B97F6D7D-B522-45F9-BDA1-12C45D357490}">
          <x15:cacheHierarchy aggregatedColumn="0"/>
        </ext>
      </extLst>
    </cacheHierarchy>
    <cacheHierarchy uniqueName="[Measures].[Sum of cost]" caption="Sum of cost" measure="1" displayFolder="" measureGroup="Table2"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le2" count="0"/>
    <cacheHierarchy uniqueName="[Measures].[total profit]" caption="total profit" measure="1" displayFolder="" measureGroup="Table2" count="0"/>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2842552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50% Dark Bites"/>
    <n v="5586"/>
    <n v="525"/>
  </r>
  <r>
    <x v="1"/>
    <x v="1"/>
    <s v="Organic Choco Syrup"/>
    <n v="798"/>
    <n v="519"/>
  </r>
  <r>
    <x v="2"/>
    <x v="0"/>
    <s v="Milk Bars"/>
    <n v="819"/>
    <n v="510"/>
  </r>
  <r>
    <x v="3"/>
    <x v="2"/>
    <s v="Choco Coated Almonds"/>
    <n v="7777"/>
    <n v="504"/>
  </r>
  <r>
    <x v="4"/>
    <x v="2"/>
    <s v="Orange Choco"/>
    <n v="8463"/>
    <n v="492"/>
  </r>
  <r>
    <x v="1"/>
    <x v="3"/>
    <s v="White Choc"/>
    <n v="1785"/>
    <n v="462"/>
  </r>
  <r>
    <x v="2"/>
    <x v="4"/>
    <s v="Choco Coated Almonds"/>
    <n v="6706"/>
    <n v="459"/>
  </r>
  <r>
    <x v="5"/>
    <x v="5"/>
    <s v="Caramel Stuffed Bars"/>
    <n v="3556"/>
    <n v="459"/>
  </r>
  <r>
    <x v="5"/>
    <x v="2"/>
    <s v="Baker's Choco Chips"/>
    <n v="8008"/>
    <n v="456"/>
  </r>
  <r>
    <x v="6"/>
    <x v="4"/>
    <s v="70% Dark Bites"/>
    <n v="2275"/>
    <n v="447"/>
  </r>
  <r>
    <x v="6"/>
    <x v="4"/>
    <s v="Peanut Butter Cubes"/>
    <n v="8869"/>
    <n v="432"/>
  </r>
  <r>
    <x v="5"/>
    <x v="3"/>
    <s v="White Choc"/>
    <n v="2100"/>
    <n v="414"/>
  </r>
  <r>
    <x v="5"/>
    <x v="5"/>
    <s v="Mint Chip Choco"/>
    <n v="1904"/>
    <n v="405"/>
  </r>
  <r>
    <x v="5"/>
    <x v="4"/>
    <s v="Almond Choco"/>
    <n v="1302"/>
    <n v="402"/>
  </r>
  <r>
    <x v="5"/>
    <x v="3"/>
    <s v="Manuka Honey Choco"/>
    <n v="3052"/>
    <n v="378"/>
  </r>
  <r>
    <x v="6"/>
    <x v="4"/>
    <s v="After Nines"/>
    <n v="6853"/>
    <n v="372"/>
  </r>
  <r>
    <x v="7"/>
    <x v="2"/>
    <s v="50% Dark Bites"/>
    <n v="1932"/>
    <n v="369"/>
  </r>
  <r>
    <x v="5"/>
    <x v="2"/>
    <s v="70% Dark Bites"/>
    <n v="3402"/>
    <n v="366"/>
  </r>
  <r>
    <x v="3"/>
    <x v="5"/>
    <s v="Almond Choco"/>
    <n v="938"/>
    <n v="366"/>
  </r>
  <r>
    <x v="2"/>
    <x v="4"/>
    <s v="Orange Choco"/>
    <n v="2702"/>
    <n v="363"/>
  </r>
  <r>
    <x v="8"/>
    <x v="4"/>
    <s v="Manuka Honey Choco"/>
    <n v="4480"/>
    <n v="357"/>
  </r>
  <r>
    <x v="1"/>
    <x v="0"/>
    <s v="Smooth Sliky Salty"/>
    <n v="4326"/>
    <n v="348"/>
  </r>
  <r>
    <x v="8"/>
    <x v="1"/>
    <s v="Eclairs"/>
    <n v="3339"/>
    <n v="348"/>
  </r>
  <r>
    <x v="0"/>
    <x v="1"/>
    <s v="Manuka Honey Choco"/>
    <n v="2471"/>
    <n v="342"/>
  </r>
  <r>
    <x v="8"/>
    <x v="2"/>
    <s v="Orange Choco"/>
    <n v="15610"/>
    <n v="339"/>
  </r>
  <r>
    <x v="7"/>
    <x v="5"/>
    <s v="Mint Chip Choco"/>
    <n v="4487"/>
    <n v="333"/>
  </r>
  <r>
    <x v="3"/>
    <x v="5"/>
    <s v="Caramel Stuffed Bars"/>
    <n v="7308"/>
    <n v="327"/>
  </r>
  <r>
    <x v="3"/>
    <x v="5"/>
    <s v="Manuka Honey Choco"/>
    <n v="4592"/>
    <n v="324"/>
  </r>
  <r>
    <x v="7"/>
    <x v="0"/>
    <s v="70% Dark Bites"/>
    <n v="10129"/>
    <n v="312"/>
  </r>
  <r>
    <x v="3"/>
    <x v="2"/>
    <s v="Caramel Stuffed Bars"/>
    <n v="3689"/>
    <n v="312"/>
  </r>
  <r>
    <x v="9"/>
    <x v="1"/>
    <s v="Caramel Stuffed Bars"/>
    <n v="854"/>
    <n v="309"/>
  </r>
  <r>
    <x v="4"/>
    <x v="3"/>
    <s v="85% Dark Bars"/>
    <n v="3920"/>
    <n v="306"/>
  </r>
  <r>
    <x v="6"/>
    <x v="1"/>
    <s v="Organic Choco Syrup"/>
    <n v="3164"/>
    <n v="306"/>
  </r>
  <r>
    <x v="3"/>
    <x v="4"/>
    <s v="Peanut Butter Cubes"/>
    <n v="819"/>
    <n v="306"/>
  </r>
  <r>
    <x v="3"/>
    <x v="0"/>
    <s v="Baker's Choco Chips"/>
    <n v="8841"/>
    <n v="303"/>
  </r>
  <r>
    <x v="0"/>
    <x v="1"/>
    <s v="Choco Coated Almonds"/>
    <n v="6657"/>
    <n v="303"/>
  </r>
  <r>
    <x v="1"/>
    <x v="4"/>
    <s v="Eclairs"/>
    <n v="1589"/>
    <n v="303"/>
  </r>
  <r>
    <x v="2"/>
    <x v="4"/>
    <s v="Organic Choco Syrup"/>
    <n v="4753"/>
    <n v="300"/>
  </r>
  <r>
    <x v="7"/>
    <x v="1"/>
    <s v="99% Dark &amp; Pure"/>
    <n v="2870"/>
    <n v="300"/>
  </r>
  <r>
    <x v="6"/>
    <x v="0"/>
    <s v="Milk Bars"/>
    <n v="5670"/>
    <n v="297"/>
  </r>
  <r>
    <x v="9"/>
    <x v="1"/>
    <s v="Drinking Coco"/>
    <n v="9632"/>
    <n v="288"/>
  </r>
  <r>
    <x v="7"/>
    <x v="4"/>
    <s v="Caramel Stuffed Bars"/>
    <n v="5194"/>
    <n v="288"/>
  </r>
  <r>
    <x v="2"/>
    <x v="2"/>
    <s v="Smooth Sliky Salty"/>
    <n v="3507"/>
    <n v="288"/>
  </r>
  <r>
    <x v="0"/>
    <x v="5"/>
    <s v="Spicy Special Slims"/>
    <n v="245"/>
    <n v="288"/>
  </r>
  <r>
    <x v="5"/>
    <x v="0"/>
    <s v="Organic Choco Syrup"/>
    <n v="1134"/>
    <n v="282"/>
  </r>
  <r>
    <x v="0"/>
    <x v="3"/>
    <s v="Spicy Special Slims"/>
    <n v="4858"/>
    <n v="279"/>
  </r>
  <r>
    <x v="0"/>
    <x v="4"/>
    <s v="Drinking Coco"/>
    <n v="3808"/>
    <n v="279"/>
  </r>
  <r>
    <x v="3"/>
    <x v="2"/>
    <s v="50% Dark Bites"/>
    <n v="7259"/>
    <n v="276"/>
  </r>
  <r>
    <x v="3"/>
    <x v="4"/>
    <s v="Raspberry Choco"/>
    <n v="6657"/>
    <n v="276"/>
  </r>
  <r>
    <x v="4"/>
    <x v="5"/>
    <s v="Manuka Honey Choco"/>
    <n v="1085"/>
    <n v="273"/>
  </r>
  <r>
    <x v="7"/>
    <x v="0"/>
    <s v="Drinking Coco"/>
    <n v="1778"/>
    <n v="270"/>
  </r>
  <r>
    <x v="5"/>
    <x v="4"/>
    <s v="Orange Choco"/>
    <n v="1071"/>
    <n v="270"/>
  </r>
  <r>
    <x v="0"/>
    <x v="1"/>
    <s v="Fruit &amp; Nut Bars"/>
    <n v="2317"/>
    <n v="261"/>
  </r>
  <r>
    <x v="7"/>
    <x v="0"/>
    <s v="Caramel Stuffed Bars"/>
    <n v="5677"/>
    <n v="258"/>
  </r>
  <r>
    <x v="3"/>
    <x v="4"/>
    <s v="50% Dark Bites"/>
    <n v="2415"/>
    <n v="255"/>
  </r>
  <r>
    <x v="7"/>
    <x v="4"/>
    <s v="70% Dark Bites"/>
    <n v="6755"/>
    <n v="252"/>
  </r>
  <r>
    <x v="7"/>
    <x v="1"/>
    <s v="Manuka Honey Choco"/>
    <n v="5551"/>
    <n v="252"/>
  </r>
  <r>
    <x v="8"/>
    <x v="3"/>
    <s v="Drinking Coco"/>
    <n v="385"/>
    <n v="249"/>
  </r>
  <r>
    <x v="8"/>
    <x v="4"/>
    <s v="Smooth Sliky Salty"/>
    <n v="4753"/>
    <n v="246"/>
  </r>
  <r>
    <x v="7"/>
    <x v="3"/>
    <s v="Eclairs"/>
    <n v="4438"/>
    <n v="246"/>
  </r>
  <r>
    <x v="1"/>
    <x v="1"/>
    <s v="Smooth Sliky Salty"/>
    <n v="3094"/>
    <n v="246"/>
  </r>
  <r>
    <x v="4"/>
    <x v="5"/>
    <s v="Baker's Choco Chips"/>
    <n v="2856"/>
    <n v="246"/>
  </r>
  <r>
    <x v="4"/>
    <x v="4"/>
    <s v="Raspberry Choco"/>
    <n v="7833"/>
    <n v="243"/>
  </r>
  <r>
    <x v="7"/>
    <x v="4"/>
    <s v="99% Dark &amp; Pure"/>
    <n v="4585"/>
    <n v="240"/>
  </r>
  <r>
    <x v="9"/>
    <x v="5"/>
    <s v="70% Dark Bites"/>
    <n v="1526"/>
    <n v="240"/>
  </r>
  <r>
    <x v="8"/>
    <x v="2"/>
    <s v="After Nines"/>
    <n v="6279"/>
    <n v="237"/>
  </r>
  <r>
    <x v="6"/>
    <x v="4"/>
    <s v="Choco Coated Almonds"/>
    <n v="12348"/>
    <n v="234"/>
  </r>
  <r>
    <x v="3"/>
    <x v="4"/>
    <s v="White Choc"/>
    <n v="2464"/>
    <n v="234"/>
  </r>
  <r>
    <x v="2"/>
    <x v="0"/>
    <s v="Fruit &amp; Nut Bars"/>
    <n v="1701"/>
    <n v="234"/>
  </r>
  <r>
    <x v="9"/>
    <x v="1"/>
    <s v="Milk Bars"/>
    <n v="10311"/>
    <n v="231"/>
  </r>
  <r>
    <x v="9"/>
    <x v="5"/>
    <s v="Raspberry Choco"/>
    <n v="714"/>
    <n v="231"/>
  </r>
  <r>
    <x v="0"/>
    <x v="4"/>
    <s v="Spicy Special Slims"/>
    <n v="567"/>
    <n v="228"/>
  </r>
  <r>
    <x v="7"/>
    <x v="5"/>
    <s v="50% Dark Bites"/>
    <n v="6608"/>
    <n v="225"/>
  </r>
  <r>
    <x v="6"/>
    <x v="3"/>
    <s v="Caramel Stuffed Bars"/>
    <n v="3101"/>
    <n v="225"/>
  </r>
  <r>
    <x v="9"/>
    <x v="2"/>
    <s v="Mint Chip Choco"/>
    <n v="1274"/>
    <n v="225"/>
  </r>
  <r>
    <x v="2"/>
    <x v="2"/>
    <s v="Mint Chip Choco"/>
    <n v="2009"/>
    <n v="219"/>
  </r>
  <r>
    <x v="9"/>
    <x v="4"/>
    <s v="Caramel Stuffed Bars"/>
    <n v="7455"/>
    <n v="216"/>
  </r>
  <r>
    <x v="1"/>
    <x v="3"/>
    <s v="Spicy Special Slims"/>
    <n v="7651"/>
    <n v="213"/>
  </r>
  <r>
    <x v="2"/>
    <x v="0"/>
    <s v="Choco Coated Almonds"/>
    <n v="3752"/>
    <n v="213"/>
  </r>
  <r>
    <x v="2"/>
    <x v="3"/>
    <s v="Smooth Sliky Salty"/>
    <n v="8890"/>
    <n v="210"/>
  </r>
  <r>
    <x v="2"/>
    <x v="4"/>
    <s v="After Nines"/>
    <n v="5012"/>
    <n v="210"/>
  </r>
  <r>
    <x v="7"/>
    <x v="5"/>
    <s v="After Nines"/>
    <n v="9835"/>
    <n v="207"/>
  </r>
  <r>
    <x v="5"/>
    <x v="2"/>
    <s v="Organic Choco Syrup"/>
    <n v="4242"/>
    <n v="207"/>
  </r>
  <r>
    <x v="4"/>
    <x v="5"/>
    <s v="Almond Choco"/>
    <n v="259"/>
    <n v="207"/>
  </r>
  <r>
    <x v="4"/>
    <x v="1"/>
    <s v="Organic Choco Syrup"/>
    <n v="11522"/>
    <n v="204"/>
  </r>
  <r>
    <x v="0"/>
    <x v="2"/>
    <s v="99% Dark &amp; Pure"/>
    <n v="5355"/>
    <n v="204"/>
  </r>
  <r>
    <x v="4"/>
    <x v="3"/>
    <s v="Drinking Coco"/>
    <n v="2639"/>
    <n v="204"/>
  </r>
  <r>
    <x v="2"/>
    <x v="5"/>
    <s v="99% Dark &amp; Pure"/>
    <n v="1771"/>
    <n v="204"/>
  </r>
  <r>
    <x v="9"/>
    <x v="1"/>
    <s v="Baker's Choco Chips"/>
    <n v="98"/>
    <n v="204"/>
  </r>
  <r>
    <x v="8"/>
    <x v="4"/>
    <s v="Raspberry Choco"/>
    <n v="13391"/>
    <n v="201"/>
  </r>
  <r>
    <x v="1"/>
    <x v="5"/>
    <s v="Eclairs"/>
    <n v="9926"/>
    <n v="201"/>
  </r>
  <r>
    <x v="8"/>
    <x v="2"/>
    <s v="Raspberry Choco"/>
    <n v="7280"/>
    <n v="201"/>
  </r>
  <r>
    <x v="6"/>
    <x v="1"/>
    <s v="Milk Bars"/>
    <n v="4424"/>
    <n v="201"/>
  </r>
  <r>
    <x v="7"/>
    <x v="3"/>
    <s v="Organic Choco Syrup"/>
    <n v="966"/>
    <n v="198"/>
  </r>
  <r>
    <x v="0"/>
    <x v="4"/>
    <s v="Orange Choco"/>
    <n v="1974"/>
    <n v="195"/>
  </r>
  <r>
    <x v="2"/>
    <x v="5"/>
    <s v="After Nines"/>
    <n v="1890"/>
    <n v="195"/>
  </r>
  <r>
    <x v="8"/>
    <x v="2"/>
    <s v="99% Dark &amp; Pure"/>
    <n v="861"/>
    <n v="195"/>
  </r>
  <r>
    <x v="9"/>
    <x v="1"/>
    <s v="99% Dark &amp; Pure"/>
    <n v="1925"/>
    <n v="192"/>
  </r>
  <r>
    <x v="7"/>
    <x v="2"/>
    <s v="85% Dark Bars"/>
    <n v="8862"/>
    <n v="189"/>
  </r>
  <r>
    <x v="5"/>
    <x v="5"/>
    <s v="Fruit &amp; Nut Bars"/>
    <n v="4949"/>
    <n v="189"/>
  </r>
  <r>
    <x v="4"/>
    <x v="1"/>
    <s v="Choco Coated Almonds"/>
    <n v="2954"/>
    <n v="189"/>
  </r>
  <r>
    <x v="4"/>
    <x v="2"/>
    <s v="Mint Chip Choco"/>
    <n v="938"/>
    <n v="189"/>
  </r>
  <r>
    <x v="9"/>
    <x v="4"/>
    <s v="Raspberry Choco"/>
    <n v="2114"/>
    <n v="186"/>
  </r>
  <r>
    <x v="2"/>
    <x v="3"/>
    <s v="70% Dark Bites"/>
    <n v="7021"/>
    <n v="183"/>
  </r>
  <r>
    <x v="1"/>
    <x v="0"/>
    <s v="Caramel Stuffed Bars"/>
    <n v="6580"/>
    <n v="183"/>
  </r>
  <r>
    <x v="5"/>
    <x v="4"/>
    <s v="Organic Choco Syrup"/>
    <n v="3864"/>
    <n v="177"/>
  </r>
  <r>
    <x v="7"/>
    <x v="1"/>
    <s v="Drinking Coco"/>
    <n v="2646"/>
    <n v="177"/>
  </r>
  <r>
    <x v="9"/>
    <x v="5"/>
    <s v="Baker's Choco Chips"/>
    <n v="2324"/>
    <n v="177"/>
  </r>
  <r>
    <x v="9"/>
    <x v="2"/>
    <s v="Peanut Butter Cubes"/>
    <n v="7847"/>
    <n v="174"/>
  </r>
  <r>
    <x v="9"/>
    <x v="1"/>
    <s v="70% Dark Bites"/>
    <n v="6118"/>
    <n v="174"/>
  </r>
  <r>
    <x v="6"/>
    <x v="4"/>
    <s v="Mint Chip Choco"/>
    <n v="4725"/>
    <n v="174"/>
  </r>
  <r>
    <x v="4"/>
    <x v="2"/>
    <s v="Eclairs"/>
    <n v="707"/>
    <n v="174"/>
  </r>
  <r>
    <x v="3"/>
    <x v="3"/>
    <s v="Baker's Choco Chips"/>
    <n v="4956"/>
    <n v="171"/>
  </r>
  <r>
    <x v="8"/>
    <x v="3"/>
    <s v="85% Dark Bars"/>
    <n v="4018"/>
    <n v="171"/>
  </r>
  <r>
    <x v="8"/>
    <x v="0"/>
    <s v="99% Dark &amp; Pure"/>
    <n v="5474"/>
    <n v="168"/>
  </r>
  <r>
    <x v="2"/>
    <x v="4"/>
    <s v="Manuka Honey Choco"/>
    <n v="2023"/>
    <n v="168"/>
  </r>
  <r>
    <x v="3"/>
    <x v="3"/>
    <s v="Mint Chip Choco"/>
    <n v="21"/>
    <n v="168"/>
  </r>
  <r>
    <x v="3"/>
    <x v="1"/>
    <s v="Fruit &amp; Nut Bars"/>
    <n v="3773"/>
    <n v="165"/>
  </r>
  <r>
    <x v="1"/>
    <x v="3"/>
    <s v="Orange Choco"/>
    <n v="9443"/>
    <n v="162"/>
  </r>
  <r>
    <x v="6"/>
    <x v="2"/>
    <s v="99% Dark &amp; Pure"/>
    <n v="4018"/>
    <n v="162"/>
  </r>
  <r>
    <x v="3"/>
    <x v="1"/>
    <s v="Caramel Stuffed Bars"/>
    <n v="973"/>
    <n v="162"/>
  </r>
  <r>
    <x v="6"/>
    <x v="2"/>
    <s v="Peanut Butter Cubes"/>
    <n v="3794"/>
    <n v="159"/>
  </r>
  <r>
    <x v="4"/>
    <x v="4"/>
    <s v="Baker's Choco Chips"/>
    <n v="98"/>
    <n v="159"/>
  </r>
  <r>
    <x v="6"/>
    <x v="2"/>
    <s v="Eclairs"/>
    <n v="5019"/>
    <n v="156"/>
  </r>
  <r>
    <x v="5"/>
    <x v="1"/>
    <s v="Eclairs"/>
    <n v="4970"/>
    <n v="156"/>
  </r>
  <r>
    <x v="4"/>
    <x v="5"/>
    <s v="White Choc"/>
    <n v="4305"/>
    <n v="156"/>
  </r>
  <r>
    <x v="1"/>
    <x v="0"/>
    <s v="Fruit &amp; Nut Bars"/>
    <n v="4417"/>
    <n v="153"/>
  </r>
  <r>
    <x v="4"/>
    <x v="2"/>
    <s v="Caramel Stuffed Bars"/>
    <n v="14329"/>
    <n v="150"/>
  </r>
  <r>
    <x v="2"/>
    <x v="1"/>
    <s v="Fruit &amp; Nut Bars"/>
    <n v="5019"/>
    <n v="150"/>
  </r>
  <r>
    <x v="5"/>
    <x v="2"/>
    <s v="Eclairs"/>
    <n v="3759"/>
    <n v="150"/>
  </r>
  <r>
    <x v="2"/>
    <x v="5"/>
    <s v="70% Dark Bites"/>
    <n v="42"/>
    <n v="150"/>
  </r>
  <r>
    <x v="4"/>
    <x v="4"/>
    <s v="Almond Choco"/>
    <n v="959"/>
    <n v="147"/>
  </r>
  <r>
    <x v="1"/>
    <x v="3"/>
    <s v="Caramel Stuffed Bars"/>
    <n v="6027"/>
    <n v="144"/>
  </r>
  <r>
    <x v="3"/>
    <x v="5"/>
    <s v="Eclairs"/>
    <n v="3983"/>
    <n v="144"/>
  </r>
  <r>
    <x v="4"/>
    <x v="4"/>
    <s v="Organic Choco Syrup"/>
    <n v="2429"/>
    <n v="144"/>
  </r>
  <r>
    <x v="9"/>
    <x v="2"/>
    <s v="After Nines"/>
    <n v="336"/>
    <n v="144"/>
  </r>
  <r>
    <x v="0"/>
    <x v="0"/>
    <s v="After Nines"/>
    <n v="2205"/>
    <n v="141"/>
  </r>
  <r>
    <x v="1"/>
    <x v="3"/>
    <s v="After Nines"/>
    <n v="1568"/>
    <n v="141"/>
  </r>
  <r>
    <x v="1"/>
    <x v="5"/>
    <s v="Drinking Coco"/>
    <n v="11571"/>
    <n v="138"/>
  </r>
  <r>
    <x v="7"/>
    <x v="2"/>
    <s v="Orange Choco"/>
    <n v="2205"/>
    <n v="138"/>
  </r>
  <r>
    <x v="6"/>
    <x v="2"/>
    <s v="Organic Choco Syrup"/>
    <n v="2289"/>
    <n v="135"/>
  </r>
  <r>
    <x v="5"/>
    <x v="1"/>
    <s v="Manuka Honey Choco"/>
    <n v="1400"/>
    <n v="135"/>
  </r>
  <r>
    <x v="5"/>
    <x v="0"/>
    <s v="Peanut Butter Cubes"/>
    <n v="959"/>
    <n v="135"/>
  </r>
  <r>
    <x v="6"/>
    <x v="3"/>
    <s v="Manuka Honey Choco"/>
    <n v="0"/>
    <n v="135"/>
  </r>
  <r>
    <x v="9"/>
    <x v="4"/>
    <s v="Organic Choco Syrup"/>
    <n v="847"/>
    <n v="129"/>
  </r>
  <r>
    <x v="0"/>
    <x v="0"/>
    <s v="Almond Choco"/>
    <n v="6860"/>
    <n v="126"/>
  </r>
  <r>
    <x v="9"/>
    <x v="2"/>
    <s v="Fruit &amp; Nut Bars"/>
    <n v="4935"/>
    <n v="126"/>
  </r>
  <r>
    <x v="1"/>
    <x v="3"/>
    <s v="Peanut Butter Cubes"/>
    <n v="4018"/>
    <n v="126"/>
  </r>
  <r>
    <x v="6"/>
    <x v="4"/>
    <s v="Manuka Honey Choco"/>
    <n v="1617"/>
    <n v="126"/>
  </r>
  <r>
    <x v="2"/>
    <x v="4"/>
    <s v="Peanut Butter Cubes"/>
    <n v="357"/>
    <n v="126"/>
  </r>
  <r>
    <x v="5"/>
    <x v="2"/>
    <s v="Choco Coated Almonds"/>
    <n v="6734"/>
    <n v="123"/>
  </r>
  <r>
    <x v="5"/>
    <x v="4"/>
    <s v="70% Dark Bites"/>
    <n v="4781"/>
    <n v="123"/>
  </r>
  <r>
    <x v="9"/>
    <x v="5"/>
    <s v="Orange Choco"/>
    <n v="3388"/>
    <n v="123"/>
  </r>
  <r>
    <x v="5"/>
    <x v="0"/>
    <s v="Milk Bars"/>
    <n v="2317"/>
    <n v="123"/>
  </r>
  <r>
    <x v="0"/>
    <x v="0"/>
    <s v="Milk Bars"/>
    <n v="63"/>
    <n v="123"/>
  </r>
  <r>
    <x v="5"/>
    <x v="1"/>
    <s v="Almond Choco"/>
    <n v="10073"/>
    <n v="120"/>
  </r>
  <r>
    <x v="1"/>
    <x v="2"/>
    <s v="99% Dark &amp; Pure"/>
    <n v="7511"/>
    <n v="120"/>
  </r>
  <r>
    <x v="4"/>
    <x v="0"/>
    <s v="Mint Chip Choco"/>
    <n v="2646"/>
    <n v="120"/>
  </r>
  <r>
    <x v="3"/>
    <x v="2"/>
    <s v="Fruit &amp; Nut Bars"/>
    <n v="2212"/>
    <n v="117"/>
  </r>
  <r>
    <x v="7"/>
    <x v="1"/>
    <s v="Smooth Sliky Salty"/>
    <n v="2149"/>
    <n v="117"/>
  </r>
  <r>
    <x v="1"/>
    <x v="3"/>
    <s v="Mint Chip Choco"/>
    <n v="2016"/>
    <n v="117"/>
  </r>
  <r>
    <x v="7"/>
    <x v="4"/>
    <s v="85% Dark Bars"/>
    <n v="2793"/>
    <n v="114"/>
  </r>
  <r>
    <x v="4"/>
    <x v="1"/>
    <s v="White Choc"/>
    <n v="2142"/>
    <n v="114"/>
  </r>
  <r>
    <x v="6"/>
    <x v="5"/>
    <s v="70% Dark Bites"/>
    <n v="1624"/>
    <n v="114"/>
  </r>
  <r>
    <x v="7"/>
    <x v="5"/>
    <s v="Eclairs"/>
    <n v="4487"/>
    <n v="111"/>
  </r>
  <r>
    <x v="8"/>
    <x v="1"/>
    <s v="70% Dark Bites"/>
    <n v="1526"/>
    <n v="105"/>
  </r>
  <r>
    <x v="9"/>
    <x v="5"/>
    <s v="85% Dark Bars"/>
    <n v="6398"/>
    <n v="102"/>
  </r>
  <r>
    <x v="6"/>
    <x v="0"/>
    <s v="Almond Choco"/>
    <n v="6125"/>
    <n v="102"/>
  </r>
  <r>
    <x v="4"/>
    <x v="0"/>
    <s v="White Choc"/>
    <n v="3850"/>
    <n v="102"/>
  </r>
  <r>
    <x v="8"/>
    <x v="2"/>
    <s v="Manuka Honey Choco"/>
    <n v="2891"/>
    <n v="102"/>
  </r>
  <r>
    <x v="3"/>
    <x v="3"/>
    <s v="Caramel Stuffed Bars"/>
    <n v="1652"/>
    <n v="102"/>
  </r>
  <r>
    <x v="5"/>
    <x v="5"/>
    <s v="Drinking Coco"/>
    <n v="1505"/>
    <n v="102"/>
  </r>
  <r>
    <x v="4"/>
    <x v="0"/>
    <s v="Baker's Choco Chips"/>
    <n v="2436"/>
    <n v="99"/>
  </r>
  <r>
    <x v="9"/>
    <x v="4"/>
    <s v="99% Dark &amp; Pure"/>
    <n v="609"/>
    <n v="99"/>
  </r>
  <r>
    <x v="4"/>
    <x v="5"/>
    <s v="Orange Choco"/>
    <n v="7273"/>
    <n v="96"/>
  </r>
  <r>
    <x v="0"/>
    <x v="4"/>
    <s v="50% Dark Bites"/>
    <n v="3472"/>
    <n v="96"/>
  </r>
  <r>
    <x v="7"/>
    <x v="2"/>
    <s v="White Choc"/>
    <n v="1568"/>
    <n v="96"/>
  </r>
  <r>
    <x v="6"/>
    <x v="5"/>
    <s v="Organic Choco Syrup"/>
    <n v="6132"/>
    <n v="93"/>
  </r>
  <r>
    <x v="3"/>
    <x v="2"/>
    <s v="Eclairs"/>
    <n v="2919"/>
    <n v="93"/>
  </r>
  <r>
    <x v="4"/>
    <x v="5"/>
    <s v="Fruit &amp; Nut Bars"/>
    <n v="2737"/>
    <n v="93"/>
  </r>
  <r>
    <x v="8"/>
    <x v="2"/>
    <s v="Peanut Butter Cubes"/>
    <n v="1652"/>
    <n v="93"/>
  </r>
  <r>
    <x v="0"/>
    <x v="2"/>
    <s v="White Choc"/>
    <n v="1428"/>
    <n v="93"/>
  </r>
  <r>
    <x v="6"/>
    <x v="1"/>
    <s v="Peanut Butter Cubes"/>
    <n v="9772"/>
    <n v="90"/>
  </r>
  <r>
    <x v="4"/>
    <x v="2"/>
    <s v="Fruit &amp; Nut Bars"/>
    <n v="8155"/>
    <n v="90"/>
  </r>
  <r>
    <x v="6"/>
    <x v="0"/>
    <s v="White Choc"/>
    <n v="2541"/>
    <n v="90"/>
  </r>
  <r>
    <x v="4"/>
    <x v="0"/>
    <s v="Peanut Butter Cubes"/>
    <n v="9506"/>
    <n v="87"/>
  </r>
  <r>
    <x v="5"/>
    <x v="5"/>
    <s v="Smooth Sliky Salty"/>
    <n v="7693"/>
    <n v="87"/>
  </r>
  <r>
    <x v="0"/>
    <x v="2"/>
    <s v="Eclairs"/>
    <n v="700"/>
    <n v="87"/>
  </r>
  <r>
    <x v="6"/>
    <x v="0"/>
    <s v="Baker's Choco Chips"/>
    <n v="609"/>
    <n v="87"/>
  </r>
  <r>
    <x v="2"/>
    <x v="5"/>
    <s v="Spicy Special Slims"/>
    <n v="434"/>
    <n v="87"/>
  </r>
  <r>
    <x v="7"/>
    <x v="1"/>
    <s v="Choco Coated Almonds"/>
    <n v="280"/>
    <n v="87"/>
  </r>
  <r>
    <x v="9"/>
    <x v="1"/>
    <s v="Choco Coated Almonds"/>
    <n v="10304"/>
    <n v="84"/>
  </r>
  <r>
    <x v="8"/>
    <x v="4"/>
    <s v="After Nines"/>
    <n v="490"/>
    <n v="84"/>
  </r>
  <r>
    <x v="2"/>
    <x v="0"/>
    <s v="After Nines"/>
    <n v="168"/>
    <n v="84"/>
  </r>
  <r>
    <x v="1"/>
    <x v="3"/>
    <s v="Organic Choco Syrup"/>
    <n v="7812"/>
    <n v="81"/>
  </r>
  <r>
    <x v="8"/>
    <x v="3"/>
    <s v="After Nines"/>
    <n v="6909"/>
    <n v="81"/>
  </r>
  <r>
    <x v="2"/>
    <x v="4"/>
    <s v="70% Dark Bites"/>
    <n v="3598"/>
    <n v="81"/>
  </r>
  <r>
    <x v="5"/>
    <x v="5"/>
    <s v="70% Dark Bites"/>
    <n v="560"/>
    <n v="81"/>
  </r>
  <r>
    <x v="2"/>
    <x v="0"/>
    <s v="Spicy Special Slims"/>
    <n v="6433"/>
    <n v="78"/>
  </r>
  <r>
    <x v="3"/>
    <x v="4"/>
    <s v="Fruit &amp; Nut Bars"/>
    <n v="2023"/>
    <n v="78"/>
  </r>
  <r>
    <x v="1"/>
    <x v="1"/>
    <s v="Manuka Honey Choco"/>
    <n v="8211"/>
    <n v="75"/>
  </r>
  <r>
    <x v="5"/>
    <x v="2"/>
    <s v="Manuka Honey Choco"/>
    <n v="3339"/>
    <n v="75"/>
  </r>
  <r>
    <x v="7"/>
    <x v="2"/>
    <s v="Choco Coated Almonds"/>
    <n v="3262"/>
    <n v="75"/>
  </r>
  <r>
    <x v="6"/>
    <x v="2"/>
    <s v="Fruit &amp; Nut Bars"/>
    <n v="2779"/>
    <n v="75"/>
  </r>
  <r>
    <x v="5"/>
    <x v="2"/>
    <s v="Mint Chip Choco"/>
    <n v="2219"/>
    <n v="75"/>
  </r>
  <r>
    <x v="7"/>
    <x v="0"/>
    <s v="50% Dark Bites"/>
    <n v="1281"/>
    <n v="75"/>
  </r>
  <r>
    <x v="0"/>
    <x v="1"/>
    <s v="Milk Bars"/>
    <n v="945"/>
    <n v="75"/>
  </r>
  <r>
    <x v="8"/>
    <x v="5"/>
    <s v="After Nines"/>
    <n v="518"/>
    <n v="75"/>
  </r>
  <r>
    <x v="5"/>
    <x v="0"/>
    <s v="White Choc"/>
    <n v="469"/>
    <n v="75"/>
  </r>
  <r>
    <x v="6"/>
    <x v="5"/>
    <s v="Manuka Honey Choco"/>
    <n v="9002"/>
    <n v="72"/>
  </r>
  <r>
    <x v="9"/>
    <x v="3"/>
    <s v="50% Dark Bites"/>
    <n v="3976"/>
    <n v="72"/>
  </r>
  <r>
    <x v="4"/>
    <x v="3"/>
    <s v="White Choc"/>
    <n v="3192"/>
    <n v="72"/>
  </r>
  <r>
    <x v="0"/>
    <x v="1"/>
    <s v="Organic Choco Syrup"/>
    <n v="1407"/>
    <n v="72"/>
  </r>
  <r>
    <x v="9"/>
    <x v="4"/>
    <s v="Milk Bars"/>
    <n v="4760"/>
    <n v="69"/>
  </r>
  <r>
    <x v="3"/>
    <x v="4"/>
    <s v="Manuka Honey Choco"/>
    <n v="2114"/>
    <n v="66"/>
  </r>
  <r>
    <x v="8"/>
    <x v="1"/>
    <s v="Milk Bars"/>
    <n v="6146"/>
    <n v="63"/>
  </r>
  <r>
    <x v="7"/>
    <x v="4"/>
    <s v="50% Dark Bites"/>
    <n v="4606"/>
    <n v="63"/>
  </r>
  <r>
    <x v="2"/>
    <x v="0"/>
    <s v="Organic Choco Syrup"/>
    <n v="2268"/>
    <n v="63"/>
  </r>
  <r>
    <x v="5"/>
    <x v="3"/>
    <s v="70% Dark Bites"/>
    <n v="1638"/>
    <n v="63"/>
  </r>
  <r>
    <x v="5"/>
    <x v="1"/>
    <s v="Spicy Special Slims"/>
    <n v="497"/>
    <n v="63"/>
  </r>
  <r>
    <x v="4"/>
    <x v="0"/>
    <s v="85% Dark Bars"/>
    <n v="4137"/>
    <n v="60"/>
  </r>
  <r>
    <x v="4"/>
    <x v="1"/>
    <s v="70% Dark Bites"/>
    <n v="9051"/>
    <n v="57"/>
  </r>
  <r>
    <x v="8"/>
    <x v="0"/>
    <s v="Milk Bars"/>
    <n v="7189"/>
    <n v="54"/>
  </r>
  <r>
    <x v="7"/>
    <x v="5"/>
    <s v="70% Dark Bites"/>
    <n v="6454"/>
    <n v="54"/>
  </r>
  <r>
    <x v="3"/>
    <x v="2"/>
    <s v="Baker's Choco Chips"/>
    <n v="3108"/>
    <n v="54"/>
  </r>
  <r>
    <x v="5"/>
    <x v="0"/>
    <s v="Smooth Sliky Salty"/>
    <n v="2681"/>
    <n v="54"/>
  </r>
  <r>
    <x v="1"/>
    <x v="5"/>
    <s v="50% Dark Bites"/>
    <n v="1057"/>
    <n v="54"/>
  </r>
  <r>
    <x v="1"/>
    <x v="2"/>
    <s v="Milk Bars"/>
    <n v="252"/>
    <n v="54"/>
  </r>
  <r>
    <x v="8"/>
    <x v="3"/>
    <s v="Baker's Choco Chips"/>
    <n v="5236"/>
    <n v="51"/>
  </r>
  <r>
    <x v="3"/>
    <x v="3"/>
    <s v="Manuka Honey Choco"/>
    <n v="3640"/>
    <n v="51"/>
  </r>
  <r>
    <x v="6"/>
    <x v="0"/>
    <s v="85% Dark Bars"/>
    <n v="623"/>
    <n v="51"/>
  </r>
  <r>
    <x v="1"/>
    <x v="0"/>
    <s v="Milk Bars"/>
    <n v="56"/>
    <n v="51"/>
  </r>
  <r>
    <x v="6"/>
    <x v="2"/>
    <s v="Baker's Choco Chips"/>
    <n v="6748"/>
    <n v="48"/>
  </r>
  <r>
    <x v="7"/>
    <x v="5"/>
    <s v="Peanut Butter Cubes"/>
    <n v="6391"/>
    <n v="48"/>
  </r>
  <r>
    <x v="7"/>
    <x v="2"/>
    <s v="Peanut Butter Cubes"/>
    <n v="2226"/>
    <n v="48"/>
  </r>
  <r>
    <x v="6"/>
    <x v="4"/>
    <s v="85% Dark Bars"/>
    <n v="1638"/>
    <n v="48"/>
  </r>
  <r>
    <x v="5"/>
    <x v="2"/>
    <s v="Almond Choco"/>
    <n v="525"/>
    <n v="48"/>
  </r>
  <r>
    <x v="1"/>
    <x v="1"/>
    <s v="Eclairs"/>
    <n v="189"/>
    <n v="48"/>
  </r>
  <r>
    <x v="8"/>
    <x v="5"/>
    <s v="Smooth Sliky Salty"/>
    <n v="182"/>
    <n v="48"/>
  </r>
  <r>
    <x v="8"/>
    <x v="0"/>
    <s v="White Choc"/>
    <n v="7483"/>
    <n v="45"/>
  </r>
  <r>
    <x v="2"/>
    <x v="5"/>
    <s v="Baker's Choco Chips"/>
    <n v="6279"/>
    <n v="45"/>
  </r>
  <r>
    <x v="4"/>
    <x v="5"/>
    <s v="Caramel Stuffed Bars"/>
    <n v="2919"/>
    <n v="45"/>
  </r>
  <r>
    <x v="6"/>
    <x v="0"/>
    <s v="Manuka Honey Choco"/>
    <n v="2541"/>
    <n v="45"/>
  </r>
  <r>
    <x v="7"/>
    <x v="1"/>
    <s v="After Nines"/>
    <n v="8435"/>
    <n v="42"/>
  </r>
  <r>
    <x v="3"/>
    <x v="2"/>
    <s v="White Choc"/>
    <n v="6300"/>
    <n v="42"/>
  </r>
  <r>
    <x v="6"/>
    <x v="3"/>
    <s v="Raspberry Choco"/>
    <n v="5775"/>
    <n v="42"/>
  </r>
  <r>
    <x v="1"/>
    <x v="5"/>
    <s v="Raspberry Choco"/>
    <n v="2863"/>
    <n v="42"/>
  </r>
  <r>
    <x v="8"/>
    <x v="1"/>
    <s v="Mint Chip Choco"/>
    <n v="16184"/>
    <n v="39"/>
  </r>
  <r>
    <x v="7"/>
    <x v="2"/>
    <s v="Eclairs"/>
    <n v="7777"/>
    <n v="39"/>
  </r>
  <r>
    <x v="3"/>
    <x v="1"/>
    <s v="White Choc"/>
    <n v="3339"/>
    <n v="39"/>
  </r>
  <r>
    <x v="6"/>
    <x v="0"/>
    <s v="Smooth Sliky Salty"/>
    <n v="1988"/>
    <n v="39"/>
  </r>
  <r>
    <x v="9"/>
    <x v="2"/>
    <s v="Eclairs"/>
    <n v="1463"/>
    <n v="39"/>
  </r>
  <r>
    <x v="3"/>
    <x v="1"/>
    <s v="Mint Chip Choco"/>
    <n v="9198"/>
    <n v="36"/>
  </r>
  <r>
    <x v="5"/>
    <x v="0"/>
    <s v="Spicy Special Slims"/>
    <n v="7322"/>
    <n v="36"/>
  </r>
  <r>
    <x v="1"/>
    <x v="3"/>
    <s v="Raspberry Choco"/>
    <n v="4802"/>
    <n v="36"/>
  </r>
  <r>
    <x v="1"/>
    <x v="3"/>
    <s v="Fruit &amp; Nut Bars"/>
    <n v="630"/>
    <n v="36"/>
  </r>
  <r>
    <x v="6"/>
    <x v="1"/>
    <s v="Almond Choco"/>
    <n v="217"/>
    <n v="36"/>
  </r>
  <r>
    <x v="0"/>
    <x v="3"/>
    <s v="Peanut Butter Cubes"/>
    <n v="12950"/>
    <n v="30"/>
  </r>
  <r>
    <x v="2"/>
    <x v="5"/>
    <s v="Raspberry Choco"/>
    <n v="9709"/>
    <n v="30"/>
  </r>
  <r>
    <x v="6"/>
    <x v="3"/>
    <s v="Organic Choco Syrup"/>
    <n v="6370"/>
    <n v="30"/>
  </r>
  <r>
    <x v="6"/>
    <x v="1"/>
    <s v="White Choc"/>
    <n v="5439"/>
    <n v="30"/>
  </r>
  <r>
    <x v="0"/>
    <x v="5"/>
    <s v="Fruit &amp; Nut Bars"/>
    <n v="4683"/>
    <n v="30"/>
  </r>
  <r>
    <x v="5"/>
    <x v="1"/>
    <s v="Milk Bars"/>
    <n v="4319"/>
    <n v="30"/>
  </r>
  <r>
    <x v="2"/>
    <x v="3"/>
    <s v="Drinking Coco"/>
    <n v="9660"/>
    <n v="27"/>
  </r>
  <r>
    <x v="4"/>
    <x v="2"/>
    <s v="Spicy Special Slims"/>
    <n v="6832"/>
    <n v="27"/>
  </r>
  <r>
    <x v="5"/>
    <x v="3"/>
    <s v="Eclairs"/>
    <n v="6048"/>
    <n v="27"/>
  </r>
  <r>
    <x v="0"/>
    <x v="5"/>
    <s v="Caramel Stuffed Bars"/>
    <n v="3059"/>
    <n v="27"/>
  </r>
  <r>
    <x v="7"/>
    <x v="4"/>
    <s v="Mint Chip Choco"/>
    <n v="2135"/>
    <n v="27"/>
  </r>
  <r>
    <x v="2"/>
    <x v="3"/>
    <s v="Baker's Choco Chips"/>
    <n v="1561"/>
    <n v="27"/>
  </r>
  <r>
    <x v="0"/>
    <x v="2"/>
    <s v="After Nines"/>
    <n v="4053"/>
    <n v="24"/>
  </r>
  <r>
    <x v="7"/>
    <x v="2"/>
    <s v="Raspberry Choco"/>
    <n v="3829"/>
    <n v="24"/>
  </r>
  <r>
    <x v="1"/>
    <x v="1"/>
    <s v="Mint Chip Choco"/>
    <n v="11417"/>
    <n v="21"/>
  </r>
  <r>
    <x v="8"/>
    <x v="5"/>
    <s v="White Choc"/>
    <n v="8813"/>
    <n v="21"/>
  </r>
  <r>
    <x v="6"/>
    <x v="5"/>
    <s v="99% Dark &amp; Pure"/>
    <n v="7693"/>
    <n v="21"/>
  </r>
  <r>
    <x v="8"/>
    <x v="2"/>
    <s v="Organic Choco Syrup"/>
    <n v="6986"/>
    <n v="21"/>
  </r>
  <r>
    <x v="8"/>
    <x v="0"/>
    <s v="Choco Coated Almonds"/>
    <n v="5075"/>
    <n v="21"/>
  </r>
  <r>
    <x v="7"/>
    <x v="4"/>
    <s v="Organic Choco Syrup"/>
    <n v="2478"/>
    <n v="21"/>
  </r>
  <r>
    <x v="9"/>
    <x v="0"/>
    <s v="White Choc"/>
    <n v="154"/>
    <n v="21"/>
  </r>
  <r>
    <x v="3"/>
    <x v="2"/>
    <s v="Orange Choco"/>
    <n v="2583"/>
    <n v="18"/>
  </r>
  <r>
    <x v="3"/>
    <x v="1"/>
    <s v="99% Dark &amp; Pure"/>
    <n v="1281"/>
    <n v="18"/>
  </r>
  <r>
    <x v="1"/>
    <x v="5"/>
    <s v="99% Dark &amp; Pure"/>
    <n v="238"/>
    <n v="18"/>
  </r>
  <r>
    <x v="8"/>
    <x v="1"/>
    <s v="Fruit &amp; Nut Bars"/>
    <n v="6314"/>
    <n v="15"/>
  </r>
  <r>
    <x v="8"/>
    <x v="4"/>
    <s v="Drinking Coco"/>
    <n v="2415"/>
    <n v="15"/>
  </r>
  <r>
    <x v="5"/>
    <x v="2"/>
    <s v="Raspberry Choco"/>
    <n v="1442"/>
    <n v="15"/>
  </r>
  <r>
    <x v="1"/>
    <x v="4"/>
    <s v="99% Dark &amp; Pure"/>
    <n v="553"/>
    <n v="15"/>
  </r>
  <r>
    <x v="6"/>
    <x v="3"/>
    <s v="After Nines"/>
    <n v="5817"/>
    <n v="12"/>
  </r>
  <r>
    <x v="8"/>
    <x v="5"/>
    <s v="50% Dark Bites"/>
    <n v="4991"/>
    <n v="12"/>
  </r>
  <r>
    <x v="5"/>
    <x v="1"/>
    <s v="Choco Coated Almonds"/>
    <n v="6118"/>
    <n v="9"/>
  </r>
  <r>
    <x v="0"/>
    <x v="2"/>
    <s v="Baker's Choco Chips"/>
    <n v="4991"/>
    <n v="9"/>
  </r>
  <r>
    <x v="9"/>
    <x v="5"/>
    <s v="Spicy Special Slims"/>
    <n v="2933"/>
    <n v="9"/>
  </r>
  <r>
    <x v="8"/>
    <x v="4"/>
    <s v="Almond Choco"/>
    <n v="2744"/>
    <n v="9"/>
  </r>
  <r>
    <x v="4"/>
    <x v="0"/>
    <s v="Eclairs"/>
    <n v="2408"/>
    <n v="9"/>
  </r>
  <r>
    <x v="5"/>
    <x v="5"/>
    <s v="Baker's Choco Chips"/>
    <n v="6818"/>
    <n v="6"/>
  </r>
  <r>
    <x v="0"/>
    <x v="4"/>
    <s v="Raspberry Choco"/>
    <n v="2562"/>
    <n v="6"/>
  </r>
  <r>
    <x v="5"/>
    <x v="0"/>
    <s v="Mint Chip Choco"/>
    <n v="938"/>
    <n v="6"/>
  </r>
  <r>
    <x v="8"/>
    <x v="1"/>
    <s v="Drinking Coco"/>
    <n v="6111"/>
    <n v="3"/>
  </r>
  <r>
    <x v="9"/>
    <x v="0"/>
    <s v="After Nines"/>
    <n v="5915"/>
    <n v="3"/>
  </r>
  <r>
    <x v="1"/>
    <x v="0"/>
    <s v="Almond Choco"/>
    <n v="3549"/>
    <n v="3"/>
  </r>
  <r>
    <x v="5"/>
    <x v="3"/>
    <s v="85% Dark Bars"/>
    <n v="2989"/>
    <n v="3"/>
  </r>
  <r>
    <x v="7"/>
    <x v="5"/>
    <s v="Baker's Choco Chips"/>
    <n v="5306"/>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B38AF7-083C-4668-B832-A68114DD357D}" name="PivotTable5" cacheId="1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B74" firstHeaderRow="1" firstDataRow="1" firstDataCol="1"/>
  <pivotFields count="3">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fld="1" subtotal="count" baseField="0" baseItem="0"/>
  </dataFields>
  <pivotHierarchies count="15">
    <pivotHierarchy dragToData="1"/>
    <pivotHierarchy multipleItemSelectionAllowed="1" dragToData="1">
      <members count="1" level="1">
        <member name="[Table2].[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E72261-56AF-4235-9F78-EA6296EBD96C}" name="PivotTable4" cacheId="1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1:E44"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3"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6EBC48-3AAB-4EFF-9DCB-C3B2BBFB351A}" name="PivotTable3" cacheId="1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44"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2"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5FCC16-3F25-4107-A47E-8C03E87504D3}" name="PivotTable2" cacheId="1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8:B24"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73B14D-E5A7-40DC-A4F0-1AE4AA3140CE}" name="PivotTable1"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5">
    <pivotField showAll="0">
      <items count="11">
        <item h="1" x="1"/>
        <item h="1" x="2"/>
        <item h="1" x="9"/>
        <item h="1" x="7"/>
        <item h="1" x="5"/>
        <item h="1" x="8"/>
        <item h="1" x="3"/>
        <item x="4"/>
        <item h="1" x="0"/>
        <item h="1" x="6"/>
        <item t="default"/>
      </items>
    </pivotField>
    <pivotField axis="axisRow" showAll="0">
      <items count="7">
        <item x="0"/>
        <item x="1"/>
        <item x="2"/>
        <item x="5"/>
        <item x="3"/>
        <item x="4"/>
        <item t="default"/>
      </items>
    </pivotField>
    <pivotField showAll="0"/>
    <pivotField dataField="1" numFmtId="164" showAll="0"/>
    <pivotField dataField="1" numFmtId="3" showAll="0"/>
  </pivotFields>
  <rowFields count="1">
    <field x="1"/>
  </rowFields>
  <rowItems count="7">
    <i>
      <x/>
    </i>
    <i>
      <x v="1"/>
    </i>
    <i>
      <x v="2"/>
    </i>
    <i>
      <x v="3"/>
    </i>
    <i>
      <x v="4"/>
    </i>
    <i>
      <x v="5"/>
    </i>
    <i t="grand">
      <x/>
    </i>
  </rowItems>
  <colFields count="1">
    <field x="-2"/>
  </colFields>
  <colItems count="2">
    <i>
      <x/>
    </i>
    <i i="1">
      <x v="1"/>
    </i>
  </colItems>
  <dataFields count="2">
    <dataField name="Sum of Units" fld="4" baseField="0" baseItem="0"/>
    <dataField name="Sum of Amount" fld="3" baseField="0" baseItem="0" numFmtId="166"/>
  </dataFields>
  <formats count="1">
    <format dxfId="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77643C3E-27C9-4153-BF12-AAFF137A4C77}" sourceName="Sales Person">
  <pivotTables>
    <pivotTable tabId="4" name="PivotTable1"/>
  </pivotTables>
  <data>
    <tabular pivotCacheId="1103994901">
      <items count="10">
        <i x="1"/>
        <i x="2"/>
        <i x="9"/>
        <i x="7"/>
        <i x="5"/>
        <i x="8"/>
        <i x="3"/>
        <i x="4" s="1"/>
        <i x="0"/>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4D2C1468-45AE-4F7F-A875-2E37B47FAD32}" sourceName="[Table2].[Geography]">
  <pivotTables>
    <pivotTable tabId="4" name="PivotTable5"/>
  </pivotTables>
  <data>
    <olap pivotCacheId="1528425529">
      <levels count="2">
        <level uniqueName="[Table2].[Geography].[(All)]" sourceCaption="(All)" count="0"/>
        <level uniqueName="[Table2].[Geography].[Geography]" sourceCaption="Geography" count="6">
          <ranges>
            <range startItem="0">
              <i n="[Table2].[Geography].&amp;[Australia]" c="Australia"/>
              <i n="[Table2].[Geography].&amp;[Canada]" c="Canada"/>
              <i n="[Table2].[Geography].&amp;[India]" c="India"/>
              <i n="[Table2].[Geography].&amp;[New Zealand]" c="New Zealand"/>
              <i n="[Table2].[Geography].&amp;[UK]" c="UK"/>
              <i n="[Table2].[Geography].&amp;[USA]" c="USA"/>
            </range>
          </ranges>
        </level>
      </levels>
      <selections count="1">
        <selection n="[Table2].[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8132483-9204-40C9-AEB6-C98D4CDEF03A}" cache="Slicer_Sales_Person" caption="Sales Person" startItem="2" columnCount="2" rowHeight="241300"/>
  <slicer name="Geography" xr10:uid="{F6FE456F-B535-44BB-BA3A-2FDDC601A1A6}" cache="Slicer_Geography"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95FE5A-2DD0-4D8F-8909-760AAECA44BB}" name="Table2" displayName="Table2" ref="A1:H301" totalsRowShown="0" headerRowDxfId="4">
  <autoFilter ref="A1:H301" xr:uid="{8095FE5A-2DD0-4D8F-8909-760AAECA44BB}"/>
  <tableColumns count="8">
    <tableColumn id="1" xr3:uid="{B1FE17F8-083D-4917-BE6A-004532A067CA}" name="Sales Person"/>
    <tableColumn id="2" xr3:uid="{ECC80A3A-31EC-46DD-9B48-DAD5BF6AD346}" name="Geography"/>
    <tableColumn id="3" xr3:uid="{EC7C49E2-FCAD-43C5-8EDA-CC8E45EBE8A9}" name="Product"/>
    <tableColumn id="4" xr3:uid="{80464CC1-9D44-4826-BEFE-CFD85589F953}" name="Amount" dataDxfId="6"/>
    <tableColumn id="5" xr3:uid="{225372DA-3DB0-4967-B0E7-71609A544B35}" name="Units" dataDxfId="5"/>
    <tableColumn id="6" xr3:uid="{3987DD96-4CD0-4A27-A9E0-7A7D441F35A2}" name="cost per unit">
      <calculatedColumnFormula>_xlfn.XLOOKUP(Table2[[#This Row],[Product]],products[Product],products[Cost per unit])</calculatedColumnFormula>
    </tableColumn>
    <tableColumn id="7" xr3:uid="{ED438C4C-3941-4035-B7B0-070A683B6EFE}" name="cost">
      <calculatedColumnFormula>Table2[[#This Row],[cost per unit]]*Table2[[#This Row],[Units]]</calculatedColumnFormula>
    </tableColumn>
    <tableColumn id="8" xr3:uid="{430D7FDC-5F7B-4CE0-835A-C03D42E592C6}" name="PROFIT">
      <calculatedColumnFormula>Table2[[#This Row],[Amount]]-Table2[[#This Row],[cost]]</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CFD168-E1AE-431C-955A-F2F18687A5F7}" name="products" displayName="products" ref="N1:O23" totalsRowShown="0" headerRowDxfId="1">
  <autoFilter ref="N1:O23" xr:uid="{C1CFD168-E1AE-431C-955A-F2F18687A5F7}"/>
  <tableColumns count="2">
    <tableColumn id="1" xr3:uid="{2B977C14-9730-4A26-87BC-523B18D92CF1}" name="Product"/>
    <tableColumn id="2" xr3:uid="{EEA29DE7-4601-45D2-B151-E7D24002EC82}" name="Cost per unit"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DD508-9002-4D11-B6AE-EC06B76A3066}">
  <dimension ref="A1:P301"/>
  <sheetViews>
    <sheetView tabSelected="1" workbookViewId="0">
      <selection activeCell="J16" sqref="J16"/>
    </sheetView>
  </sheetViews>
  <sheetFormatPr defaultRowHeight="15" x14ac:dyDescent="0.25"/>
  <cols>
    <col min="1" max="1" width="16" bestFit="1" customWidth="1"/>
    <col min="2" max="2" width="13" bestFit="1" customWidth="1"/>
    <col min="3" max="3" width="21.85546875" bestFit="1" customWidth="1"/>
    <col min="4" max="4" width="9.85546875" customWidth="1"/>
    <col min="5" max="5" width="9.28515625" customWidth="1"/>
    <col min="6" max="6" width="8.5703125" customWidth="1"/>
    <col min="9" max="9" width="10" bestFit="1" customWidth="1"/>
    <col min="10" max="10" width="51.140625" bestFit="1" customWidth="1"/>
    <col min="14" max="14" width="21.85546875" bestFit="1" customWidth="1"/>
    <col min="15" max="15" width="14.42578125" customWidth="1"/>
  </cols>
  <sheetData>
    <row r="1" spans="1:16" ht="15.75" thickBot="1" x14ac:dyDescent="0.3">
      <c r="A1" s="3" t="s">
        <v>11</v>
      </c>
      <c r="B1" s="3" t="s">
        <v>12</v>
      </c>
      <c r="C1" s="3" t="s">
        <v>0</v>
      </c>
      <c r="D1" s="6" t="s">
        <v>1</v>
      </c>
      <c r="E1" s="6" t="s">
        <v>48</v>
      </c>
      <c r="F1" s="3" t="s">
        <v>71</v>
      </c>
      <c r="G1" s="45" t="s">
        <v>72</v>
      </c>
      <c r="H1" s="45" t="s">
        <v>82</v>
      </c>
      <c r="I1" s="7" t="s">
        <v>42</v>
      </c>
      <c r="J1" s="7"/>
      <c r="N1" s="14" t="s">
        <v>0</v>
      </c>
      <c r="O1" s="14" t="s">
        <v>49</v>
      </c>
      <c r="P1" s="14"/>
    </row>
    <row r="2" spans="1:16" ht="16.5" thickTop="1" thickBot="1" x14ac:dyDescent="0.3">
      <c r="A2" t="s">
        <v>40</v>
      </c>
      <c r="B2" t="s">
        <v>37</v>
      </c>
      <c r="C2" t="s">
        <v>30</v>
      </c>
      <c r="D2" s="1">
        <v>1624</v>
      </c>
      <c r="E2" s="2">
        <v>114</v>
      </c>
      <c r="F2">
        <f>_xlfn.XLOOKUP(Table2[[#This Row],[Product]],products[Product],products[Cost per unit])</f>
        <v>14.49</v>
      </c>
      <c r="G2">
        <f>Table2[[#This Row],[cost per unit]]*Table2[[#This Row],[Units]]</f>
        <v>1651.8600000000001</v>
      </c>
      <c r="H2" s="44">
        <f>Table2[[#This Row],[Amount]]-Table2[[#This Row],[cost]]</f>
        <v>-27.860000000000127</v>
      </c>
      <c r="I2" s="7"/>
      <c r="J2" s="7"/>
      <c r="N2" s="43" t="s">
        <v>13</v>
      </c>
      <c r="O2" s="46">
        <v>9.33</v>
      </c>
    </row>
    <row r="3" spans="1:16" ht="15.75" thickTop="1" x14ac:dyDescent="0.25">
      <c r="A3" t="s">
        <v>8</v>
      </c>
      <c r="B3" t="s">
        <v>35</v>
      </c>
      <c r="C3" t="s">
        <v>32</v>
      </c>
      <c r="D3" s="1">
        <v>6706</v>
      </c>
      <c r="E3" s="2">
        <v>459</v>
      </c>
      <c r="F3" s="43">
        <f>_xlfn.XLOOKUP(Table2[[#This Row],[Product]],products[Product],products[Cost per unit])</f>
        <v>8.65</v>
      </c>
      <c r="G3" s="43">
        <f>Table2[[#This Row],[cost per unit]]*Table2[[#This Row],[Units]]</f>
        <v>3970.3500000000004</v>
      </c>
      <c r="H3" s="44">
        <f>Table2[[#This Row],[Amount]]-Table2[[#This Row],[cost]]</f>
        <v>2735.6499999999996</v>
      </c>
      <c r="I3" s="4">
        <v>1</v>
      </c>
      <c r="J3" s="5" t="s">
        <v>43</v>
      </c>
      <c r="N3" s="43" t="s">
        <v>14</v>
      </c>
      <c r="O3" s="46">
        <v>11.7</v>
      </c>
    </row>
    <row r="4" spans="1:16" x14ac:dyDescent="0.25">
      <c r="A4" t="s">
        <v>9</v>
      </c>
      <c r="B4" t="s">
        <v>35</v>
      </c>
      <c r="C4" t="s">
        <v>4</v>
      </c>
      <c r="D4" s="1">
        <v>959</v>
      </c>
      <c r="E4" s="2">
        <v>147</v>
      </c>
      <c r="F4" s="43">
        <f>_xlfn.XLOOKUP(Table2[[#This Row],[Product]],products[Product],products[Cost per unit])</f>
        <v>11.88</v>
      </c>
      <c r="G4" s="43">
        <f>Table2[[#This Row],[cost per unit]]*Table2[[#This Row],[Units]]</f>
        <v>1746.3600000000001</v>
      </c>
      <c r="H4" s="44">
        <f>Table2[[#This Row],[Amount]]-Table2[[#This Row],[cost]]</f>
        <v>-787.36000000000013</v>
      </c>
      <c r="I4" s="4">
        <v>2</v>
      </c>
      <c r="J4" s="5" t="s">
        <v>50</v>
      </c>
      <c r="N4" s="43" t="s">
        <v>4</v>
      </c>
      <c r="O4" s="46">
        <v>11.88</v>
      </c>
    </row>
    <row r="5" spans="1:16" x14ac:dyDescent="0.25">
      <c r="A5" t="s">
        <v>41</v>
      </c>
      <c r="B5" t="s">
        <v>36</v>
      </c>
      <c r="C5" t="s">
        <v>18</v>
      </c>
      <c r="D5" s="1">
        <v>9632</v>
      </c>
      <c r="E5" s="2">
        <v>288</v>
      </c>
      <c r="F5" s="43">
        <f>_xlfn.XLOOKUP(Table2[[#This Row],[Product]],products[Product],products[Cost per unit])</f>
        <v>6.47</v>
      </c>
      <c r="G5" s="43">
        <f>Table2[[#This Row],[cost per unit]]*Table2[[#This Row],[Units]]</f>
        <v>1863.36</v>
      </c>
      <c r="H5" s="44">
        <f>Table2[[#This Row],[Amount]]-Table2[[#This Row],[cost]]</f>
        <v>7768.64</v>
      </c>
      <c r="I5" s="4">
        <v>3</v>
      </c>
      <c r="J5" s="5" t="s">
        <v>44</v>
      </c>
      <c r="N5" s="43" t="s">
        <v>15</v>
      </c>
      <c r="O5" s="46">
        <v>11.73</v>
      </c>
    </row>
    <row r="6" spans="1:16" x14ac:dyDescent="0.25">
      <c r="A6" t="s">
        <v>6</v>
      </c>
      <c r="B6" t="s">
        <v>39</v>
      </c>
      <c r="C6" t="s">
        <v>25</v>
      </c>
      <c r="D6" s="1">
        <v>2100</v>
      </c>
      <c r="E6" s="2">
        <v>414</v>
      </c>
      <c r="F6" s="43">
        <f>_xlfn.XLOOKUP(Table2[[#This Row],[Product]],products[Product],products[Cost per unit])</f>
        <v>13.15</v>
      </c>
      <c r="G6" s="43">
        <f>Table2[[#This Row],[cost per unit]]*Table2[[#This Row],[Units]]</f>
        <v>5444.1</v>
      </c>
      <c r="H6" s="44">
        <f>Table2[[#This Row],[Amount]]-Table2[[#This Row],[cost]]</f>
        <v>-3344.1000000000004</v>
      </c>
      <c r="I6" s="4">
        <v>4</v>
      </c>
      <c r="J6" s="5" t="s">
        <v>45</v>
      </c>
      <c r="N6" s="43" t="s">
        <v>16</v>
      </c>
      <c r="O6" s="46">
        <v>8.7899999999999991</v>
      </c>
    </row>
    <row r="7" spans="1:16" x14ac:dyDescent="0.25">
      <c r="A7" t="s">
        <v>40</v>
      </c>
      <c r="B7" t="s">
        <v>35</v>
      </c>
      <c r="C7" t="s">
        <v>33</v>
      </c>
      <c r="D7" s="1">
        <v>8869</v>
      </c>
      <c r="E7" s="2">
        <v>432</v>
      </c>
      <c r="F7" s="43">
        <f>_xlfn.XLOOKUP(Table2[[#This Row],[Product]],products[Product],products[Cost per unit])</f>
        <v>12.37</v>
      </c>
      <c r="G7" s="43">
        <f>Table2[[#This Row],[cost per unit]]*Table2[[#This Row],[Units]]</f>
        <v>5343.8399999999992</v>
      </c>
      <c r="H7" s="44">
        <f>Table2[[#This Row],[Amount]]-Table2[[#This Row],[cost]]</f>
        <v>3525.1600000000008</v>
      </c>
      <c r="I7" s="4">
        <v>5</v>
      </c>
      <c r="J7" s="5" t="s">
        <v>51</v>
      </c>
      <c r="N7" s="43" t="s">
        <v>17</v>
      </c>
      <c r="O7" s="46">
        <v>3.11</v>
      </c>
    </row>
    <row r="8" spans="1:16" x14ac:dyDescent="0.25">
      <c r="A8" t="s">
        <v>6</v>
      </c>
      <c r="B8" t="s">
        <v>38</v>
      </c>
      <c r="C8" t="s">
        <v>31</v>
      </c>
      <c r="D8" s="1">
        <v>2681</v>
      </c>
      <c r="E8" s="2">
        <v>54</v>
      </c>
      <c r="F8" s="43">
        <f>_xlfn.XLOOKUP(Table2[[#This Row],[Product]],products[Product],products[Cost per unit])</f>
        <v>5.79</v>
      </c>
      <c r="G8" s="43">
        <f>Table2[[#This Row],[cost per unit]]*Table2[[#This Row],[Units]]</f>
        <v>312.66000000000003</v>
      </c>
      <c r="H8" s="44">
        <f>Table2[[#This Row],[Amount]]-Table2[[#This Row],[cost]]</f>
        <v>2368.34</v>
      </c>
      <c r="I8" s="4">
        <v>6</v>
      </c>
      <c r="J8" s="5" t="s">
        <v>52</v>
      </c>
      <c r="N8" s="43" t="s">
        <v>18</v>
      </c>
      <c r="O8" s="46">
        <v>6.47</v>
      </c>
    </row>
    <row r="9" spans="1:16" x14ac:dyDescent="0.25">
      <c r="A9" t="s">
        <v>8</v>
      </c>
      <c r="B9" t="s">
        <v>35</v>
      </c>
      <c r="C9" t="s">
        <v>22</v>
      </c>
      <c r="D9" s="1">
        <v>5012</v>
      </c>
      <c r="E9" s="2">
        <v>210</v>
      </c>
      <c r="F9" s="43">
        <f>_xlfn.XLOOKUP(Table2[[#This Row],[Product]],products[Product],products[Cost per unit])</f>
        <v>9.77</v>
      </c>
      <c r="G9" s="43">
        <f>Table2[[#This Row],[cost per unit]]*Table2[[#This Row],[Units]]</f>
        <v>2051.6999999999998</v>
      </c>
      <c r="H9" s="44">
        <f>Table2[[#This Row],[Amount]]-Table2[[#This Row],[cost]]</f>
        <v>2960.3</v>
      </c>
      <c r="I9" s="4">
        <v>7</v>
      </c>
      <c r="J9" s="5" t="s">
        <v>47</v>
      </c>
      <c r="N9" s="43" t="s">
        <v>19</v>
      </c>
      <c r="O9" s="46">
        <v>7.64</v>
      </c>
    </row>
    <row r="10" spans="1:16" x14ac:dyDescent="0.25">
      <c r="A10" t="s">
        <v>7</v>
      </c>
      <c r="B10" t="s">
        <v>38</v>
      </c>
      <c r="C10" t="s">
        <v>14</v>
      </c>
      <c r="D10" s="1">
        <v>1281</v>
      </c>
      <c r="E10" s="2">
        <v>75</v>
      </c>
      <c r="F10" s="43">
        <f>_xlfn.XLOOKUP(Table2[[#This Row],[Product]],products[Product],products[Cost per unit])</f>
        <v>11.7</v>
      </c>
      <c r="G10" s="43">
        <f>Table2[[#This Row],[cost per unit]]*Table2[[#This Row],[Units]]</f>
        <v>877.5</v>
      </c>
      <c r="H10" s="44">
        <f>Table2[[#This Row],[Amount]]-Table2[[#This Row],[cost]]</f>
        <v>403.5</v>
      </c>
      <c r="I10" s="4">
        <v>8</v>
      </c>
      <c r="J10" s="5" t="s">
        <v>73</v>
      </c>
      <c r="N10" s="43" t="s">
        <v>20</v>
      </c>
      <c r="O10" s="46">
        <v>10.62</v>
      </c>
    </row>
    <row r="11" spans="1:16" x14ac:dyDescent="0.25">
      <c r="A11" t="s">
        <v>5</v>
      </c>
      <c r="B11" t="s">
        <v>37</v>
      </c>
      <c r="C11" t="s">
        <v>14</v>
      </c>
      <c r="D11" s="1">
        <v>4991</v>
      </c>
      <c r="E11" s="2">
        <v>12</v>
      </c>
      <c r="F11" s="43">
        <f>_xlfn.XLOOKUP(Table2[[#This Row],[Product]],products[Product],products[Cost per unit])</f>
        <v>11.7</v>
      </c>
      <c r="G11" s="43">
        <f>Table2[[#This Row],[cost per unit]]*Table2[[#This Row],[Units]]</f>
        <v>140.39999999999998</v>
      </c>
      <c r="H11" s="44">
        <f>Table2[[#This Row],[Amount]]-Table2[[#This Row],[cost]]</f>
        <v>4850.6000000000004</v>
      </c>
      <c r="I11" s="4">
        <v>9</v>
      </c>
      <c r="J11" s="5" t="s">
        <v>46</v>
      </c>
      <c r="N11" s="43" t="s">
        <v>21</v>
      </c>
      <c r="O11" s="46">
        <v>9</v>
      </c>
    </row>
    <row r="12" spans="1:16" x14ac:dyDescent="0.25">
      <c r="A12" t="s">
        <v>2</v>
      </c>
      <c r="B12" t="s">
        <v>39</v>
      </c>
      <c r="C12" t="s">
        <v>25</v>
      </c>
      <c r="D12" s="1">
        <v>1785</v>
      </c>
      <c r="E12" s="2">
        <v>462</v>
      </c>
      <c r="F12" s="43">
        <f>_xlfn.XLOOKUP(Table2[[#This Row],[Product]],products[Product],products[Cost per unit])</f>
        <v>13.15</v>
      </c>
      <c r="G12" s="43">
        <f>Table2[[#This Row],[cost per unit]]*Table2[[#This Row],[Units]]</f>
        <v>6075.3</v>
      </c>
      <c r="H12" s="44">
        <f>Table2[[#This Row],[Amount]]-Table2[[#This Row],[cost]]</f>
        <v>-4290.3</v>
      </c>
      <c r="I12" s="4"/>
      <c r="J12" s="5"/>
      <c r="N12" s="43" t="s">
        <v>22</v>
      </c>
      <c r="O12" s="46">
        <v>9.77</v>
      </c>
    </row>
    <row r="13" spans="1:16" x14ac:dyDescent="0.25">
      <c r="A13" t="s">
        <v>3</v>
      </c>
      <c r="B13" t="s">
        <v>37</v>
      </c>
      <c r="C13" t="s">
        <v>17</v>
      </c>
      <c r="D13" s="1">
        <v>3983</v>
      </c>
      <c r="E13" s="2">
        <v>144</v>
      </c>
      <c r="F13" s="43">
        <f>_xlfn.XLOOKUP(Table2[[#This Row],[Product]],products[Product],products[Cost per unit])</f>
        <v>3.11</v>
      </c>
      <c r="G13" s="43">
        <f>Table2[[#This Row],[cost per unit]]*Table2[[#This Row],[Units]]</f>
        <v>447.84</v>
      </c>
      <c r="H13" s="44">
        <f>Table2[[#This Row],[Amount]]-Table2[[#This Row],[cost]]</f>
        <v>3535.16</v>
      </c>
      <c r="N13" s="43" t="s">
        <v>23</v>
      </c>
      <c r="O13" s="46">
        <v>6.49</v>
      </c>
    </row>
    <row r="14" spans="1:16" x14ac:dyDescent="0.25">
      <c r="A14" t="s">
        <v>9</v>
      </c>
      <c r="B14" t="s">
        <v>38</v>
      </c>
      <c r="C14" t="s">
        <v>16</v>
      </c>
      <c r="D14" s="1">
        <v>2646</v>
      </c>
      <c r="E14" s="2">
        <v>120</v>
      </c>
      <c r="F14" s="43">
        <f>_xlfn.XLOOKUP(Table2[[#This Row],[Product]],products[Product],products[Cost per unit])</f>
        <v>8.7899999999999991</v>
      </c>
      <c r="G14" s="43">
        <f>Table2[[#This Row],[cost per unit]]*Table2[[#This Row],[Units]]</f>
        <v>1054.8</v>
      </c>
      <c r="H14" s="44">
        <f>Table2[[#This Row],[Amount]]-Table2[[#This Row],[cost]]</f>
        <v>1591.2</v>
      </c>
      <c r="N14" s="43" t="s">
        <v>24</v>
      </c>
      <c r="O14" s="46">
        <v>4.97</v>
      </c>
    </row>
    <row r="15" spans="1:16" x14ac:dyDescent="0.25">
      <c r="A15" t="s">
        <v>2</v>
      </c>
      <c r="B15" t="s">
        <v>34</v>
      </c>
      <c r="C15" t="s">
        <v>13</v>
      </c>
      <c r="D15" s="1">
        <v>252</v>
      </c>
      <c r="E15" s="2">
        <v>54</v>
      </c>
      <c r="F15" s="43">
        <f>_xlfn.XLOOKUP(Table2[[#This Row],[Product]],products[Product],products[Cost per unit])</f>
        <v>9.33</v>
      </c>
      <c r="G15" s="43">
        <f>Table2[[#This Row],[cost per unit]]*Table2[[#This Row],[Units]]</f>
        <v>503.82</v>
      </c>
      <c r="H15" s="44">
        <f>Table2[[#This Row],[Amount]]-Table2[[#This Row],[cost]]</f>
        <v>-251.82</v>
      </c>
      <c r="N15" s="43" t="s">
        <v>25</v>
      </c>
      <c r="O15" s="46">
        <v>13.15</v>
      </c>
    </row>
    <row r="16" spans="1:16" x14ac:dyDescent="0.25">
      <c r="A16" t="s">
        <v>3</v>
      </c>
      <c r="B16" t="s">
        <v>35</v>
      </c>
      <c r="C16" t="s">
        <v>25</v>
      </c>
      <c r="D16" s="1">
        <v>2464</v>
      </c>
      <c r="E16" s="2">
        <v>234</v>
      </c>
      <c r="F16" s="43">
        <f>_xlfn.XLOOKUP(Table2[[#This Row],[Product]],products[Product],products[Cost per unit])</f>
        <v>13.15</v>
      </c>
      <c r="G16" s="43">
        <f>Table2[[#This Row],[cost per unit]]*Table2[[#This Row],[Units]]</f>
        <v>3077.1</v>
      </c>
      <c r="H16" s="44">
        <f>Table2[[#This Row],[Amount]]-Table2[[#This Row],[cost]]</f>
        <v>-613.09999999999991</v>
      </c>
      <c r="N16" s="43" t="s">
        <v>26</v>
      </c>
      <c r="O16" s="46">
        <v>5.6</v>
      </c>
    </row>
    <row r="17" spans="1:15" x14ac:dyDescent="0.25">
      <c r="A17" t="s">
        <v>3</v>
      </c>
      <c r="B17" t="s">
        <v>35</v>
      </c>
      <c r="C17" t="s">
        <v>29</v>
      </c>
      <c r="D17" s="1">
        <v>2114</v>
      </c>
      <c r="E17" s="2">
        <v>66</v>
      </c>
      <c r="F17" s="43">
        <f>_xlfn.XLOOKUP(Table2[[#This Row],[Product]],products[Product],products[Cost per unit])</f>
        <v>7.16</v>
      </c>
      <c r="G17" s="43">
        <f>Table2[[#This Row],[cost per unit]]*Table2[[#This Row],[Units]]</f>
        <v>472.56</v>
      </c>
      <c r="H17" s="44">
        <f>Table2[[#This Row],[Amount]]-Table2[[#This Row],[cost]]</f>
        <v>1641.44</v>
      </c>
      <c r="N17" s="43" t="s">
        <v>27</v>
      </c>
      <c r="O17" s="46">
        <v>16.73</v>
      </c>
    </row>
    <row r="18" spans="1:15" x14ac:dyDescent="0.25">
      <c r="A18" t="s">
        <v>6</v>
      </c>
      <c r="B18" t="s">
        <v>37</v>
      </c>
      <c r="C18" t="s">
        <v>31</v>
      </c>
      <c r="D18" s="1">
        <v>7693</v>
      </c>
      <c r="E18" s="2">
        <v>87</v>
      </c>
      <c r="F18" s="43">
        <f>_xlfn.XLOOKUP(Table2[[#This Row],[Product]],products[Product],products[Cost per unit])</f>
        <v>5.79</v>
      </c>
      <c r="G18" s="43">
        <f>Table2[[#This Row],[cost per unit]]*Table2[[#This Row],[Units]]</f>
        <v>503.73</v>
      </c>
      <c r="H18" s="44">
        <f>Table2[[#This Row],[Amount]]-Table2[[#This Row],[cost]]</f>
        <v>7189.27</v>
      </c>
      <c r="N18" s="43" t="s">
        <v>28</v>
      </c>
      <c r="O18" s="46">
        <v>10.38</v>
      </c>
    </row>
    <row r="19" spans="1:15" x14ac:dyDescent="0.25">
      <c r="A19" t="s">
        <v>5</v>
      </c>
      <c r="B19" t="s">
        <v>34</v>
      </c>
      <c r="C19" t="s">
        <v>20</v>
      </c>
      <c r="D19" s="1">
        <v>15610</v>
      </c>
      <c r="E19" s="2">
        <v>339</v>
      </c>
      <c r="F19" s="43">
        <f>_xlfn.XLOOKUP(Table2[[#This Row],[Product]],products[Product],products[Cost per unit])</f>
        <v>10.62</v>
      </c>
      <c r="G19" s="43">
        <f>Table2[[#This Row],[cost per unit]]*Table2[[#This Row],[Units]]</f>
        <v>3600.18</v>
      </c>
      <c r="H19" s="44">
        <f>Table2[[#This Row],[Amount]]-Table2[[#This Row],[cost]]</f>
        <v>12009.82</v>
      </c>
      <c r="N19" s="43" t="s">
        <v>29</v>
      </c>
      <c r="O19" s="46">
        <v>7.16</v>
      </c>
    </row>
    <row r="20" spans="1:15" x14ac:dyDescent="0.25">
      <c r="A20" t="s">
        <v>41</v>
      </c>
      <c r="B20" t="s">
        <v>34</v>
      </c>
      <c r="C20" t="s">
        <v>22</v>
      </c>
      <c r="D20" s="1">
        <v>336</v>
      </c>
      <c r="E20" s="2">
        <v>144</v>
      </c>
      <c r="F20" s="43">
        <f>_xlfn.XLOOKUP(Table2[[#This Row],[Product]],products[Product],products[Cost per unit])</f>
        <v>9.77</v>
      </c>
      <c r="G20" s="43">
        <f>Table2[[#This Row],[cost per unit]]*Table2[[#This Row],[Units]]</f>
        <v>1406.8799999999999</v>
      </c>
      <c r="H20" s="44">
        <f>Table2[[#This Row],[Amount]]-Table2[[#This Row],[cost]]</f>
        <v>-1070.8799999999999</v>
      </c>
      <c r="N20" s="43" t="s">
        <v>30</v>
      </c>
      <c r="O20" s="46">
        <v>14.49</v>
      </c>
    </row>
    <row r="21" spans="1:15" x14ac:dyDescent="0.25">
      <c r="A21" t="s">
        <v>2</v>
      </c>
      <c r="B21" t="s">
        <v>39</v>
      </c>
      <c r="C21" t="s">
        <v>20</v>
      </c>
      <c r="D21" s="1">
        <v>9443</v>
      </c>
      <c r="E21" s="2">
        <v>162</v>
      </c>
      <c r="F21" s="43">
        <f>_xlfn.XLOOKUP(Table2[[#This Row],[Product]],products[Product],products[Cost per unit])</f>
        <v>10.62</v>
      </c>
      <c r="G21" s="43">
        <f>Table2[[#This Row],[cost per unit]]*Table2[[#This Row],[Units]]</f>
        <v>1720.4399999999998</v>
      </c>
      <c r="H21" s="44">
        <f>Table2[[#This Row],[Amount]]-Table2[[#This Row],[cost]]</f>
        <v>7722.56</v>
      </c>
      <c r="N21" s="43" t="s">
        <v>31</v>
      </c>
      <c r="O21" s="46">
        <v>5.79</v>
      </c>
    </row>
    <row r="22" spans="1:15" x14ac:dyDescent="0.25">
      <c r="A22" t="s">
        <v>9</v>
      </c>
      <c r="B22" t="s">
        <v>34</v>
      </c>
      <c r="C22" t="s">
        <v>23</v>
      </c>
      <c r="D22" s="1">
        <v>8155</v>
      </c>
      <c r="E22" s="2">
        <v>90</v>
      </c>
      <c r="F22" s="43">
        <f>_xlfn.XLOOKUP(Table2[[#This Row],[Product]],products[Product],products[Cost per unit])</f>
        <v>6.49</v>
      </c>
      <c r="G22" s="43">
        <f>Table2[[#This Row],[cost per unit]]*Table2[[#This Row],[Units]]</f>
        <v>584.1</v>
      </c>
      <c r="H22" s="44">
        <f>Table2[[#This Row],[Amount]]-Table2[[#This Row],[cost]]</f>
        <v>7570.9</v>
      </c>
      <c r="N22" s="43" t="s">
        <v>32</v>
      </c>
      <c r="O22" s="46">
        <v>8.65</v>
      </c>
    </row>
    <row r="23" spans="1:15" x14ac:dyDescent="0.25">
      <c r="A23" t="s">
        <v>8</v>
      </c>
      <c r="B23" t="s">
        <v>38</v>
      </c>
      <c r="C23" t="s">
        <v>23</v>
      </c>
      <c r="D23" s="1">
        <v>1701</v>
      </c>
      <c r="E23" s="2">
        <v>234</v>
      </c>
      <c r="F23" s="43">
        <f>_xlfn.XLOOKUP(Table2[[#This Row],[Product]],products[Product],products[Cost per unit])</f>
        <v>6.49</v>
      </c>
      <c r="G23" s="43">
        <f>Table2[[#This Row],[cost per unit]]*Table2[[#This Row],[Units]]</f>
        <v>1518.66</v>
      </c>
      <c r="H23" s="44">
        <f>Table2[[#This Row],[Amount]]-Table2[[#This Row],[cost]]</f>
        <v>182.33999999999992</v>
      </c>
      <c r="N23" s="43" t="s">
        <v>33</v>
      </c>
      <c r="O23" s="46">
        <v>12.37</v>
      </c>
    </row>
    <row r="24" spans="1:15" x14ac:dyDescent="0.25">
      <c r="A24" t="s">
        <v>10</v>
      </c>
      <c r="B24" t="s">
        <v>38</v>
      </c>
      <c r="C24" t="s">
        <v>22</v>
      </c>
      <c r="D24" s="1">
        <v>2205</v>
      </c>
      <c r="E24" s="2">
        <v>141</v>
      </c>
      <c r="F24" s="43">
        <f>_xlfn.XLOOKUP(Table2[[#This Row],[Product]],products[Product],products[Cost per unit])</f>
        <v>9.77</v>
      </c>
      <c r="G24" s="43">
        <f>Table2[[#This Row],[cost per unit]]*Table2[[#This Row],[Units]]</f>
        <v>1377.57</v>
      </c>
      <c r="H24" s="44">
        <f>Table2[[#This Row],[Amount]]-Table2[[#This Row],[cost]]</f>
        <v>827.43000000000006</v>
      </c>
    </row>
    <row r="25" spans="1:15" x14ac:dyDescent="0.25">
      <c r="A25" t="s">
        <v>8</v>
      </c>
      <c r="B25" t="s">
        <v>37</v>
      </c>
      <c r="C25" t="s">
        <v>19</v>
      </c>
      <c r="D25" s="1">
        <v>1771</v>
      </c>
      <c r="E25" s="2">
        <v>204</v>
      </c>
      <c r="F25" s="43">
        <f>_xlfn.XLOOKUP(Table2[[#This Row],[Product]],products[Product],products[Cost per unit])</f>
        <v>7.64</v>
      </c>
      <c r="G25" s="43">
        <f>Table2[[#This Row],[cost per unit]]*Table2[[#This Row],[Units]]</f>
        <v>1558.56</v>
      </c>
      <c r="H25" s="44">
        <f>Table2[[#This Row],[Amount]]-Table2[[#This Row],[cost]]</f>
        <v>212.44000000000005</v>
      </c>
    </row>
    <row r="26" spans="1:15" x14ac:dyDescent="0.25">
      <c r="A26" t="s">
        <v>41</v>
      </c>
      <c r="B26" t="s">
        <v>35</v>
      </c>
      <c r="C26" t="s">
        <v>15</v>
      </c>
      <c r="D26" s="1">
        <v>2114</v>
      </c>
      <c r="E26" s="2">
        <v>186</v>
      </c>
      <c r="F26" s="43">
        <f>_xlfn.XLOOKUP(Table2[[#This Row],[Product]],products[Product],products[Cost per unit])</f>
        <v>11.73</v>
      </c>
      <c r="G26" s="43">
        <f>Table2[[#This Row],[cost per unit]]*Table2[[#This Row],[Units]]</f>
        <v>2181.7800000000002</v>
      </c>
      <c r="H26" s="44">
        <f>Table2[[#This Row],[Amount]]-Table2[[#This Row],[cost]]</f>
        <v>-67.7800000000002</v>
      </c>
    </row>
    <row r="27" spans="1:15" x14ac:dyDescent="0.25">
      <c r="A27" t="s">
        <v>41</v>
      </c>
      <c r="B27" t="s">
        <v>36</v>
      </c>
      <c r="C27" t="s">
        <v>13</v>
      </c>
      <c r="D27" s="1">
        <v>10311</v>
      </c>
      <c r="E27" s="2">
        <v>231</v>
      </c>
      <c r="F27" s="43">
        <f>_xlfn.XLOOKUP(Table2[[#This Row],[Product]],products[Product],products[Cost per unit])</f>
        <v>9.33</v>
      </c>
      <c r="G27" s="43">
        <f>Table2[[#This Row],[cost per unit]]*Table2[[#This Row],[Units]]</f>
        <v>2155.23</v>
      </c>
      <c r="H27" s="44">
        <f>Table2[[#This Row],[Amount]]-Table2[[#This Row],[cost]]</f>
        <v>8155.77</v>
      </c>
    </row>
    <row r="28" spans="1:15" x14ac:dyDescent="0.25">
      <c r="A28" t="s">
        <v>3</v>
      </c>
      <c r="B28" t="s">
        <v>39</v>
      </c>
      <c r="C28" t="s">
        <v>16</v>
      </c>
      <c r="D28" s="1">
        <v>21</v>
      </c>
      <c r="E28" s="2">
        <v>168</v>
      </c>
      <c r="F28" s="43">
        <f>_xlfn.XLOOKUP(Table2[[#This Row],[Product]],products[Product],products[Cost per unit])</f>
        <v>8.7899999999999991</v>
      </c>
      <c r="G28" s="43">
        <f>Table2[[#This Row],[cost per unit]]*Table2[[#This Row],[Units]]</f>
        <v>1476.7199999999998</v>
      </c>
      <c r="H28" s="44">
        <f>Table2[[#This Row],[Amount]]-Table2[[#This Row],[cost]]</f>
        <v>-1455.7199999999998</v>
      </c>
    </row>
    <row r="29" spans="1:15" x14ac:dyDescent="0.25">
      <c r="A29" t="s">
        <v>10</v>
      </c>
      <c r="B29" t="s">
        <v>35</v>
      </c>
      <c r="C29" t="s">
        <v>20</v>
      </c>
      <c r="D29" s="1">
        <v>1974</v>
      </c>
      <c r="E29" s="2">
        <v>195</v>
      </c>
      <c r="F29" s="43">
        <f>_xlfn.XLOOKUP(Table2[[#This Row],[Product]],products[Product],products[Cost per unit])</f>
        <v>10.62</v>
      </c>
      <c r="G29" s="43">
        <f>Table2[[#This Row],[cost per unit]]*Table2[[#This Row],[Units]]</f>
        <v>2070.8999999999996</v>
      </c>
      <c r="H29" s="44">
        <f>Table2[[#This Row],[Amount]]-Table2[[#This Row],[cost]]</f>
        <v>-96.899999999999636</v>
      </c>
    </row>
    <row r="30" spans="1:15" x14ac:dyDescent="0.25">
      <c r="A30" t="s">
        <v>5</v>
      </c>
      <c r="B30" t="s">
        <v>36</v>
      </c>
      <c r="C30" t="s">
        <v>23</v>
      </c>
      <c r="D30" s="1">
        <v>6314</v>
      </c>
      <c r="E30" s="2">
        <v>15</v>
      </c>
      <c r="F30" s="43">
        <f>_xlfn.XLOOKUP(Table2[[#This Row],[Product]],products[Product],products[Cost per unit])</f>
        <v>6.49</v>
      </c>
      <c r="G30" s="43">
        <f>Table2[[#This Row],[cost per unit]]*Table2[[#This Row],[Units]]</f>
        <v>97.350000000000009</v>
      </c>
      <c r="H30" s="44">
        <f>Table2[[#This Row],[Amount]]-Table2[[#This Row],[cost]]</f>
        <v>6216.65</v>
      </c>
    </row>
    <row r="31" spans="1:15" x14ac:dyDescent="0.25">
      <c r="A31" t="s">
        <v>10</v>
      </c>
      <c r="B31" t="s">
        <v>37</v>
      </c>
      <c r="C31" t="s">
        <v>23</v>
      </c>
      <c r="D31" s="1">
        <v>4683</v>
      </c>
      <c r="E31" s="2">
        <v>30</v>
      </c>
      <c r="F31" s="43">
        <f>_xlfn.XLOOKUP(Table2[[#This Row],[Product]],products[Product],products[Cost per unit])</f>
        <v>6.49</v>
      </c>
      <c r="G31" s="43">
        <f>Table2[[#This Row],[cost per unit]]*Table2[[#This Row],[Units]]</f>
        <v>194.70000000000002</v>
      </c>
      <c r="H31" s="44">
        <f>Table2[[#This Row],[Amount]]-Table2[[#This Row],[cost]]</f>
        <v>4488.3</v>
      </c>
    </row>
    <row r="32" spans="1:15" x14ac:dyDescent="0.25">
      <c r="A32" t="s">
        <v>41</v>
      </c>
      <c r="B32" t="s">
        <v>37</v>
      </c>
      <c r="C32" t="s">
        <v>24</v>
      </c>
      <c r="D32" s="1">
        <v>6398</v>
      </c>
      <c r="E32" s="2">
        <v>102</v>
      </c>
      <c r="F32" s="43">
        <f>_xlfn.XLOOKUP(Table2[[#This Row],[Product]],products[Product],products[Cost per unit])</f>
        <v>4.97</v>
      </c>
      <c r="G32" s="43">
        <f>Table2[[#This Row],[cost per unit]]*Table2[[#This Row],[Units]]</f>
        <v>506.94</v>
      </c>
      <c r="H32" s="44">
        <f>Table2[[#This Row],[Amount]]-Table2[[#This Row],[cost]]</f>
        <v>5891.06</v>
      </c>
    </row>
    <row r="33" spans="1:8" x14ac:dyDescent="0.25">
      <c r="A33" t="s">
        <v>2</v>
      </c>
      <c r="B33" t="s">
        <v>35</v>
      </c>
      <c r="C33" t="s">
        <v>19</v>
      </c>
      <c r="D33" s="1">
        <v>553</v>
      </c>
      <c r="E33" s="2">
        <v>15</v>
      </c>
      <c r="F33" s="43">
        <f>_xlfn.XLOOKUP(Table2[[#This Row],[Product]],products[Product],products[Cost per unit])</f>
        <v>7.64</v>
      </c>
      <c r="G33" s="43">
        <f>Table2[[#This Row],[cost per unit]]*Table2[[#This Row],[Units]]</f>
        <v>114.6</v>
      </c>
      <c r="H33" s="44">
        <f>Table2[[#This Row],[Amount]]-Table2[[#This Row],[cost]]</f>
        <v>438.4</v>
      </c>
    </row>
    <row r="34" spans="1:8" x14ac:dyDescent="0.25">
      <c r="A34" t="s">
        <v>8</v>
      </c>
      <c r="B34" t="s">
        <v>39</v>
      </c>
      <c r="C34" t="s">
        <v>30</v>
      </c>
      <c r="D34" s="1">
        <v>7021</v>
      </c>
      <c r="E34" s="2">
        <v>183</v>
      </c>
      <c r="F34" s="43">
        <f>_xlfn.XLOOKUP(Table2[[#This Row],[Product]],products[Product],products[Cost per unit])</f>
        <v>14.49</v>
      </c>
      <c r="G34" s="43">
        <f>Table2[[#This Row],[cost per unit]]*Table2[[#This Row],[Units]]</f>
        <v>2651.67</v>
      </c>
      <c r="H34" s="44">
        <f>Table2[[#This Row],[Amount]]-Table2[[#This Row],[cost]]</f>
        <v>4369.33</v>
      </c>
    </row>
    <row r="35" spans="1:8" x14ac:dyDescent="0.25">
      <c r="A35" t="s">
        <v>40</v>
      </c>
      <c r="B35" t="s">
        <v>39</v>
      </c>
      <c r="C35" t="s">
        <v>22</v>
      </c>
      <c r="D35" s="1">
        <v>5817</v>
      </c>
      <c r="E35" s="2">
        <v>12</v>
      </c>
      <c r="F35" s="43">
        <f>_xlfn.XLOOKUP(Table2[[#This Row],[Product]],products[Product],products[Cost per unit])</f>
        <v>9.77</v>
      </c>
      <c r="G35" s="43">
        <f>Table2[[#This Row],[cost per unit]]*Table2[[#This Row],[Units]]</f>
        <v>117.24</v>
      </c>
      <c r="H35" s="44">
        <f>Table2[[#This Row],[Amount]]-Table2[[#This Row],[cost]]</f>
        <v>5699.76</v>
      </c>
    </row>
    <row r="36" spans="1:8" x14ac:dyDescent="0.25">
      <c r="A36" t="s">
        <v>41</v>
      </c>
      <c r="B36" t="s">
        <v>39</v>
      </c>
      <c r="C36" t="s">
        <v>14</v>
      </c>
      <c r="D36" s="1">
        <v>3976</v>
      </c>
      <c r="E36" s="2">
        <v>72</v>
      </c>
      <c r="F36" s="43">
        <f>_xlfn.XLOOKUP(Table2[[#This Row],[Product]],products[Product],products[Cost per unit])</f>
        <v>11.7</v>
      </c>
      <c r="G36" s="43">
        <f>Table2[[#This Row],[cost per unit]]*Table2[[#This Row],[Units]]</f>
        <v>842.4</v>
      </c>
      <c r="H36" s="44">
        <f>Table2[[#This Row],[Amount]]-Table2[[#This Row],[cost]]</f>
        <v>3133.6</v>
      </c>
    </row>
    <row r="37" spans="1:8" x14ac:dyDescent="0.25">
      <c r="A37" t="s">
        <v>6</v>
      </c>
      <c r="B37" t="s">
        <v>38</v>
      </c>
      <c r="C37" t="s">
        <v>27</v>
      </c>
      <c r="D37" s="1">
        <v>1134</v>
      </c>
      <c r="E37" s="2">
        <v>282</v>
      </c>
      <c r="F37" s="43">
        <f>_xlfn.XLOOKUP(Table2[[#This Row],[Product]],products[Product],products[Cost per unit])</f>
        <v>16.73</v>
      </c>
      <c r="G37" s="43">
        <f>Table2[[#This Row],[cost per unit]]*Table2[[#This Row],[Units]]</f>
        <v>4717.8599999999997</v>
      </c>
      <c r="H37" s="44">
        <f>Table2[[#This Row],[Amount]]-Table2[[#This Row],[cost]]</f>
        <v>-3583.8599999999997</v>
      </c>
    </row>
    <row r="38" spans="1:8" x14ac:dyDescent="0.25">
      <c r="A38" t="s">
        <v>2</v>
      </c>
      <c r="B38" t="s">
        <v>39</v>
      </c>
      <c r="C38" t="s">
        <v>28</v>
      </c>
      <c r="D38" s="1">
        <v>6027</v>
      </c>
      <c r="E38" s="2">
        <v>144</v>
      </c>
      <c r="F38" s="43">
        <f>_xlfn.XLOOKUP(Table2[[#This Row],[Product]],products[Product],products[Cost per unit])</f>
        <v>10.38</v>
      </c>
      <c r="G38" s="43">
        <f>Table2[[#This Row],[cost per unit]]*Table2[[#This Row],[Units]]</f>
        <v>1494.72</v>
      </c>
      <c r="H38" s="44">
        <f>Table2[[#This Row],[Amount]]-Table2[[#This Row],[cost]]</f>
        <v>4532.28</v>
      </c>
    </row>
    <row r="39" spans="1:8" x14ac:dyDescent="0.25">
      <c r="A39" t="s">
        <v>6</v>
      </c>
      <c r="B39" t="s">
        <v>37</v>
      </c>
      <c r="C39" t="s">
        <v>16</v>
      </c>
      <c r="D39" s="1">
        <v>1904</v>
      </c>
      <c r="E39" s="2">
        <v>405</v>
      </c>
      <c r="F39" s="43">
        <f>_xlfn.XLOOKUP(Table2[[#This Row],[Product]],products[Product],products[Cost per unit])</f>
        <v>8.7899999999999991</v>
      </c>
      <c r="G39" s="43">
        <f>Table2[[#This Row],[cost per unit]]*Table2[[#This Row],[Units]]</f>
        <v>3559.95</v>
      </c>
      <c r="H39" s="44">
        <f>Table2[[#This Row],[Amount]]-Table2[[#This Row],[cost]]</f>
        <v>-1655.9499999999998</v>
      </c>
    </row>
    <row r="40" spans="1:8" x14ac:dyDescent="0.25">
      <c r="A40" t="s">
        <v>7</v>
      </c>
      <c r="B40" t="s">
        <v>34</v>
      </c>
      <c r="C40" t="s">
        <v>32</v>
      </c>
      <c r="D40" s="1">
        <v>3262</v>
      </c>
      <c r="E40" s="2">
        <v>75</v>
      </c>
      <c r="F40" s="43">
        <f>_xlfn.XLOOKUP(Table2[[#This Row],[Product]],products[Product],products[Cost per unit])</f>
        <v>8.65</v>
      </c>
      <c r="G40" s="43">
        <f>Table2[[#This Row],[cost per unit]]*Table2[[#This Row],[Units]]</f>
        <v>648.75</v>
      </c>
      <c r="H40" s="44">
        <f>Table2[[#This Row],[Amount]]-Table2[[#This Row],[cost]]</f>
        <v>2613.25</v>
      </c>
    </row>
    <row r="41" spans="1:8" x14ac:dyDescent="0.25">
      <c r="A41" t="s">
        <v>40</v>
      </c>
      <c r="B41" t="s">
        <v>34</v>
      </c>
      <c r="C41" t="s">
        <v>27</v>
      </c>
      <c r="D41" s="1">
        <v>2289</v>
      </c>
      <c r="E41" s="2">
        <v>135</v>
      </c>
      <c r="F41" s="43">
        <f>_xlfn.XLOOKUP(Table2[[#This Row],[Product]],products[Product],products[Cost per unit])</f>
        <v>16.73</v>
      </c>
      <c r="G41" s="43">
        <f>Table2[[#This Row],[cost per unit]]*Table2[[#This Row],[Units]]</f>
        <v>2258.5500000000002</v>
      </c>
      <c r="H41" s="44">
        <f>Table2[[#This Row],[Amount]]-Table2[[#This Row],[cost]]</f>
        <v>30.449999999999818</v>
      </c>
    </row>
    <row r="42" spans="1:8" x14ac:dyDescent="0.25">
      <c r="A42" t="s">
        <v>5</v>
      </c>
      <c r="B42" t="s">
        <v>34</v>
      </c>
      <c r="C42" t="s">
        <v>27</v>
      </c>
      <c r="D42" s="1">
        <v>6986</v>
      </c>
      <c r="E42" s="2">
        <v>21</v>
      </c>
      <c r="F42" s="43">
        <f>_xlfn.XLOOKUP(Table2[[#This Row],[Product]],products[Product],products[Cost per unit])</f>
        <v>16.73</v>
      </c>
      <c r="G42" s="43">
        <f>Table2[[#This Row],[cost per unit]]*Table2[[#This Row],[Units]]</f>
        <v>351.33</v>
      </c>
      <c r="H42" s="44">
        <f>Table2[[#This Row],[Amount]]-Table2[[#This Row],[cost]]</f>
        <v>6634.67</v>
      </c>
    </row>
    <row r="43" spans="1:8" x14ac:dyDescent="0.25">
      <c r="A43" t="s">
        <v>2</v>
      </c>
      <c r="B43" t="s">
        <v>38</v>
      </c>
      <c r="C43" t="s">
        <v>23</v>
      </c>
      <c r="D43" s="1">
        <v>4417</v>
      </c>
      <c r="E43" s="2">
        <v>153</v>
      </c>
      <c r="F43" s="43">
        <f>_xlfn.XLOOKUP(Table2[[#This Row],[Product]],products[Product],products[Cost per unit])</f>
        <v>6.49</v>
      </c>
      <c r="G43" s="43">
        <f>Table2[[#This Row],[cost per unit]]*Table2[[#This Row],[Units]]</f>
        <v>992.97</v>
      </c>
      <c r="H43" s="44">
        <f>Table2[[#This Row],[Amount]]-Table2[[#This Row],[cost]]</f>
        <v>3424.0299999999997</v>
      </c>
    </row>
    <row r="44" spans="1:8" x14ac:dyDescent="0.25">
      <c r="A44" t="s">
        <v>6</v>
      </c>
      <c r="B44" t="s">
        <v>34</v>
      </c>
      <c r="C44" t="s">
        <v>15</v>
      </c>
      <c r="D44" s="1">
        <v>1442</v>
      </c>
      <c r="E44" s="2">
        <v>15</v>
      </c>
      <c r="F44" s="43">
        <f>_xlfn.XLOOKUP(Table2[[#This Row],[Product]],products[Product],products[Cost per unit])</f>
        <v>11.73</v>
      </c>
      <c r="G44" s="43">
        <f>Table2[[#This Row],[cost per unit]]*Table2[[#This Row],[Units]]</f>
        <v>175.95000000000002</v>
      </c>
      <c r="H44" s="44">
        <f>Table2[[#This Row],[Amount]]-Table2[[#This Row],[cost]]</f>
        <v>1266.05</v>
      </c>
    </row>
    <row r="45" spans="1:8" x14ac:dyDescent="0.25">
      <c r="A45" t="s">
        <v>3</v>
      </c>
      <c r="B45" t="s">
        <v>35</v>
      </c>
      <c r="C45" t="s">
        <v>14</v>
      </c>
      <c r="D45" s="1">
        <v>2415</v>
      </c>
      <c r="E45" s="2">
        <v>255</v>
      </c>
      <c r="F45" s="43">
        <f>_xlfn.XLOOKUP(Table2[[#This Row],[Product]],products[Product],products[Cost per unit])</f>
        <v>11.7</v>
      </c>
      <c r="G45" s="43">
        <f>Table2[[#This Row],[cost per unit]]*Table2[[#This Row],[Units]]</f>
        <v>2983.5</v>
      </c>
      <c r="H45" s="44">
        <f>Table2[[#This Row],[Amount]]-Table2[[#This Row],[cost]]</f>
        <v>-568.5</v>
      </c>
    </row>
    <row r="46" spans="1:8" x14ac:dyDescent="0.25">
      <c r="A46" t="s">
        <v>2</v>
      </c>
      <c r="B46" t="s">
        <v>37</v>
      </c>
      <c r="C46" t="s">
        <v>19</v>
      </c>
      <c r="D46" s="1">
        <v>238</v>
      </c>
      <c r="E46" s="2">
        <v>18</v>
      </c>
      <c r="F46" s="43">
        <f>_xlfn.XLOOKUP(Table2[[#This Row],[Product]],products[Product],products[Cost per unit])</f>
        <v>7.64</v>
      </c>
      <c r="G46" s="43">
        <f>Table2[[#This Row],[cost per unit]]*Table2[[#This Row],[Units]]</f>
        <v>137.51999999999998</v>
      </c>
      <c r="H46" s="44">
        <f>Table2[[#This Row],[Amount]]-Table2[[#This Row],[cost]]</f>
        <v>100.48000000000002</v>
      </c>
    </row>
    <row r="47" spans="1:8" x14ac:dyDescent="0.25">
      <c r="A47" t="s">
        <v>6</v>
      </c>
      <c r="B47" t="s">
        <v>37</v>
      </c>
      <c r="C47" t="s">
        <v>23</v>
      </c>
      <c r="D47" s="1">
        <v>4949</v>
      </c>
      <c r="E47" s="2">
        <v>189</v>
      </c>
      <c r="F47" s="43">
        <f>_xlfn.XLOOKUP(Table2[[#This Row],[Product]],products[Product],products[Cost per unit])</f>
        <v>6.49</v>
      </c>
      <c r="G47" s="43">
        <f>Table2[[#This Row],[cost per unit]]*Table2[[#This Row],[Units]]</f>
        <v>1226.6100000000001</v>
      </c>
      <c r="H47" s="44">
        <f>Table2[[#This Row],[Amount]]-Table2[[#This Row],[cost]]</f>
        <v>3722.39</v>
      </c>
    </row>
    <row r="48" spans="1:8" x14ac:dyDescent="0.25">
      <c r="A48" t="s">
        <v>5</v>
      </c>
      <c r="B48" t="s">
        <v>38</v>
      </c>
      <c r="C48" t="s">
        <v>32</v>
      </c>
      <c r="D48" s="1">
        <v>5075</v>
      </c>
      <c r="E48" s="2">
        <v>21</v>
      </c>
      <c r="F48" s="43">
        <f>_xlfn.XLOOKUP(Table2[[#This Row],[Product]],products[Product],products[Cost per unit])</f>
        <v>8.65</v>
      </c>
      <c r="G48" s="43">
        <f>Table2[[#This Row],[cost per unit]]*Table2[[#This Row],[Units]]</f>
        <v>181.65</v>
      </c>
      <c r="H48" s="44">
        <f>Table2[[#This Row],[Amount]]-Table2[[#This Row],[cost]]</f>
        <v>4893.3500000000004</v>
      </c>
    </row>
    <row r="49" spans="1:8" x14ac:dyDescent="0.25">
      <c r="A49" t="s">
        <v>3</v>
      </c>
      <c r="B49" t="s">
        <v>36</v>
      </c>
      <c r="C49" t="s">
        <v>16</v>
      </c>
      <c r="D49" s="1">
        <v>9198</v>
      </c>
      <c r="E49" s="2">
        <v>36</v>
      </c>
      <c r="F49" s="43">
        <f>_xlfn.XLOOKUP(Table2[[#This Row],[Product]],products[Product],products[Cost per unit])</f>
        <v>8.7899999999999991</v>
      </c>
      <c r="G49" s="43">
        <f>Table2[[#This Row],[cost per unit]]*Table2[[#This Row],[Units]]</f>
        <v>316.43999999999994</v>
      </c>
      <c r="H49" s="44">
        <f>Table2[[#This Row],[Amount]]-Table2[[#This Row],[cost]]</f>
        <v>8881.56</v>
      </c>
    </row>
    <row r="50" spans="1:8" x14ac:dyDescent="0.25">
      <c r="A50" t="s">
        <v>6</v>
      </c>
      <c r="B50" t="s">
        <v>34</v>
      </c>
      <c r="C50" t="s">
        <v>29</v>
      </c>
      <c r="D50" s="1">
        <v>3339</v>
      </c>
      <c r="E50" s="2">
        <v>75</v>
      </c>
      <c r="F50" s="43">
        <f>_xlfn.XLOOKUP(Table2[[#This Row],[Product]],products[Product],products[Cost per unit])</f>
        <v>7.16</v>
      </c>
      <c r="G50" s="43">
        <f>Table2[[#This Row],[cost per unit]]*Table2[[#This Row],[Units]]</f>
        <v>537</v>
      </c>
      <c r="H50" s="44">
        <f>Table2[[#This Row],[Amount]]-Table2[[#This Row],[cost]]</f>
        <v>2802</v>
      </c>
    </row>
    <row r="51" spans="1:8" x14ac:dyDescent="0.25">
      <c r="A51" t="s">
        <v>40</v>
      </c>
      <c r="B51" t="s">
        <v>34</v>
      </c>
      <c r="C51" t="s">
        <v>17</v>
      </c>
      <c r="D51" s="1">
        <v>5019</v>
      </c>
      <c r="E51" s="2">
        <v>156</v>
      </c>
      <c r="F51" s="43">
        <f>_xlfn.XLOOKUP(Table2[[#This Row],[Product]],products[Product],products[Cost per unit])</f>
        <v>3.11</v>
      </c>
      <c r="G51" s="43">
        <f>Table2[[#This Row],[cost per unit]]*Table2[[#This Row],[Units]]</f>
        <v>485.15999999999997</v>
      </c>
      <c r="H51" s="44">
        <f>Table2[[#This Row],[Amount]]-Table2[[#This Row],[cost]]</f>
        <v>4533.84</v>
      </c>
    </row>
    <row r="52" spans="1:8" x14ac:dyDescent="0.25">
      <c r="A52" t="s">
        <v>5</v>
      </c>
      <c r="B52" t="s">
        <v>36</v>
      </c>
      <c r="C52" t="s">
        <v>16</v>
      </c>
      <c r="D52" s="1">
        <v>16184</v>
      </c>
      <c r="E52" s="2">
        <v>39</v>
      </c>
      <c r="F52" s="43">
        <f>_xlfn.XLOOKUP(Table2[[#This Row],[Product]],products[Product],products[Cost per unit])</f>
        <v>8.7899999999999991</v>
      </c>
      <c r="G52" s="43">
        <f>Table2[[#This Row],[cost per unit]]*Table2[[#This Row],[Units]]</f>
        <v>342.80999999999995</v>
      </c>
      <c r="H52" s="44">
        <f>Table2[[#This Row],[Amount]]-Table2[[#This Row],[cost]]</f>
        <v>15841.19</v>
      </c>
    </row>
    <row r="53" spans="1:8" x14ac:dyDescent="0.25">
      <c r="A53" t="s">
        <v>6</v>
      </c>
      <c r="B53" t="s">
        <v>36</v>
      </c>
      <c r="C53" t="s">
        <v>21</v>
      </c>
      <c r="D53" s="1">
        <v>497</v>
      </c>
      <c r="E53" s="2">
        <v>63</v>
      </c>
      <c r="F53" s="43">
        <f>_xlfn.XLOOKUP(Table2[[#This Row],[Product]],products[Product],products[Cost per unit])</f>
        <v>9</v>
      </c>
      <c r="G53" s="43">
        <f>Table2[[#This Row],[cost per unit]]*Table2[[#This Row],[Units]]</f>
        <v>567</v>
      </c>
      <c r="H53" s="44">
        <f>Table2[[#This Row],[Amount]]-Table2[[#This Row],[cost]]</f>
        <v>-70</v>
      </c>
    </row>
    <row r="54" spans="1:8" x14ac:dyDescent="0.25">
      <c r="A54" t="s">
        <v>2</v>
      </c>
      <c r="B54" t="s">
        <v>36</v>
      </c>
      <c r="C54" t="s">
        <v>29</v>
      </c>
      <c r="D54" s="1">
        <v>8211</v>
      </c>
      <c r="E54" s="2">
        <v>75</v>
      </c>
      <c r="F54" s="43">
        <f>_xlfn.XLOOKUP(Table2[[#This Row],[Product]],products[Product],products[Cost per unit])</f>
        <v>7.16</v>
      </c>
      <c r="G54" s="43">
        <f>Table2[[#This Row],[cost per unit]]*Table2[[#This Row],[Units]]</f>
        <v>537</v>
      </c>
      <c r="H54" s="44">
        <f>Table2[[#This Row],[Amount]]-Table2[[#This Row],[cost]]</f>
        <v>7674</v>
      </c>
    </row>
    <row r="55" spans="1:8" x14ac:dyDescent="0.25">
      <c r="A55" t="s">
        <v>2</v>
      </c>
      <c r="B55" t="s">
        <v>38</v>
      </c>
      <c r="C55" t="s">
        <v>28</v>
      </c>
      <c r="D55" s="1">
        <v>6580</v>
      </c>
      <c r="E55" s="2">
        <v>183</v>
      </c>
      <c r="F55" s="43">
        <f>_xlfn.XLOOKUP(Table2[[#This Row],[Product]],products[Product],products[Cost per unit])</f>
        <v>10.38</v>
      </c>
      <c r="G55" s="43">
        <f>Table2[[#This Row],[cost per unit]]*Table2[[#This Row],[Units]]</f>
        <v>1899.5400000000002</v>
      </c>
      <c r="H55" s="44">
        <f>Table2[[#This Row],[Amount]]-Table2[[#This Row],[cost]]</f>
        <v>4680.46</v>
      </c>
    </row>
    <row r="56" spans="1:8" x14ac:dyDescent="0.25">
      <c r="A56" t="s">
        <v>41</v>
      </c>
      <c r="B56" t="s">
        <v>35</v>
      </c>
      <c r="C56" t="s">
        <v>13</v>
      </c>
      <c r="D56" s="1">
        <v>4760</v>
      </c>
      <c r="E56" s="2">
        <v>69</v>
      </c>
      <c r="F56" s="43">
        <f>_xlfn.XLOOKUP(Table2[[#This Row],[Product]],products[Product],products[Cost per unit])</f>
        <v>9.33</v>
      </c>
      <c r="G56" s="43">
        <f>Table2[[#This Row],[cost per unit]]*Table2[[#This Row],[Units]]</f>
        <v>643.77</v>
      </c>
      <c r="H56" s="44">
        <f>Table2[[#This Row],[Amount]]-Table2[[#This Row],[cost]]</f>
        <v>4116.2299999999996</v>
      </c>
    </row>
    <row r="57" spans="1:8" x14ac:dyDescent="0.25">
      <c r="A57" t="s">
        <v>40</v>
      </c>
      <c r="B57" t="s">
        <v>36</v>
      </c>
      <c r="C57" t="s">
        <v>25</v>
      </c>
      <c r="D57" s="1">
        <v>5439</v>
      </c>
      <c r="E57" s="2">
        <v>30</v>
      </c>
      <c r="F57" s="43">
        <f>_xlfn.XLOOKUP(Table2[[#This Row],[Product]],products[Product],products[Cost per unit])</f>
        <v>13.15</v>
      </c>
      <c r="G57" s="43">
        <f>Table2[[#This Row],[cost per unit]]*Table2[[#This Row],[Units]]</f>
        <v>394.5</v>
      </c>
      <c r="H57" s="44">
        <f>Table2[[#This Row],[Amount]]-Table2[[#This Row],[cost]]</f>
        <v>5044.5</v>
      </c>
    </row>
    <row r="58" spans="1:8" x14ac:dyDescent="0.25">
      <c r="A58" t="s">
        <v>41</v>
      </c>
      <c r="B58" t="s">
        <v>34</v>
      </c>
      <c r="C58" t="s">
        <v>17</v>
      </c>
      <c r="D58" s="1">
        <v>1463</v>
      </c>
      <c r="E58" s="2">
        <v>39</v>
      </c>
      <c r="F58" s="43">
        <f>_xlfn.XLOOKUP(Table2[[#This Row],[Product]],products[Product],products[Cost per unit])</f>
        <v>3.11</v>
      </c>
      <c r="G58" s="43">
        <f>Table2[[#This Row],[cost per unit]]*Table2[[#This Row],[Units]]</f>
        <v>121.28999999999999</v>
      </c>
      <c r="H58" s="44">
        <f>Table2[[#This Row],[Amount]]-Table2[[#This Row],[cost]]</f>
        <v>1341.71</v>
      </c>
    </row>
    <row r="59" spans="1:8" x14ac:dyDescent="0.25">
      <c r="A59" t="s">
        <v>3</v>
      </c>
      <c r="B59" t="s">
        <v>34</v>
      </c>
      <c r="C59" t="s">
        <v>32</v>
      </c>
      <c r="D59" s="1">
        <v>7777</v>
      </c>
      <c r="E59" s="2">
        <v>504</v>
      </c>
      <c r="F59" s="43">
        <f>_xlfn.XLOOKUP(Table2[[#This Row],[Product]],products[Product],products[Cost per unit])</f>
        <v>8.65</v>
      </c>
      <c r="G59" s="43">
        <f>Table2[[#This Row],[cost per unit]]*Table2[[#This Row],[Units]]</f>
        <v>4359.6000000000004</v>
      </c>
      <c r="H59" s="44">
        <f>Table2[[#This Row],[Amount]]-Table2[[#This Row],[cost]]</f>
        <v>3417.3999999999996</v>
      </c>
    </row>
    <row r="60" spans="1:8" x14ac:dyDescent="0.25">
      <c r="A60" t="s">
        <v>9</v>
      </c>
      <c r="B60" t="s">
        <v>37</v>
      </c>
      <c r="C60" t="s">
        <v>29</v>
      </c>
      <c r="D60" s="1">
        <v>1085</v>
      </c>
      <c r="E60" s="2">
        <v>273</v>
      </c>
      <c r="F60" s="43">
        <f>_xlfn.XLOOKUP(Table2[[#This Row],[Product]],products[Product],products[Cost per unit])</f>
        <v>7.16</v>
      </c>
      <c r="G60" s="43">
        <f>Table2[[#This Row],[cost per unit]]*Table2[[#This Row],[Units]]</f>
        <v>1954.68</v>
      </c>
      <c r="H60" s="44">
        <f>Table2[[#This Row],[Amount]]-Table2[[#This Row],[cost]]</f>
        <v>-869.68000000000006</v>
      </c>
    </row>
    <row r="61" spans="1:8" x14ac:dyDescent="0.25">
      <c r="A61" t="s">
        <v>5</v>
      </c>
      <c r="B61" t="s">
        <v>37</v>
      </c>
      <c r="C61" t="s">
        <v>31</v>
      </c>
      <c r="D61" s="1">
        <v>182</v>
      </c>
      <c r="E61" s="2">
        <v>48</v>
      </c>
      <c r="F61" s="43">
        <f>_xlfn.XLOOKUP(Table2[[#This Row],[Product]],products[Product],products[Cost per unit])</f>
        <v>5.79</v>
      </c>
      <c r="G61" s="43">
        <f>Table2[[#This Row],[cost per unit]]*Table2[[#This Row],[Units]]</f>
        <v>277.92</v>
      </c>
      <c r="H61" s="44">
        <f>Table2[[#This Row],[Amount]]-Table2[[#This Row],[cost]]</f>
        <v>-95.920000000000016</v>
      </c>
    </row>
    <row r="62" spans="1:8" x14ac:dyDescent="0.25">
      <c r="A62" t="s">
        <v>6</v>
      </c>
      <c r="B62" t="s">
        <v>34</v>
      </c>
      <c r="C62" t="s">
        <v>27</v>
      </c>
      <c r="D62" s="1">
        <v>4242</v>
      </c>
      <c r="E62" s="2">
        <v>207</v>
      </c>
      <c r="F62" s="43">
        <f>_xlfn.XLOOKUP(Table2[[#This Row],[Product]],products[Product],products[Cost per unit])</f>
        <v>16.73</v>
      </c>
      <c r="G62" s="43">
        <f>Table2[[#This Row],[cost per unit]]*Table2[[#This Row],[Units]]</f>
        <v>3463.11</v>
      </c>
      <c r="H62" s="44">
        <f>Table2[[#This Row],[Amount]]-Table2[[#This Row],[cost]]</f>
        <v>778.88999999999987</v>
      </c>
    </row>
    <row r="63" spans="1:8" x14ac:dyDescent="0.25">
      <c r="A63" t="s">
        <v>6</v>
      </c>
      <c r="B63" t="s">
        <v>36</v>
      </c>
      <c r="C63" t="s">
        <v>32</v>
      </c>
      <c r="D63" s="1">
        <v>6118</v>
      </c>
      <c r="E63" s="2">
        <v>9</v>
      </c>
      <c r="F63" s="43">
        <f>_xlfn.XLOOKUP(Table2[[#This Row],[Product]],products[Product],products[Cost per unit])</f>
        <v>8.65</v>
      </c>
      <c r="G63" s="43">
        <f>Table2[[#This Row],[cost per unit]]*Table2[[#This Row],[Units]]</f>
        <v>77.850000000000009</v>
      </c>
      <c r="H63" s="44">
        <f>Table2[[#This Row],[Amount]]-Table2[[#This Row],[cost]]</f>
        <v>6040.15</v>
      </c>
    </row>
    <row r="64" spans="1:8" x14ac:dyDescent="0.25">
      <c r="A64" t="s">
        <v>10</v>
      </c>
      <c r="B64" t="s">
        <v>36</v>
      </c>
      <c r="C64" t="s">
        <v>23</v>
      </c>
      <c r="D64" s="1">
        <v>2317</v>
      </c>
      <c r="E64" s="2">
        <v>261</v>
      </c>
      <c r="F64" s="43">
        <f>_xlfn.XLOOKUP(Table2[[#This Row],[Product]],products[Product],products[Cost per unit])</f>
        <v>6.49</v>
      </c>
      <c r="G64" s="43">
        <f>Table2[[#This Row],[cost per unit]]*Table2[[#This Row],[Units]]</f>
        <v>1693.89</v>
      </c>
      <c r="H64" s="44">
        <f>Table2[[#This Row],[Amount]]-Table2[[#This Row],[cost]]</f>
        <v>623.1099999999999</v>
      </c>
    </row>
    <row r="65" spans="1:8" x14ac:dyDescent="0.25">
      <c r="A65" t="s">
        <v>6</v>
      </c>
      <c r="B65" t="s">
        <v>38</v>
      </c>
      <c r="C65" t="s">
        <v>16</v>
      </c>
      <c r="D65" s="1">
        <v>938</v>
      </c>
      <c r="E65" s="2">
        <v>6</v>
      </c>
      <c r="F65" s="43">
        <f>_xlfn.XLOOKUP(Table2[[#This Row],[Product]],products[Product],products[Cost per unit])</f>
        <v>8.7899999999999991</v>
      </c>
      <c r="G65" s="43">
        <f>Table2[[#This Row],[cost per unit]]*Table2[[#This Row],[Units]]</f>
        <v>52.739999999999995</v>
      </c>
      <c r="H65" s="44">
        <f>Table2[[#This Row],[Amount]]-Table2[[#This Row],[cost]]</f>
        <v>885.26</v>
      </c>
    </row>
    <row r="66" spans="1:8" x14ac:dyDescent="0.25">
      <c r="A66" t="s">
        <v>8</v>
      </c>
      <c r="B66" t="s">
        <v>37</v>
      </c>
      <c r="C66" t="s">
        <v>15</v>
      </c>
      <c r="D66" s="1">
        <v>9709</v>
      </c>
      <c r="E66" s="2">
        <v>30</v>
      </c>
      <c r="F66" s="43">
        <f>_xlfn.XLOOKUP(Table2[[#This Row],[Product]],products[Product],products[Cost per unit])</f>
        <v>11.73</v>
      </c>
      <c r="G66" s="43">
        <f>Table2[[#This Row],[cost per unit]]*Table2[[#This Row],[Units]]</f>
        <v>351.90000000000003</v>
      </c>
      <c r="H66" s="44">
        <f>Table2[[#This Row],[Amount]]-Table2[[#This Row],[cost]]</f>
        <v>9357.1</v>
      </c>
    </row>
    <row r="67" spans="1:8" x14ac:dyDescent="0.25">
      <c r="A67" t="s">
        <v>7</v>
      </c>
      <c r="B67" t="s">
        <v>34</v>
      </c>
      <c r="C67" t="s">
        <v>20</v>
      </c>
      <c r="D67" s="1">
        <v>2205</v>
      </c>
      <c r="E67" s="2">
        <v>138</v>
      </c>
      <c r="F67" s="43">
        <f>_xlfn.XLOOKUP(Table2[[#This Row],[Product]],products[Product],products[Cost per unit])</f>
        <v>10.62</v>
      </c>
      <c r="G67" s="43">
        <f>Table2[[#This Row],[cost per unit]]*Table2[[#This Row],[Units]]</f>
        <v>1465.56</v>
      </c>
      <c r="H67" s="44">
        <f>Table2[[#This Row],[Amount]]-Table2[[#This Row],[cost]]</f>
        <v>739.44</v>
      </c>
    </row>
    <row r="68" spans="1:8" x14ac:dyDescent="0.25">
      <c r="A68" t="s">
        <v>7</v>
      </c>
      <c r="B68" t="s">
        <v>37</v>
      </c>
      <c r="C68" t="s">
        <v>17</v>
      </c>
      <c r="D68" s="1">
        <v>4487</v>
      </c>
      <c r="E68" s="2">
        <v>111</v>
      </c>
      <c r="F68" s="43">
        <f>_xlfn.XLOOKUP(Table2[[#This Row],[Product]],products[Product],products[Cost per unit])</f>
        <v>3.11</v>
      </c>
      <c r="G68" s="43">
        <f>Table2[[#This Row],[cost per unit]]*Table2[[#This Row],[Units]]</f>
        <v>345.21</v>
      </c>
      <c r="H68" s="44">
        <f>Table2[[#This Row],[Amount]]-Table2[[#This Row],[cost]]</f>
        <v>4141.79</v>
      </c>
    </row>
    <row r="69" spans="1:8" x14ac:dyDescent="0.25">
      <c r="A69" t="s">
        <v>5</v>
      </c>
      <c r="B69" t="s">
        <v>35</v>
      </c>
      <c r="C69" t="s">
        <v>18</v>
      </c>
      <c r="D69" s="1">
        <v>2415</v>
      </c>
      <c r="E69" s="2">
        <v>15</v>
      </c>
      <c r="F69" s="43">
        <f>_xlfn.XLOOKUP(Table2[[#This Row],[Product]],products[Product],products[Cost per unit])</f>
        <v>6.47</v>
      </c>
      <c r="G69" s="43">
        <f>Table2[[#This Row],[cost per unit]]*Table2[[#This Row],[Units]]</f>
        <v>97.05</v>
      </c>
      <c r="H69" s="44">
        <f>Table2[[#This Row],[Amount]]-Table2[[#This Row],[cost]]</f>
        <v>2317.9499999999998</v>
      </c>
    </row>
    <row r="70" spans="1:8" x14ac:dyDescent="0.25">
      <c r="A70" t="s">
        <v>40</v>
      </c>
      <c r="B70" t="s">
        <v>34</v>
      </c>
      <c r="C70" t="s">
        <v>19</v>
      </c>
      <c r="D70" s="1">
        <v>4018</v>
      </c>
      <c r="E70" s="2">
        <v>162</v>
      </c>
      <c r="F70" s="43">
        <f>_xlfn.XLOOKUP(Table2[[#This Row],[Product]],products[Product],products[Cost per unit])</f>
        <v>7.64</v>
      </c>
      <c r="G70" s="43">
        <f>Table2[[#This Row],[cost per unit]]*Table2[[#This Row],[Units]]</f>
        <v>1237.6799999999998</v>
      </c>
      <c r="H70" s="44">
        <f>Table2[[#This Row],[Amount]]-Table2[[#This Row],[cost]]</f>
        <v>2780.32</v>
      </c>
    </row>
    <row r="71" spans="1:8" x14ac:dyDescent="0.25">
      <c r="A71" t="s">
        <v>5</v>
      </c>
      <c r="B71" t="s">
        <v>34</v>
      </c>
      <c r="C71" t="s">
        <v>19</v>
      </c>
      <c r="D71" s="1">
        <v>861</v>
      </c>
      <c r="E71" s="2">
        <v>195</v>
      </c>
      <c r="F71" s="43">
        <f>_xlfn.XLOOKUP(Table2[[#This Row],[Product]],products[Product],products[Cost per unit])</f>
        <v>7.64</v>
      </c>
      <c r="G71" s="43">
        <f>Table2[[#This Row],[cost per unit]]*Table2[[#This Row],[Units]]</f>
        <v>1489.8</v>
      </c>
      <c r="H71" s="44">
        <f>Table2[[#This Row],[Amount]]-Table2[[#This Row],[cost]]</f>
        <v>-628.79999999999995</v>
      </c>
    </row>
    <row r="72" spans="1:8" x14ac:dyDescent="0.25">
      <c r="A72" t="s">
        <v>10</v>
      </c>
      <c r="B72" t="s">
        <v>38</v>
      </c>
      <c r="C72" t="s">
        <v>14</v>
      </c>
      <c r="D72" s="1">
        <v>5586</v>
      </c>
      <c r="E72" s="2">
        <v>525</v>
      </c>
      <c r="F72" s="43">
        <f>_xlfn.XLOOKUP(Table2[[#This Row],[Product]],products[Product],products[Cost per unit])</f>
        <v>11.7</v>
      </c>
      <c r="G72" s="43">
        <f>Table2[[#This Row],[cost per unit]]*Table2[[#This Row],[Units]]</f>
        <v>6142.5</v>
      </c>
      <c r="H72" s="44">
        <f>Table2[[#This Row],[Amount]]-Table2[[#This Row],[cost]]</f>
        <v>-556.5</v>
      </c>
    </row>
    <row r="73" spans="1:8" x14ac:dyDescent="0.25">
      <c r="A73" t="s">
        <v>7</v>
      </c>
      <c r="B73" t="s">
        <v>34</v>
      </c>
      <c r="C73" t="s">
        <v>33</v>
      </c>
      <c r="D73" s="1">
        <v>2226</v>
      </c>
      <c r="E73" s="2">
        <v>48</v>
      </c>
      <c r="F73" s="43">
        <f>_xlfn.XLOOKUP(Table2[[#This Row],[Product]],products[Product],products[Cost per unit])</f>
        <v>12.37</v>
      </c>
      <c r="G73" s="43">
        <f>Table2[[#This Row],[cost per unit]]*Table2[[#This Row],[Units]]</f>
        <v>593.76</v>
      </c>
      <c r="H73" s="44">
        <f>Table2[[#This Row],[Amount]]-Table2[[#This Row],[cost]]</f>
        <v>1632.24</v>
      </c>
    </row>
    <row r="74" spans="1:8" x14ac:dyDescent="0.25">
      <c r="A74" t="s">
        <v>9</v>
      </c>
      <c r="B74" t="s">
        <v>34</v>
      </c>
      <c r="C74" t="s">
        <v>28</v>
      </c>
      <c r="D74" s="1">
        <v>14329</v>
      </c>
      <c r="E74" s="2">
        <v>150</v>
      </c>
      <c r="F74" s="43">
        <f>_xlfn.XLOOKUP(Table2[[#This Row],[Product]],products[Product],products[Cost per unit])</f>
        <v>10.38</v>
      </c>
      <c r="G74" s="43">
        <f>Table2[[#This Row],[cost per unit]]*Table2[[#This Row],[Units]]</f>
        <v>1557.0000000000002</v>
      </c>
      <c r="H74" s="44">
        <f>Table2[[#This Row],[Amount]]-Table2[[#This Row],[cost]]</f>
        <v>12772</v>
      </c>
    </row>
    <row r="75" spans="1:8" x14ac:dyDescent="0.25">
      <c r="A75" t="s">
        <v>9</v>
      </c>
      <c r="B75" t="s">
        <v>34</v>
      </c>
      <c r="C75" t="s">
        <v>20</v>
      </c>
      <c r="D75" s="1">
        <v>8463</v>
      </c>
      <c r="E75" s="2">
        <v>492</v>
      </c>
      <c r="F75" s="43">
        <f>_xlfn.XLOOKUP(Table2[[#This Row],[Product]],products[Product],products[Cost per unit])</f>
        <v>10.62</v>
      </c>
      <c r="G75" s="43">
        <f>Table2[[#This Row],[cost per unit]]*Table2[[#This Row],[Units]]</f>
        <v>5225.04</v>
      </c>
      <c r="H75" s="44">
        <f>Table2[[#This Row],[Amount]]-Table2[[#This Row],[cost]]</f>
        <v>3237.96</v>
      </c>
    </row>
    <row r="76" spans="1:8" x14ac:dyDescent="0.25">
      <c r="A76" t="s">
        <v>5</v>
      </c>
      <c r="B76" t="s">
        <v>34</v>
      </c>
      <c r="C76" t="s">
        <v>29</v>
      </c>
      <c r="D76" s="1">
        <v>2891</v>
      </c>
      <c r="E76" s="2">
        <v>102</v>
      </c>
      <c r="F76" s="43">
        <f>_xlfn.XLOOKUP(Table2[[#This Row],[Product]],products[Product],products[Cost per unit])</f>
        <v>7.16</v>
      </c>
      <c r="G76" s="43">
        <f>Table2[[#This Row],[cost per unit]]*Table2[[#This Row],[Units]]</f>
        <v>730.32</v>
      </c>
      <c r="H76" s="44">
        <f>Table2[[#This Row],[Amount]]-Table2[[#This Row],[cost]]</f>
        <v>2160.6799999999998</v>
      </c>
    </row>
    <row r="77" spans="1:8" x14ac:dyDescent="0.25">
      <c r="A77" t="s">
        <v>3</v>
      </c>
      <c r="B77" t="s">
        <v>36</v>
      </c>
      <c r="C77" t="s">
        <v>23</v>
      </c>
      <c r="D77" s="1">
        <v>3773</v>
      </c>
      <c r="E77" s="2">
        <v>165</v>
      </c>
      <c r="F77" s="43">
        <f>_xlfn.XLOOKUP(Table2[[#This Row],[Product]],products[Product],products[Cost per unit])</f>
        <v>6.49</v>
      </c>
      <c r="G77" s="43">
        <f>Table2[[#This Row],[cost per unit]]*Table2[[#This Row],[Units]]</f>
        <v>1070.8500000000001</v>
      </c>
      <c r="H77" s="44">
        <f>Table2[[#This Row],[Amount]]-Table2[[#This Row],[cost]]</f>
        <v>2702.1499999999996</v>
      </c>
    </row>
    <row r="78" spans="1:8" x14ac:dyDescent="0.25">
      <c r="A78" t="s">
        <v>41</v>
      </c>
      <c r="B78" t="s">
        <v>36</v>
      </c>
      <c r="C78" t="s">
        <v>28</v>
      </c>
      <c r="D78" s="1">
        <v>854</v>
      </c>
      <c r="E78" s="2">
        <v>309</v>
      </c>
      <c r="F78" s="43">
        <f>_xlfn.XLOOKUP(Table2[[#This Row],[Product]],products[Product],products[Cost per unit])</f>
        <v>10.38</v>
      </c>
      <c r="G78" s="43">
        <f>Table2[[#This Row],[cost per unit]]*Table2[[#This Row],[Units]]</f>
        <v>3207.42</v>
      </c>
      <c r="H78" s="44">
        <f>Table2[[#This Row],[Amount]]-Table2[[#This Row],[cost]]</f>
        <v>-2353.42</v>
      </c>
    </row>
    <row r="79" spans="1:8" x14ac:dyDescent="0.25">
      <c r="A79" t="s">
        <v>6</v>
      </c>
      <c r="B79" t="s">
        <v>36</v>
      </c>
      <c r="C79" t="s">
        <v>17</v>
      </c>
      <c r="D79" s="1">
        <v>4970</v>
      </c>
      <c r="E79" s="2">
        <v>156</v>
      </c>
      <c r="F79" s="43">
        <f>_xlfn.XLOOKUP(Table2[[#This Row],[Product]],products[Product],products[Cost per unit])</f>
        <v>3.11</v>
      </c>
      <c r="G79" s="43">
        <f>Table2[[#This Row],[cost per unit]]*Table2[[#This Row],[Units]]</f>
        <v>485.15999999999997</v>
      </c>
      <c r="H79" s="44">
        <f>Table2[[#This Row],[Amount]]-Table2[[#This Row],[cost]]</f>
        <v>4484.84</v>
      </c>
    </row>
    <row r="80" spans="1:8" x14ac:dyDescent="0.25">
      <c r="A80" t="s">
        <v>9</v>
      </c>
      <c r="B80" t="s">
        <v>35</v>
      </c>
      <c r="C80" t="s">
        <v>26</v>
      </c>
      <c r="D80" s="1">
        <v>98</v>
      </c>
      <c r="E80" s="2">
        <v>159</v>
      </c>
      <c r="F80" s="43">
        <f>_xlfn.XLOOKUP(Table2[[#This Row],[Product]],products[Product],products[Cost per unit])</f>
        <v>5.6</v>
      </c>
      <c r="G80" s="43">
        <f>Table2[[#This Row],[cost per unit]]*Table2[[#This Row],[Units]]</f>
        <v>890.4</v>
      </c>
      <c r="H80" s="44">
        <f>Table2[[#This Row],[Amount]]-Table2[[#This Row],[cost]]</f>
        <v>-792.4</v>
      </c>
    </row>
    <row r="81" spans="1:8" x14ac:dyDescent="0.25">
      <c r="A81" t="s">
        <v>5</v>
      </c>
      <c r="B81" t="s">
        <v>35</v>
      </c>
      <c r="C81" t="s">
        <v>15</v>
      </c>
      <c r="D81" s="1">
        <v>13391</v>
      </c>
      <c r="E81" s="2">
        <v>201</v>
      </c>
      <c r="F81" s="43">
        <f>_xlfn.XLOOKUP(Table2[[#This Row],[Product]],products[Product],products[Cost per unit])</f>
        <v>11.73</v>
      </c>
      <c r="G81" s="43">
        <f>Table2[[#This Row],[cost per unit]]*Table2[[#This Row],[Units]]</f>
        <v>2357.73</v>
      </c>
      <c r="H81" s="44">
        <f>Table2[[#This Row],[Amount]]-Table2[[#This Row],[cost]]</f>
        <v>11033.27</v>
      </c>
    </row>
    <row r="82" spans="1:8" x14ac:dyDescent="0.25">
      <c r="A82" t="s">
        <v>8</v>
      </c>
      <c r="B82" t="s">
        <v>39</v>
      </c>
      <c r="C82" t="s">
        <v>31</v>
      </c>
      <c r="D82" s="1">
        <v>8890</v>
      </c>
      <c r="E82" s="2">
        <v>210</v>
      </c>
      <c r="F82" s="43">
        <f>_xlfn.XLOOKUP(Table2[[#This Row],[Product]],products[Product],products[Cost per unit])</f>
        <v>5.79</v>
      </c>
      <c r="G82" s="43">
        <f>Table2[[#This Row],[cost per unit]]*Table2[[#This Row],[Units]]</f>
        <v>1215.9000000000001</v>
      </c>
      <c r="H82" s="44">
        <f>Table2[[#This Row],[Amount]]-Table2[[#This Row],[cost]]</f>
        <v>7674.1</v>
      </c>
    </row>
    <row r="83" spans="1:8" x14ac:dyDescent="0.25">
      <c r="A83" t="s">
        <v>2</v>
      </c>
      <c r="B83" t="s">
        <v>38</v>
      </c>
      <c r="C83" t="s">
        <v>13</v>
      </c>
      <c r="D83" s="1">
        <v>56</v>
      </c>
      <c r="E83" s="2">
        <v>51</v>
      </c>
      <c r="F83" s="43">
        <f>_xlfn.XLOOKUP(Table2[[#This Row],[Product]],products[Product],products[Cost per unit])</f>
        <v>9.33</v>
      </c>
      <c r="G83" s="43">
        <f>Table2[[#This Row],[cost per unit]]*Table2[[#This Row],[Units]]</f>
        <v>475.83</v>
      </c>
      <c r="H83" s="44">
        <f>Table2[[#This Row],[Amount]]-Table2[[#This Row],[cost]]</f>
        <v>-419.83</v>
      </c>
    </row>
    <row r="84" spans="1:8" x14ac:dyDescent="0.25">
      <c r="A84" t="s">
        <v>3</v>
      </c>
      <c r="B84" t="s">
        <v>36</v>
      </c>
      <c r="C84" t="s">
        <v>25</v>
      </c>
      <c r="D84" s="1">
        <v>3339</v>
      </c>
      <c r="E84" s="2">
        <v>39</v>
      </c>
      <c r="F84" s="43">
        <f>_xlfn.XLOOKUP(Table2[[#This Row],[Product]],products[Product],products[Cost per unit])</f>
        <v>13.15</v>
      </c>
      <c r="G84" s="43">
        <f>Table2[[#This Row],[cost per unit]]*Table2[[#This Row],[Units]]</f>
        <v>512.85</v>
      </c>
      <c r="H84" s="44">
        <f>Table2[[#This Row],[Amount]]-Table2[[#This Row],[cost]]</f>
        <v>2826.15</v>
      </c>
    </row>
    <row r="85" spans="1:8" x14ac:dyDescent="0.25">
      <c r="A85" t="s">
        <v>10</v>
      </c>
      <c r="B85" t="s">
        <v>35</v>
      </c>
      <c r="C85" t="s">
        <v>18</v>
      </c>
      <c r="D85" s="1">
        <v>3808</v>
      </c>
      <c r="E85" s="2">
        <v>279</v>
      </c>
      <c r="F85" s="43">
        <f>_xlfn.XLOOKUP(Table2[[#This Row],[Product]],products[Product],products[Cost per unit])</f>
        <v>6.47</v>
      </c>
      <c r="G85" s="43">
        <f>Table2[[#This Row],[cost per unit]]*Table2[[#This Row],[Units]]</f>
        <v>1805.1299999999999</v>
      </c>
      <c r="H85" s="44">
        <f>Table2[[#This Row],[Amount]]-Table2[[#This Row],[cost]]</f>
        <v>2002.8700000000001</v>
      </c>
    </row>
    <row r="86" spans="1:8" x14ac:dyDescent="0.25">
      <c r="A86" t="s">
        <v>10</v>
      </c>
      <c r="B86" t="s">
        <v>38</v>
      </c>
      <c r="C86" t="s">
        <v>13</v>
      </c>
      <c r="D86" s="1">
        <v>63</v>
      </c>
      <c r="E86" s="2">
        <v>123</v>
      </c>
      <c r="F86" s="43">
        <f>_xlfn.XLOOKUP(Table2[[#This Row],[Product]],products[Product],products[Cost per unit])</f>
        <v>9.33</v>
      </c>
      <c r="G86" s="43">
        <f>Table2[[#This Row],[cost per unit]]*Table2[[#This Row],[Units]]</f>
        <v>1147.5899999999999</v>
      </c>
      <c r="H86" s="44">
        <f>Table2[[#This Row],[Amount]]-Table2[[#This Row],[cost]]</f>
        <v>-1084.5899999999999</v>
      </c>
    </row>
    <row r="87" spans="1:8" x14ac:dyDescent="0.25">
      <c r="A87" t="s">
        <v>2</v>
      </c>
      <c r="B87" t="s">
        <v>39</v>
      </c>
      <c r="C87" t="s">
        <v>27</v>
      </c>
      <c r="D87" s="1">
        <v>7812</v>
      </c>
      <c r="E87" s="2">
        <v>81</v>
      </c>
      <c r="F87" s="43">
        <f>_xlfn.XLOOKUP(Table2[[#This Row],[Product]],products[Product],products[Cost per unit])</f>
        <v>16.73</v>
      </c>
      <c r="G87" s="43">
        <f>Table2[[#This Row],[cost per unit]]*Table2[[#This Row],[Units]]</f>
        <v>1355.13</v>
      </c>
      <c r="H87" s="44">
        <f>Table2[[#This Row],[Amount]]-Table2[[#This Row],[cost]]</f>
        <v>6456.87</v>
      </c>
    </row>
    <row r="88" spans="1:8" x14ac:dyDescent="0.25">
      <c r="A88" t="s">
        <v>40</v>
      </c>
      <c r="B88" t="s">
        <v>37</v>
      </c>
      <c r="C88" t="s">
        <v>19</v>
      </c>
      <c r="D88" s="1">
        <v>7693</v>
      </c>
      <c r="E88" s="2">
        <v>21</v>
      </c>
      <c r="F88" s="43">
        <f>_xlfn.XLOOKUP(Table2[[#This Row],[Product]],products[Product],products[Cost per unit])</f>
        <v>7.64</v>
      </c>
      <c r="G88" s="43">
        <f>Table2[[#This Row],[cost per unit]]*Table2[[#This Row],[Units]]</f>
        <v>160.44</v>
      </c>
      <c r="H88" s="44">
        <f>Table2[[#This Row],[Amount]]-Table2[[#This Row],[cost]]</f>
        <v>7532.56</v>
      </c>
    </row>
    <row r="89" spans="1:8" x14ac:dyDescent="0.25">
      <c r="A89" t="s">
        <v>3</v>
      </c>
      <c r="B89" t="s">
        <v>36</v>
      </c>
      <c r="C89" t="s">
        <v>28</v>
      </c>
      <c r="D89" s="1">
        <v>973</v>
      </c>
      <c r="E89" s="2">
        <v>162</v>
      </c>
      <c r="F89" s="43">
        <f>_xlfn.XLOOKUP(Table2[[#This Row],[Product]],products[Product],products[Cost per unit])</f>
        <v>10.38</v>
      </c>
      <c r="G89" s="43">
        <f>Table2[[#This Row],[cost per unit]]*Table2[[#This Row],[Units]]</f>
        <v>1681.5600000000002</v>
      </c>
      <c r="H89" s="44">
        <f>Table2[[#This Row],[Amount]]-Table2[[#This Row],[cost]]</f>
        <v>-708.56000000000017</v>
      </c>
    </row>
    <row r="90" spans="1:8" x14ac:dyDescent="0.25">
      <c r="A90" t="s">
        <v>10</v>
      </c>
      <c r="B90" t="s">
        <v>35</v>
      </c>
      <c r="C90" t="s">
        <v>21</v>
      </c>
      <c r="D90" s="1">
        <v>567</v>
      </c>
      <c r="E90" s="2">
        <v>228</v>
      </c>
      <c r="F90" s="43">
        <f>_xlfn.XLOOKUP(Table2[[#This Row],[Product]],products[Product],products[Cost per unit])</f>
        <v>9</v>
      </c>
      <c r="G90" s="43">
        <f>Table2[[#This Row],[cost per unit]]*Table2[[#This Row],[Units]]</f>
        <v>2052</v>
      </c>
      <c r="H90" s="44">
        <f>Table2[[#This Row],[Amount]]-Table2[[#This Row],[cost]]</f>
        <v>-1485</v>
      </c>
    </row>
    <row r="91" spans="1:8" x14ac:dyDescent="0.25">
      <c r="A91" t="s">
        <v>10</v>
      </c>
      <c r="B91" t="s">
        <v>36</v>
      </c>
      <c r="C91" t="s">
        <v>29</v>
      </c>
      <c r="D91" s="1">
        <v>2471</v>
      </c>
      <c r="E91" s="2">
        <v>342</v>
      </c>
      <c r="F91" s="43">
        <f>_xlfn.XLOOKUP(Table2[[#This Row],[Product]],products[Product],products[Cost per unit])</f>
        <v>7.16</v>
      </c>
      <c r="G91" s="43">
        <f>Table2[[#This Row],[cost per unit]]*Table2[[#This Row],[Units]]</f>
        <v>2448.7200000000003</v>
      </c>
      <c r="H91" s="44">
        <f>Table2[[#This Row],[Amount]]-Table2[[#This Row],[cost]]</f>
        <v>22.279999999999745</v>
      </c>
    </row>
    <row r="92" spans="1:8" x14ac:dyDescent="0.25">
      <c r="A92" t="s">
        <v>5</v>
      </c>
      <c r="B92" t="s">
        <v>38</v>
      </c>
      <c r="C92" t="s">
        <v>13</v>
      </c>
      <c r="D92" s="1">
        <v>7189</v>
      </c>
      <c r="E92" s="2">
        <v>54</v>
      </c>
      <c r="F92" s="43">
        <f>_xlfn.XLOOKUP(Table2[[#This Row],[Product]],products[Product],products[Cost per unit])</f>
        <v>9.33</v>
      </c>
      <c r="G92" s="43">
        <f>Table2[[#This Row],[cost per unit]]*Table2[[#This Row],[Units]]</f>
        <v>503.82</v>
      </c>
      <c r="H92" s="44">
        <f>Table2[[#This Row],[Amount]]-Table2[[#This Row],[cost]]</f>
        <v>6685.18</v>
      </c>
    </row>
    <row r="93" spans="1:8" x14ac:dyDescent="0.25">
      <c r="A93" t="s">
        <v>41</v>
      </c>
      <c r="B93" t="s">
        <v>35</v>
      </c>
      <c r="C93" t="s">
        <v>28</v>
      </c>
      <c r="D93" s="1">
        <v>7455</v>
      </c>
      <c r="E93" s="2">
        <v>216</v>
      </c>
      <c r="F93" s="43">
        <f>_xlfn.XLOOKUP(Table2[[#This Row],[Product]],products[Product],products[Cost per unit])</f>
        <v>10.38</v>
      </c>
      <c r="G93" s="43">
        <f>Table2[[#This Row],[cost per unit]]*Table2[[#This Row],[Units]]</f>
        <v>2242.0800000000004</v>
      </c>
      <c r="H93" s="44">
        <f>Table2[[#This Row],[Amount]]-Table2[[#This Row],[cost]]</f>
        <v>5212.92</v>
      </c>
    </row>
    <row r="94" spans="1:8" x14ac:dyDescent="0.25">
      <c r="A94" t="s">
        <v>3</v>
      </c>
      <c r="B94" t="s">
        <v>34</v>
      </c>
      <c r="C94" t="s">
        <v>26</v>
      </c>
      <c r="D94" s="1">
        <v>3108</v>
      </c>
      <c r="E94" s="2">
        <v>54</v>
      </c>
      <c r="F94" s="43">
        <f>_xlfn.XLOOKUP(Table2[[#This Row],[Product]],products[Product],products[Cost per unit])</f>
        <v>5.6</v>
      </c>
      <c r="G94" s="43">
        <f>Table2[[#This Row],[cost per unit]]*Table2[[#This Row],[Units]]</f>
        <v>302.39999999999998</v>
      </c>
      <c r="H94" s="44">
        <f>Table2[[#This Row],[Amount]]-Table2[[#This Row],[cost]]</f>
        <v>2805.6</v>
      </c>
    </row>
    <row r="95" spans="1:8" x14ac:dyDescent="0.25">
      <c r="A95" t="s">
        <v>6</v>
      </c>
      <c r="B95" t="s">
        <v>38</v>
      </c>
      <c r="C95" t="s">
        <v>25</v>
      </c>
      <c r="D95" s="1">
        <v>469</v>
      </c>
      <c r="E95" s="2">
        <v>75</v>
      </c>
      <c r="F95" s="43">
        <f>_xlfn.XLOOKUP(Table2[[#This Row],[Product]],products[Product],products[Cost per unit])</f>
        <v>13.15</v>
      </c>
      <c r="G95" s="43">
        <f>Table2[[#This Row],[cost per unit]]*Table2[[#This Row],[Units]]</f>
        <v>986.25</v>
      </c>
      <c r="H95" s="44">
        <f>Table2[[#This Row],[Amount]]-Table2[[#This Row],[cost]]</f>
        <v>-517.25</v>
      </c>
    </row>
    <row r="96" spans="1:8" x14ac:dyDescent="0.25">
      <c r="A96" t="s">
        <v>9</v>
      </c>
      <c r="B96" t="s">
        <v>37</v>
      </c>
      <c r="C96" t="s">
        <v>23</v>
      </c>
      <c r="D96" s="1">
        <v>2737</v>
      </c>
      <c r="E96" s="2">
        <v>93</v>
      </c>
      <c r="F96" s="43">
        <f>_xlfn.XLOOKUP(Table2[[#This Row],[Product]],products[Product],products[Cost per unit])</f>
        <v>6.49</v>
      </c>
      <c r="G96" s="43">
        <f>Table2[[#This Row],[cost per unit]]*Table2[[#This Row],[Units]]</f>
        <v>603.57000000000005</v>
      </c>
      <c r="H96" s="44">
        <f>Table2[[#This Row],[Amount]]-Table2[[#This Row],[cost]]</f>
        <v>2133.4299999999998</v>
      </c>
    </row>
    <row r="97" spans="1:8" x14ac:dyDescent="0.25">
      <c r="A97" t="s">
        <v>9</v>
      </c>
      <c r="B97" t="s">
        <v>37</v>
      </c>
      <c r="C97" t="s">
        <v>25</v>
      </c>
      <c r="D97" s="1">
        <v>4305</v>
      </c>
      <c r="E97" s="2">
        <v>156</v>
      </c>
      <c r="F97" s="43">
        <f>_xlfn.XLOOKUP(Table2[[#This Row],[Product]],products[Product],products[Cost per unit])</f>
        <v>13.15</v>
      </c>
      <c r="G97" s="43">
        <f>Table2[[#This Row],[cost per unit]]*Table2[[#This Row],[Units]]</f>
        <v>2051.4</v>
      </c>
      <c r="H97" s="44">
        <f>Table2[[#This Row],[Amount]]-Table2[[#This Row],[cost]]</f>
        <v>2253.6</v>
      </c>
    </row>
    <row r="98" spans="1:8" x14ac:dyDescent="0.25">
      <c r="A98" t="s">
        <v>9</v>
      </c>
      <c r="B98" t="s">
        <v>38</v>
      </c>
      <c r="C98" t="s">
        <v>17</v>
      </c>
      <c r="D98" s="1">
        <v>2408</v>
      </c>
      <c r="E98" s="2">
        <v>9</v>
      </c>
      <c r="F98" s="43">
        <f>_xlfn.XLOOKUP(Table2[[#This Row],[Product]],products[Product],products[Cost per unit])</f>
        <v>3.11</v>
      </c>
      <c r="G98" s="43">
        <f>Table2[[#This Row],[cost per unit]]*Table2[[#This Row],[Units]]</f>
        <v>27.99</v>
      </c>
      <c r="H98" s="44">
        <f>Table2[[#This Row],[Amount]]-Table2[[#This Row],[cost]]</f>
        <v>2380.0100000000002</v>
      </c>
    </row>
    <row r="99" spans="1:8" x14ac:dyDescent="0.25">
      <c r="A99" t="s">
        <v>3</v>
      </c>
      <c r="B99" t="s">
        <v>36</v>
      </c>
      <c r="C99" t="s">
        <v>19</v>
      </c>
      <c r="D99" s="1">
        <v>1281</v>
      </c>
      <c r="E99" s="2">
        <v>18</v>
      </c>
      <c r="F99" s="43">
        <f>_xlfn.XLOOKUP(Table2[[#This Row],[Product]],products[Product],products[Cost per unit])</f>
        <v>7.64</v>
      </c>
      <c r="G99" s="43">
        <f>Table2[[#This Row],[cost per unit]]*Table2[[#This Row],[Units]]</f>
        <v>137.51999999999998</v>
      </c>
      <c r="H99" s="44">
        <f>Table2[[#This Row],[Amount]]-Table2[[#This Row],[cost]]</f>
        <v>1143.48</v>
      </c>
    </row>
    <row r="100" spans="1:8" x14ac:dyDescent="0.25">
      <c r="A100" t="s">
        <v>40</v>
      </c>
      <c r="B100" t="s">
        <v>35</v>
      </c>
      <c r="C100" t="s">
        <v>32</v>
      </c>
      <c r="D100" s="1">
        <v>12348</v>
      </c>
      <c r="E100" s="2">
        <v>234</v>
      </c>
      <c r="F100" s="43">
        <f>_xlfn.XLOOKUP(Table2[[#This Row],[Product]],products[Product],products[Cost per unit])</f>
        <v>8.65</v>
      </c>
      <c r="G100" s="43">
        <f>Table2[[#This Row],[cost per unit]]*Table2[[#This Row],[Units]]</f>
        <v>2024.1000000000001</v>
      </c>
      <c r="H100" s="44">
        <f>Table2[[#This Row],[Amount]]-Table2[[#This Row],[cost]]</f>
        <v>10323.9</v>
      </c>
    </row>
    <row r="101" spans="1:8" x14ac:dyDescent="0.25">
      <c r="A101" t="s">
        <v>3</v>
      </c>
      <c r="B101" t="s">
        <v>34</v>
      </c>
      <c r="C101" t="s">
        <v>28</v>
      </c>
      <c r="D101" s="1">
        <v>3689</v>
      </c>
      <c r="E101" s="2">
        <v>312</v>
      </c>
      <c r="F101" s="43">
        <f>_xlfn.XLOOKUP(Table2[[#This Row],[Product]],products[Product],products[Cost per unit])</f>
        <v>10.38</v>
      </c>
      <c r="G101" s="43">
        <f>Table2[[#This Row],[cost per unit]]*Table2[[#This Row],[Units]]</f>
        <v>3238.5600000000004</v>
      </c>
      <c r="H101" s="44">
        <f>Table2[[#This Row],[Amount]]-Table2[[#This Row],[cost]]</f>
        <v>450.4399999999996</v>
      </c>
    </row>
    <row r="102" spans="1:8" x14ac:dyDescent="0.25">
      <c r="A102" t="s">
        <v>7</v>
      </c>
      <c r="B102" t="s">
        <v>36</v>
      </c>
      <c r="C102" t="s">
        <v>19</v>
      </c>
      <c r="D102" s="1">
        <v>2870</v>
      </c>
      <c r="E102" s="2">
        <v>300</v>
      </c>
      <c r="F102" s="43">
        <f>_xlfn.XLOOKUP(Table2[[#This Row],[Product]],products[Product],products[Cost per unit])</f>
        <v>7.64</v>
      </c>
      <c r="G102" s="43">
        <f>Table2[[#This Row],[cost per unit]]*Table2[[#This Row],[Units]]</f>
        <v>2292</v>
      </c>
      <c r="H102" s="44">
        <f>Table2[[#This Row],[Amount]]-Table2[[#This Row],[cost]]</f>
        <v>578</v>
      </c>
    </row>
    <row r="103" spans="1:8" x14ac:dyDescent="0.25">
      <c r="A103" t="s">
        <v>2</v>
      </c>
      <c r="B103" t="s">
        <v>36</v>
      </c>
      <c r="C103" t="s">
        <v>27</v>
      </c>
      <c r="D103" s="1">
        <v>798</v>
      </c>
      <c r="E103" s="2">
        <v>519</v>
      </c>
      <c r="F103" s="43">
        <f>_xlfn.XLOOKUP(Table2[[#This Row],[Product]],products[Product],products[Cost per unit])</f>
        <v>16.73</v>
      </c>
      <c r="G103" s="43">
        <f>Table2[[#This Row],[cost per unit]]*Table2[[#This Row],[Units]]</f>
        <v>8682.8700000000008</v>
      </c>
      <c r="H103" s="44">
        <f>Table2[[#This Row],[Amount]]-Table2[[#This Row],[cost]]</f>
        <v>-7884.8700000000008</v>
      </c>
    </row>
    <row r="104" spans="1:8" x14ac:dyDescent="0.25">
      <c r="A104" t="s">
        <v>41</v>
      </c>
      <c r="B104" t="s">
        <v>37</v>
      </c>
      <c r="C104" t="s">
        <v>21</v>
      </c>
      <c r="D104" s="1">
        <v>2933</v>
      </c>
      <c r="E104" s="2">
        <v>9</v>
      </c>
      <c r="F104" s="43">
        <f>_xlfn.XLOOKUP(Table2[[#This Row],[Product]],products[Product],products[Cost per unit])</f>
        <v>9</v>
      </c>
      <c r="G104" s="43">
        <f>Table2[[#This Row],[cost per unit]]*Table2[[#This Row],[Units]]</f>
        <v>81</v>
      </c>
      <c r="H104" s="44">
        <f>Table2[[#This Row],[Amount]]-Table2[[#This Row],[cost]]</f>
        <v>2852</v>
      </c>
    </row>
    <row r="105" spans="1:8" x14ac:dyDescent="0.25">
      <c r="A105" t="s">
        <v>5</v>
      </c>
      <c r="B105" t="s">
        <v>35</v>
      </c>
      <c r="C105" t="s">
        <v>4</v>
      </c>
      <c r="D105" s="1">
        <v>2744</v>
      </c>
      <c r="E105" s="2">
        <v>9</v>
      </c>
      <c r="F105" s="43">
        <f>_xlfn.XLOOKUP(Table2[[#This Row],[Product]],products[Product],products[Cost per unit])</f>
        <v>11.88</v>
      </c>
      <c r="G105" s="43">
        <f>Table2[[#This Row],[cost per unit]]*Table2[[#This Row],[Units]]</f>
        <v>106.92</v>
      </c>
      <c r="H105" s="44">
        <f>Table2[[#This Row],[Amount]]-Table2[[#This Row],[cost]]</f>
        <v>2637.08</v>
      </c>
    </row>
    <row r="106" spans="1:8" x14ac:dyDescent="0.25">
      <c r="A106" t="s">
        <v>40</v>
      </c>
      <c r="B106" t="s">
        <v>36</v>
      </c>
      <c r="C106" t="s">
        <v>33</v>
      </c>
      <c r="D106" s="1">
        <v>9772</v>
      </c>
      <c r="E106" s="2">
        <v>90</v>
      </c>
      <c r="F106" s="43">
        <f>_xlfn.XLOOKUP(Table2[[#This Row],[Product]],products[Product],products[Cost per unit])</f>
        <v>12.37</v>
      </c>
      <c r="G106" s="43">
        <f>Table2[[#This Row],[cost per unit]]*Table2[[#This Row],[Units]]</f>
        <v>1113.3</v>
      </c>
      <c r="H106" s="44">
        <f>Table2[[#This Row],[Amount]]-Table2[[#This Row],[cost]]</f>
        <v>8658.7000000000007</v>
      </c>
    </row>
    <row r="107" spans="1:8" x14ac:dyDescent="0.25">
      <c r="A107" t="s">
        <v>7</v>
      </c>
      <c r="B107" t="s">
        <v>34</v>
      </c>
      <c r="C107" t="s">
        <v>25</v>
      </c>
      <c r="D107" s="1">
        <v>1568</v>
      </c>
      <c r="E107" s="2">
        <v>96</v>
      </c>
      <c r="F107" s="43">
        <f>_xlfn.XLOOKUP(Table2[[#This Row],[Product]],products[Product],products[Cost per unit])</f>
        <v>13.15</v>
      </c>
      <c r="G107" s="43">
        <f>Table2[[#This Row],[cost per unit]]*Table2[[#This Row],[Units]]</f>
        <v>1262.4000000000001</v>
      </c>
      <c r="H107" s="44">
        <f>Table2[[#This Row],[Amount]]-Table2[[#This Row],[cost]]</f>
        <v>305.59999999999991</v>
      </c>
    </row>
    <row r="108" spans="1:8" x14ac:dyDescent="0.25">
      <c r="A108" t="s">
        <v>2</v>
      </c>
      <c r="B108" t="s">
        <v>36</v>
      </c>
      <c r="C108" t="s">
        <v>16</v>
      </c>
      <c r="D108" s="1">
        <v>11417</v>
      </c>
      <c r="E108" s="2">
        <v>21</v>
      </c>
      <c r="F108" s="43">
        <f>_xlfn.XLOOKUP(Table2[[#This Row],[Product]],products[Product],products[Cost per unit])</f>
        <v>8.7899999999999991</v>
      </c>
      <c r="G108" s="43">
        <f>Table2[[#This Row],[cost per unit]]*Table2[[#This Row],[Units]]</f>
        <v>184.58999999999997</v>
      </c>
      <c r="H108" s="44">
        <f>Table2[[#This Row],[Amount]]-Table2[[#This Row],[cost]]</f>
        <v>11232.41</v>
      </c>
    </row>
    <row r="109" spans="1:8" x14ac:dyDescent="0.25">
      <c r="A109" t="s">
        <v>40</v>
      </c>
      <c r="B109" t="s">
        <v>34</v>
      </c>
      <c r="C109" t="s">
        <v>26</v>
      </c>
      <c r="D109" s="1">
        <v>6748</v>
      </c>
      <c r="E109" s="2">
        <v>48</v>
      </c>
      <c r="F109" s="43">
        <f>_xlfn.XLOOKUP(Table2[[#This Row],[Product]],products[Product],products[Cost per unit])</f>
        <v>5.6</v>
      </c>
      <c r="G109" s="43">
        <f>Table2[[#This Row],[cost per unit]]*Table2[[#This Row],[Units]]</f>
        <v>268.79999999999995</v>
      </c>
      <c r="H109" s="44">
        <f>Table2[[#This Row],[Amount]]-Table2[[#This Row],[cost]]</f>
        <v>6479.2</v>
      </c>
    </row>
    <row r="110" spans="1:8" x14ac:dyDescent="0.25">
      <c r="A110" t="s">
        <v>10</v>
      </c>
      <c r="B110" t="s">
        <v>36</v>
      </c>
      <c r="C110" t="s">
        <v>27</v>
      </c>
      <c r="D110" s="1">
        <v>1407</v>
      </c>
      <c r="E110" s="2">
        <v>72</v>
      </c>
      <c r="F110" s="43">
        <f>_xlfn.XLOOKUP(Table2[[#This Row],[Product]],products[Product],products[Cost per unit])</f>
        <v>16.73</v>
      </c>
      <c r="G110" s="43">
        <f>Table2[[#This Row],[cost per unit]]*Table2[[#This Row],[Units]]</f>
        <v>1204.56</v>
      </c>
      <c r="H110" s="44">
        <f>Table2[[#This Row],[Amount]]-Table2[[#This Row],[cost]]</f>
        <v>202.44000000000005</v>
      </c>
    </row>
    <row r="111" spans="1:8" x14ac:dyDescent="0.25">
      <c r="A111" t="s">
        <v>8</v>
      </c>
      <c r="B111" t="s">
        <v>35</v>
      </c>
      <c r="C111" t="s">
        <v>29</v>
      </c>
      <c r="D111" s="1">
        <v>2023</v>
      </c>
      <c r="E111" s="2">
        <v>168</v>
      </c>
      <c r="F111" s="43">
        <f>_xlfn.XLOOKUP(Table2[[#This Row],[Product]],products[Product],products[Cost per unit])</f>
        <v>7.16</v>
      </c>
      <c r="G111" s="43">
        <f>Table2[[#This Row],[cost per unit]]*Table2[[#This Row],[Units]]</f>
        <v>1202.8800000000001</v>
      </c>
      <c r="H111" s="44">
        <f>Table2[[#This Row],[Amount]]-Table2[[#This Row],[cost]]</f>
        <v>820.11999999999989</v>
      </c>
    </row>
    <row r="112" spans="1:8" x14ac:dyDescent="0.25">
      <c r="A112" t="s">
        <v>5</v>
      </c>
      <c r="B112" t="s">
        <v>39</v>
      </c>
      <c r="C112" t="s">
        <v>26</v>
      </c>
      <c r="D112" s="1">
        <v>5236</v>
      </c>
      <c r="E112" s="2">
        <v>51</v>
      </c>
      <c r="F112" s="43">
        <f>_xlfn.XLOOKUP(Table2[[#This Row],[Product]],products[Product],products[Cost per unit])</f>
        <v>5.6</v>
      </c>
      <c r="G112" s="43">
        <f>Table2[[#This Row],[cost per unit]]*Table2[[#This Row],[Units]]</f>
        <v>285.59999999999997</v>
      </c>
      <c r="H112" s="44">
        <f>Table2[[#This Row],[Amount]]-Table2[[#This Row],[cost]]</f>
        <v>4950.3999999999996</v>
      </c>
    </row>
    <row r="113" spans="1:8" x14ac:dyDescent="0.25">
      <c r="A113" t="s">
        <v>41</v>
      </c>
      <c r="B113" t="s">
        <v>36</v>
      </c>
      <c r="C113" t="s">
        <v>19</v>
      </c>
      <c r="D113" s="1">
        <v>1925</v>
      </c>
      <c r="E113" s="2">
        <v>192</v>
      </c>
      <c r="F113" s="43">
        <f>_xlfn.XLOOKUP(Table2[[#This Row],[Product]],products[Product],products[Cost per unit])</f>
        <v>7.64</v>
      </c>
      <c r="G113" s="43">
        <f>Table2[[#This Row],[cost per unit]]*Table2[[#This Row],[Units]]</f>
        <v>1466.8799999999999</v>
      </c>
      <c r="H113" s="44">
        <f>Table2[[#This Row],[Amount]]-Table2[[#This Row],[cost]]</f>
        <v>458.12000000000012</v>
      </c>
    </row>
    <row r="114" spans="1:8" x14ac:dyDescent="0.25">
      <c r="A114" t="s">
        <v>7</v>
      </c>
      <c r="B114" t="s">
        <v>37</v>
      </c>
      <c r="C114" t="s">
        <v>14</v>
      </c>
      <c r="D114" s="1">
        <v>6608</v>
      </c>
      <c r="E114" s="2">
        <v>225</v>
      </c>
      <c r="F114" s="43">
        <f>_xlfn.XLOOKUP(Table2[[#This Row],[Product]],products[Product],products[Cost per unit])</f>
        <v>11.7</v>
      </c>
      <c r="G114" s="43">
        <f>Table2[[#This Row],[cost per unit]]*Table2[[#This Row],[Units]]</f>
        <v>2632.5</v>
      </c>
      <c r="H114" s="44">
        <f>Table2[[#This Row],[Amount]]-Table2[[#This Row],[cost]]</f>
        <v>3975.5</v>
      </c>
    </row>
    <row r="115" spans="1:8" x14ac:dyDescent="0.25">
      <c r="A115" t="s">
        <v>6</v>
      </c>
      <c r="B115" t="s">
        <v>34</v>
      </c>
      <c r="C115" t="s">
        <v>26</v>
      </c>
      <c r="D115" s="1">
        <v>8008</v>
      </c>
      <c r="E115" s="2">
        <v>456</v>
      </c>
      <c r="F115" s="43">
        <f>_xlfn.XLOOKUP(Table2[[#This Row],[Product]],products[Product],products[Cost per unit])</f>
        <v>5.6</v>
      </c>
      <c r="G115" s="43">
        <f>Table2[[#This Row],[cost per unit]]*Table2[[#This Row],[Units]]</f>
        <v>2553.6</v>
      </c>
      <c r="H115" s="44">
        <f>Table2[[#This Row],[Amount]]-Table2[[#This Row],[cost]]</f>
        <v>5454.4</v>
      </c>
    </row>
    <row r="116" spans="1:8" x14ac:dyDescent="0.25">
      <c r="A116" t="s">
        <v>10</v>
      </c>
      <c r="B116" t="s">
        <v>34</v>
      </c>
      <c r="C116" t="s">
        <v>25</v>
      </c>
      <c r="D116" s="1">
        <v>1428</v>
      </c>
      <c r="E116" s="2">
        <v>93</v>
      </c>
      <c r="F116" s="43">
        <f>_xlfn.XLOOKUP(Table2[[#This Row],[Product]],products[Product],products[Cost per unit])</f>
        <v>13.15</v>
      </c>
      <c r="G116" s="43">
        <f>Table2[[#This Row],[cost per unit]]*Table2[[#This Row],[Units]]</f>
        <v>1222.95</v>
      </c>
      <c r="H116" s="44">
        <f>Table2[[#This Row],[Amount]]-Table2[[#This Row],[cost]]</f>
        <v>205.04999999999995</v>
      </c>
    </row>
    <row r="117" spans="1:8" x14ac:dyDescent="0.25">
      <c r="A117" t="s">
        <v>6</v>
      </c>
      <c r="B117" t="s">
        <v>34</v>
      </c>
      <c r="C117" t="s">
        <v>4</v>
      </c>
      <c r="D117" s="1">
        <v>525</v>
      </c>
      <c r="E117" s="2">
        <v>48</v>
      </c>
      <c r="F117" s="43">
        <f>_xlfn.XLOOKUP(Table2[[#This Row],[Product]],products[Product],products[Cost per unit])</f>
        <v>11.88</v>
      </c>
      <c r="G117" s="43">
        <f>Table2[[#This Row],[cost per unit]]*Table2[[#This Row],[Units]]</f>
        <v>570.24</v>
      </c>
      <c r="H117" s="44">
        <f>Table2[[#This Row],[Amount]]-Table2[[#This Row],[cost]]</f>
        <v>-45.240000000000009</v>
      </c>
    </row>
    <row r="118" spans="1:8" x14ac:dyDescent="0.25">
      <c r="A118" t="s">
        <v>6</v>
      </c>
      <c r="B118" t="s">
        <v>37</v>
      </c>
      <c r="C118" t="s">
        <v>18</v>
      </c>
      <c r="D118" s="1">
        <v>1505</v>
      </c>
      <c r="E118" s="2">
        <v>102</v>
      </c>
      <c r="F118" s="43">
        <f>_xlfn.XLOOKUP(Table2[[#This Row],[Product]],products[Product],products[Cost per unit])</f>
        <v>6.47</v>
      </c>
      <c r="G118" s="43">
        <f>Table2[[#This Row],[cost per unit]]*Table2[[#This Row],[Units]]</f>
        <v>659.93999999999994</v>
      </c>
      <c r="H118" s="44">
        <f>Table2[[#This Row],[Amount]]-Table2[[#This Row],[cost]]</f>
        <v>845.06000000000006</v>
      </c>
    </row>
    <row r="119" spans="1:8" x14ac:dyDescent="0.25">
      <c r="A119" t="s">
        <v>7</v>
      </c>
      <c r="B119" t="s">
        <v>35</v>
      </c>
      <c r="C119" t="s">
        <v>30</v>
      </c>
      <c r="D119" s="1">
        <v>6755</v>
      </c>
      <c r="E119" s="2">
        <v>252</v>
      </c>
      <c r="F119" s="43">
        <f>_xlfn.XLOOKUP(Table2[[#This Row],[Product]],products[Product],products[Cost per unit])</f>
        <v>14.49</v>
      </c>
      <c r="G119" s="43">
        <f>Table2[[#This Row],[cost per unit]]*Table2[[#This Row],[Units]]</f>
        <v>3651.48</v>
      </c>
      <c r="H119" s="44">
        <f>Table2[[#This Row],[Amount]]-Table2[[#This Row],[cost]]</f>
        <v>3103.52</v>
      </c>
    </row>
    <row r="120" spans="1:8" x14ac:dyDescent="0.25">
      <c r="A120" t="s">
        <v>2</v>
      </c>
      <c r="B120" t="s">
        <v>37</v>
      </c>
      <c r="C120" t="s">
        <v>18</v>
      </c>
      <c r="D120" s="1">
        <v>11571</v>
      </c>
      <c r="E120" s="2">
        <v>138</v>
      </c>
      <c r="F120" s="43">
        <f>_xlfn.XLOOKUP(Table2[[#This Row],[Product]],products[Product],products[Cost per unit])</f>
        <v>6.47</v>
      </c>
      <c r="G120" s="43">
        <f>Table2[[#This Row],[cost per unit]]*Table2[[#This Row],[Units]]</f>
        <v>892.86</v>
      </c>
      <c r="H120" s="44">
        <f>Table2[[#This Row],[Amount]]-Table2[[#This Row],[cost]]</f>
        <v>10678.14</v>
      </c>
    </row>
    <row r="121" spans="1:8" x14ac:dyDescent="0.25">
      <c r="A121" t="s">
        <v>40</v>
      </c>
      <c r="B121" t="s">
        <v>38</v>
      </c>
      <c r="C121" t="s">
        <v>25</v>
      </c>
      <c r="D121" s="1">
        <v>2541</v>
      </c>
      <c r="E121" s="2">
        <v>90</v>
      </c>
      <c r="F121" s="43">
        <f>_xlfn.XLOOKUP(Table2[[#This Row],[Product]],products[Product],products[Cost per unit])</f>
        <v>13.15</v>
      </c>
      <c r="G121" s="43">
        <f>Table2[[#This Row],[cost per unit]]*Table2[[#This Row],[Units]]</f>
        <v>1183.5</v>
      </c>
      <c r="H121" s="44">
        <f>Table2[[#This Row],[Amount]]-Table2[[#This Row],[cost]]</f>
        <v>1357.5</v>
      </c>
    </row>
    <row r="122" spans="1:8" x14ac:dyDescent="0.25">
      <c r="A122" t="s">
        <v>41</v>
      </c>
      <c r="B122" t="s">
        <v>37</v>
      </c>
      <c r="C122" t="s">
        <v>30</v>
      </c>
      <c r="D122" s="1">
        <v>1526</v>
      </c>
      <c r="E122" s="2">
        <v>240</v>
      </c>
      <c r="F122" s="43">
        <f>_xlfn.XLOOKUP(Table2[[#This Row],[Product]],products[Product],products[Cost per unit])</f>
        <v>14.49</v>
      </c>
      <c r="G122" s="43">
        <f>Table2[[#This Row],[cost per unit]]*Table2[[#This Row],[Units]]</f>
        <v>3477.6</v>
      </c>
      <c r="H122" s="44">
        <f>Table2[[#This Row],[Amount]]-Table2[[#This Row],[cost]]</f>
        <v>-1951.6</v>
      </c>
    </row>
    <row r="123" spans="1:8" x14ac:dyDescent="0.25">
      <c r="A123" t="s">
        <v>40</v>
      </c>
      <c r="B123" t="s">
        <v>38</v>
      </c>
      <c r="C123" t="s">
        <v>4</v>
      </c>
      <c r="D123" s="1">
        <v>6125</v>
      </c>
      <c r="E123" s="2">
        <v>102</v>
      </c>
      <c r="F123" s="43">
        <f>_xlfn.XLOOKUP(Table2[[#This Row],[Product]],products[Product],products[Cost per unit])</f>
        <v>11.88</v>
      </c>
      <c r="G123" s="43">
        <f>Table2[[#This Row],[cost per unit]]*Table2[[#This Row],[Units]]</f>
        <v>1211.76</v>
      </c>
      <c r="H123" s="44">
        <f>Table2[[#This Row],[Amount]]-Table2[[#This Row],[cost]]</f>
        <v>4913.24</v>
      </c>
    </row>
    <row r="124" spans="1:8" x14ac:dyDescent="0.25">
      <c r="A124" t="s">
        <v>41</v>
      </c>
      <c r="B124" t="s">
        <v>35</v>
      </c>
      <c r="C124" t="s">
        <v>27</v>
      </c>
      <c r="D124" s="1">
        <v>847</v>
      </c>
      <c r="E124" s="2">
        <v>129</v>
      </c>
      <c r="F124" s="43">
        <f>_xlfn.XLOOKUP(Table2[[#This Row],[Product]],products[Product],products[Cost per unit])</f>
        <v>16.73</v>
      </c>
      <c r="G124" s="43">
        <f>Table2[[#This Row],[cost per unit]]*Table2[[#This Row],[Units]]</f>
        <v>2158.17</v>
      </c>
      <c r="H124" s="44">
        <f>Table2[[#This Row],[Amount]]-Table2[[#This Row],[cost]]</f>
        <v>-1311.17</v>
      </c>
    </row>
    <row r="125" spans="1:8" x14ac:dyDescent="0.25">
      <c r="A125" t="s">
        <v>8</v>
      </c>
      <c r="B125" t="s">
        <v>35</v>
      </c>
      <c r="C125" t="s">
        <v>27</v>
      </c>
      <c r="D125" s="1">
        <v>4753</v>
      </c>
      <c r="E125" s="2">
        <v>300</v>
      </c>
      <c r="F125" s="43">
        <f>_xlfn.XLOOKUP(Table2[[#This Row],[Product]],products[Product],products[Cost per unit])</f>
        <v>16.73</v>
      </c>
      <c r="G125" s="43">
        <f>Table2[[#This Row],[cost per unit]]*Table2[[#This Row],[Units]]</f>
        <v>5019</v>
      </c>
      <c r="H125" s="44">
        <f>Table2[[#This Row],[Amount]]-Table2[[#This Row],[cost]]</f>
        <v>-266</v>
      </c>
    </row>
    <row r="126" spans="1:8" x14ac:dyDescent="0.25">
      <c r="A126" t="s">
        <v>6</v>
      </c>
      <c r="B126" t="s">
        <v>38</v>
      </c>
      <c r="C126" t="s">
        <v>33</v>
      </c>
      <c r="D126" s="1">
        <v>959</v>
      </c>
      <c r="E126" s="2">
        <v>135</v>
      </c>
      <c r="F126" s="43">
        <f>_xlfn.XLOOKUP(Table2[[#This Row],[Product]],products[Product],products[Cost per unit])</f>
        <v>12.37</v>
      </c>
      <c r="G126" s="43">
        <f>Table2[[#This Row],[cost per unit]]*Table2[[#This Row],[Units]]</f>
        <v>1669.9499999999998</v>
      </c>
      <c r="H126" s="44">
        <f>Table2[[#This Row],[Amount]]-Table2[[#This Row],[cost]]</f>
        <v>-710.94999999999982</v>
      </c>
    </row>
    <row r="127" spans="1:8" x14ac:dyDescent="0.25">
      <c r="A127" t="s">
        <v>7</v>
      </c>
      <c r="B127" t="s">
        <v>35</v>
      </c>
      <c r="C127" t="s">
        <v>24</v>
      </c>
      <c r="D127" s="1">
        <v>2793</v>
      </c>
      <c r="E127" s="2">
        <v>114</v>
      </c>
      <c r="F127" s="43">
        <f>_xlfn.XLOOKUP(Table2[[#This Row],[Product]],products[Product],products[Cost per unit])</f>
        <v>4.97</v>
      </c>
      <c r="G127" s="43">
        <f>Table2[[#This Row],[cost per unit]]*Table2[[#This Row],[Units]]</f>
        <v>566.57999999999993</v>
      </c>
      <c r="H127" s="44">
        <f>Table2[[#This Row],[Amount]]-Table2[[#This Row],[cost]]</f>
        <v>2226.42</v>
      </c>
    </row>
    <row r="128" spans="1:8" x14ac:dyDescent="0.25">
      <c r="A128" t="s">
        <v>7</v>
      </c>
      <c r="B128" t="s">
        <v>35</v>
      </c>
      <c r="C128" t="s">
        <v>14</v>
      </c>
      <c r="D128" s="1">
        <v>4606</v>
      </c>
      <c r="E128" s="2">
        <v>63</v>
      </c>
      <c r="F128" s="43">
        <f>_xlfn.XLOOKUP(Table2[[#This Row],[Product]],products[Product],products[Cost per unit])</f>
        <v>11.7</v>
      </c>
      <c r="G128" s="43">
        <f>Table2[[#This Row],[cost per unit]]*Table2[[#This Row],[Units]]</f>
        <v>737.09999999999991</v>
      </c>
      <c r="H128" s="44">
        <f>Table2[[#This Row],[Amount]]-Table2[[#This Row],[cost]]</f>
        <v>3868.9</v>
      </c>
    </row>
    <row r="129" spans="1:8" x14ac:dyDescent="0.25">
      <c r="A129" t="s">
        <v>7</v>
      </c>
      <c r="B129" t="s">
        <v>36</v>
      </c>
      <c r="C129" t="s">
        <v>29</v>
      </c>
      <c r="D129" s="1">
        <v>5551</v>
      </c>
      <c r="E129" s="2">
        <v>252</v>
      </c>
      <c r="F129" s="43">
        <f>_xlfn.XLOOKUP(Table2[[#This Row],[Product]],products[Product],products[Cost per unit])</f>
        <v>7.16</v>
      </c>
      <c r="G129" s="43">
        <f>Table2[[#This Row],[cost per unit]]*Table2[[#This Row],[Units]]</f>
        <v>1804.32</v>
      </c>
      <c r="H129" s="44">
        <f>Table2[[#This Row],[Amount]]-Table2[[#This Row],[cost]]</f>
        <v>3746.6800000000003</v>
      </c>
    </row>
    <row r="130" spans="1:8" x14ac:dyDescent="0.25">
      <c r="A130" t="s">
        <v>10</v>
      </c>
      <c r="B130" t="s">
        <v>36</v>
      </c>
      <c r="C130" t="s">
        <v>32</v>
      </c>
      <c r="D130" s="1">
        <v>6657</v>
      </c>
      <c r="E130" s="2">
        <v>303</v>
      </c>
      <c r="F130" s="43">
        <f>_xlfn.XLOOKUP(Table2[[#This Row],[Product]],products[Product],products[Cost per unit])</f>
        <v>8.65</v>
      </c>
      <c r="G130" s="43">
        <f>Table2[[#This Row],[cost per unit]]*Table2[[#This Row],[Units]]</f>
        <v>2620.9500000000003</v>
      </c>
      <c r="H130" s="44">
        <f>Table2[[#This Row],[Amount]]-Table2[[#This Row],[cost]]</f>
        <v>4036.0499999999997</v>
      </c>
    </row>
    <row r="131" spans="1:8" x14ac:dyDescent="0.25">
      <c r="A131" t="s">
        <v>7</v>
      </c>
      <c r="B131" t="s">
        <v>39</v>
      </c>
      <c r="C131" t="s">
        <v>17</v>
      </c>
      <c r="D131" s="1">
        <v>4438</v>
      </c>
      <c r="E131" s="2">
        <v>246</v>
      </c>
      <c r="F131" s="43">
        <f>_xlfn.XLOOKUP(Table2[[#This Row],[Product]],products[Product],products[Cost per unit])</f>
        <v>3.11</v>
      </c>
      <c r="G131" s="43">
        <f>Table2[[#This Row],[cost per unit]]*Table2[[#This Row],[Units]]</f>
        <v>765.06</v>
      </c>
      <c r="H131" s="44">
        <f>Table2[[#This Row],[Amount]]-Table2[[#This Row],[cost]]</f>
        <v>3672.94</v>
      </c>
    </row>
    <row r="132" spans="1:8" x14ac:dyDescent="0.25">
      <c r="A132" t="s">
        <v>8</v>
      </c>
      <c r="B132" t="s">
        <v>38</v>
      </c>
      <c r="C132" t="s">
        <v>22</v>
      </c>
      <c r="D132" s="1">
        <v>168</v>
      </c>
      <c r="E132" s="2">
        <v>84</v>
      </c>
      <c r="F132" s="43">
        <f>_xlfn.XLOOKUP(Table2[[#This Row],[Product]],products[Product],products[Cost per unit])</f>
        <v>9.77</v>
      </c>
      <c r="G132" s="43">
        <f>Table2[[#This Row],[cost per unit]]*Table2[[#This Row],[Units]]</f>
        <v>820.68</v>
      </c>
      <c r="H132" s="44">
        <f>Table2[[#This Row],[Amount]]-Table2[[#This Row],[cost]]</f>
        <v>-652.67999999999995</v>
      </c>
    </row>
    <row r="133" spans="1:8" x14ac:dyDescent="0.25">
      <c r="A133" t="s">
        <v>7</v>
      </c>
      <c r="B133" t="s">
        <v>34</v>
      </c>
      <c r="C133" t="s">
        <v>17</v>
      </c>
      <c r="D133" s="1">
        <v>7777</v>
      </c>
      <c r="E133" s="2">
        <v>39</v>
      </c>
      <c r="F133" s="43">
        <f>_xlfn.XLOOKUP(Table2[[#This Row],[Product]],products[Product],products[Cost per unit])</f>
        <v>3.11</v>
      </c>
      <c r="G133" s="43">
        <f>Table2[[#This Row],[cost per unit]]*Table2[[#This Row],[Units]]</f>
        <v>121.28999999999999</v>
      </c>
      <c r="H133" s="44">
        <f>Table2[[#This Row],[Amount]]-Table2[[#This Row],[cost]]</f>
        <v>7655.71</v>
      </c>
    </row>
    <row r="134" spans="1:8" x14ac:dyDescent="0.25">
      <c r="A134" t="s">
        <v>5</v>
      </c>
      <c r="B134" t="s">
        <v>36</v>
      </c>
      <c r="C134" t="s">
        <v>17</v>
      </c>
      <c r="D134" s="1">
        <v>3339</v>
      </c>
      <c r="E134" s="2">
        <v>348</v>
      </c>
      <c r="F134" s="43">
        <f>_xlfn.XLOOKUP(Table2[[#This Row],[Product]],products[Product],products[Cost per unit])</f>
        <v>3.11</v>
      </c>
      <c r="G134" s="43">
        <f>Table2[[#This Row],[cost per unit]]*Table2[[#This Row],[Units]]</f>
        <v>1082.28</v>
      </c>
      <c r="H134" s="44">
        <f>Table2[[#This Row],[Amount]]-Table2[[#This Row],[cost]]</f>
        <v>2256.7200000000003</v>
      </c>
    </row>
    <row r="135" spans="1:8" x14ac:dyDescent="0.25">
      <c r="A135" t="s">
        <v>7</v>
      </c>
      <c r="B135" t="s">
        <v>37</v>
      </c>
      <c r="C135" t="s">
        <v>33</v>
      </c>
      <c r="D135" s="1">
        <v>6391</v>
      </c>
      <c r="E135" s="2">
        <v>48</v>
      </c>
      <c r="F135" s="43">
        <f>_xlfn.XLOOKUP(Table2[[#This Row],[Product]],products[Product],products[Cost per unit])</f>
        <v>12.37</v>
      </c>
      <c r="G135" s="43">
        <f>Table2[[#This Row],[cost per unit]]*Table2[[#This Row],[Units]]</f>
        <v>593.76</v>
      </c>
      <c r="H135" s="44">
        <f>Table2[[#This Row],[Amount]]-Table2[[#This Row],[cost]]</f>
        <v>5797.24</v>
      </c>
    </row>
    <row r="136" spans="1:8" x14ac:dyDescent="0.25">
      <c r="A136" t="s">
        <v>5</v>
      </c>
      <c r="B136" t="s">
        <v>37</v>
      </c>
      <c r="C136" t="s">
        <v>22</v>
      </c>
      <c r="D136" s="1">
        <v>518</v>
      </c>
      <c r="E136" s="2">
        <v>75</v>
      </c>
      <c r="F136" s="43">
        <f>_xlfn.XLOOKUP(Table2[[#This Row],[Product]],products[Product],products[Cost per unit])</f>
        <v>9.77</v>
      </c>
      <c r="G136" s="43">
        <f>Table2[[#This Row],[cost per unit]]*Table2[[#This Row],[Units]]</f>
        <v>732.75</v>
      </c>
      <c r="H136" s="44">
        <f>Table2[[#This Row],[Amount]]-Table2[[#This Row],[cost]]</f>
        <v>-214.75</v>
      </c>
    </row>
    <row r="137" spans="1:8" x14ac:dyDescent="0.25">
      <c r="A137" t="s">
        <v>7</v>
      </c>
      <c r="B137" t="s">
        <v>38</v>
      </c>
      <c r="C137" t="s">
        <v>28</v>
      </c>
      <c r="D137" s="1">
        <v>5677</v>
      </c>
      <c r="E137" s="2">
        <v>258</v>
      </c>
      <c r="F137" s="43">
        <f>_xlfn.XLOOKUP(Table2[[#This Row],[Product]],products[Product],products[Cost per unit])</f>
        <v>10.38</v>
      </c>
      <c r="G137" s="43">
        <f>Table2[[#This Row],[cost per unit]]*Table2[[#This Row],[Units]]</f>
        <v>2678.0400000000004</v>
      </c>
      <c r="H137" s="44">
        <f>Table2[[#This Row],[Amount]]-Table2[[#This Row],[cost]]</f>
        <v>2998.9599999999996</v>
      </c>
    </row>
    <row r="138" spans="1:8" x14ac:dyDescent="0.25">
      <c r="A138" t="s">
        <v>6</v>
      </c>
      <c r="B138" t="s">
        <v>39</v>
      </c>
      <c r="C138" t="s">
        <v>17</v>
      </c>
      <c r="D138" s="1">
        <v>6048</v>
      </c>
      <c r="E138" s="2">
        <v>27</v>
      </c>
      <c r="F138" s="43">
        <f>_xlfn.XLOOKUP(Table2[[#This Row],[Product]],products[Product],products[Cost per unit])</f>
        <v>3.11</v>
      </c>
      <c r="G138" s="43">
        <f>Table2[[#This Row],[cost per unit]]*Table2[[#This Row],[Units]]</f>
        <v>83.97</v>
      </c>
      <c r="H138" s="44">
        <f>Table2[[#This Row],[Amount]]-Table2[[#This Row],[cost]]</f>
        <v>5964.03</v>
      </c>
    </row>
    <row r="139" spans="1:8" x14ac:dyDescent="0.25">
      <c r="A139" t="s">
        <v>8</v>
      </c>
      <c r="B139" t="s">
        <v>38</v>
      </c>
      <c r="C139" t="s">
        <v>32</v>
      </c>
      <c r="D139" s="1">
        <v>3752</v>
      </c>
      <c r="E139" s="2">
        <v>213</v>
      </c>
      <c r="F139" s="43">
        <f>_xlfn.XLOOKUP(Table2[[#This Row],[Product]],products[Product],products[Cost per unit])</f>
        <v>8.65</v>
      </c>
      <c r="G139" s="43">
        <f>Table2[[#This Row],[cost per unit]]*Table2[[#This Row],[Units]]</f>
        <v>1842.45</v>
      </c>
      <c r="H139" s="44">
        <f>Table2[[#This Row],[Amount]]-Table2[[#This Row],[cost]]</f>
        <v>1909.55</v>
      </c>
    </row>
    <row r="140" spans="1:8" x14ac:dyDescent="0.25">
      <c r="A140" t="s">
        <v>5</v>
      </c>
      <c r="B140" t="s">
        <v>35</v>
      </c>
      <c r="C140" t="s">
        <v>29</v>
      </c>
      <c r="D140" s="1">
        <v>4480</v>
      </c>
      <c r="E140" s="2">
        <v>357</v>
      </c>
      <c r="F140" s="43">
        <f>_xlfn.XLOOKUP(Table2[[#This Row],[Product]],products[Product],products[Cost per unit])</f>
        <v>7.16</v>
      </c>
      <c r="G140" s="43">
        <f>Table2[[#This Row],[cost per unit]]*Table2[[#This Row],[Units]]</f>
        <v>2556.12</v>
      </c>
      <c r="H140" s="44">
        <f>Table2[[#This Row],[Amount]]-Table2[[#This Row],[cost]]</f>
        <v>1923.88</v>
      </c>
    </row>
    <row r="141" spans="1:8" x14ac:dyDescent="0.25">
      <c r="A141" t="s">
        <v>9</v>
      </c>
      <c r="B141" t="s">
        <v>37</v>
      </c>
      <c r="C141" t="s">
        <v>4</v>
      </c>
      <c r="D141" s="1">
        <v>259</v>
      </c>
      <c r="E141" s="2">
        <v>207</v>
      </c>
      <c r="F141" s="43">
        <f>_xlfn.XLOOKUP(Table2[[#This Row],[Product]],products[Product],products[Cost per unit])</f>
        <v>11.88</v>
      </c>
      <c r="G141" s="43">
        <f>Table2[[#This Row],[cost per unit]]*Table2[[#This Row],[Units]]</f>
        <v>2459.1600000000003</v>
      </c>
      <c r="H141" s="44">
        <f>Table2[[#This Row],[Amount]]-Table2[[#This Row],[cost]]</f>
        <v>-2200.1600000000003</v>
      </c>
    </row>
    <row r="142" spans="1:8" x14ac:dyDescent="0.25">
      <c r="A142" t="s">
        <v>8</v>
      </c>
      <c r="B142" t="s">
        <v>37</v>
      </c>
      <c r="C142" t="s">
        <v>30</v>
      </c>
      <c r="D142" s="1">
        <v>42</v>
      </c>
      <c r="E142" s="2">
        <v>150</v>
      </c>
      <c r="F142" s="43">
        <f>_xlfn.XLOOKUP(Table2[[#This Row],[Product]],products[Product],products[Cost per unit])</f>
        <v>14.49</v>
      </c>
      <c r="G142" s="43">
        <f>Table2[[#This Row],[cost per unit]]*Table2[[#This Row],[Units]]</f>
        <v>2173.5</v>
      </c>
      <c r="H142" s="44">
        <f>Table2[[#This Row],[Amount]]-Table2[[#This Row],[cost]]</f>
        <v>-2131.5</v>
      </c>
    </row>
    <row r="143" spans="1:8" x14ac:dyDescent="0.25">
      <c r="A143" t="s">
        <v>41</v>
      </c>
      <c r="B143" t="s">
        <v>36</v>
      </c>
      <c r="C143" t="s">
        <v>26</v>
      </c>
      <c r="D143" s="1">
        <v>98</v>
      </c>
      <c r="E143" s="2">
        <v>204</v>
      </c>
      <c r="F143" s="43">
        <f>_xlfn.XLOOKUP(Table2[[#This Row],[Product]],products[Product],products[Cost per unit])</f>
        <v>5.6</v>
      </c>
      <c r="G143" s="43">
        <f>Table2[[#This Row],[cost per unit]]*Table2[[#This Row],[Units]]</f>
        <v>1142.3999999999999</v>
      </c>
      <c r="H143" s="44">
        <f>Table2[[#This Row],[Amount]]-Table2[[#This Row],[cost]]</f>
        <v>-1044.3999999999999</v>
      </c>
    </row>
    <row r="144" spans="1:8" x14ac:dyDescent="0.25">
      <c r="A144" t="s">
        <v>7</v>
      </c>
      <c r="B144" t="s">
        <v>35</v>
      </c>
      <c r="C144" t="s">
        <v>27</v>
      </c>
      <c r="D144" s="1">
        <v>2478</v>
      </c>
      <c r="E144" s="2">
        <v>21</v>
      </c>
      <c r="F144" s="43">
        <f>_xlfn.XLOOKUP(Table2[[#This Row],[Product]],products[Product],products[Cost per unit])</f>
        <v>16.73</v>
      </c>
      <c r="G144" s="43">
        <f>Table2[[#This Row],[cost per unit]]*Table2[[#This Row],[Units]]</f>
        <v>351.33</v>
      </c>
      <c r="H144" s="44">
        <f>Table2[[#This Row],[Amount]]-Table2[[#This Row],[cost]]</f>
        <v>2126.67</v>
      </c>
    </row>
    <row r="145" spans="1:8" x14ac:dyDescent="0.25">
      <c r="A145" t="s">
        <v>41</v>
      </c>
      <c r="B145" t="s">
        <v>34</v>
      </c>
      <c r="C145" t="s">
        <v>33</v>
      </c>
      <c r="D145" s="1">
        <v>7847</v>
      </c>
      <c r="E145" s="2">
        <v>174</v>
      </c>
      <c r="F145" s="43">
        <f>_xlfn.XLOOKUP(Table2[[#This Row],[Product]],products[Product],products[Cost per unit])</f>
        <v>12.37</v>
      </c>
      <c r="G145" s="43">
        <f>Table2[[#This Row],[cost per unit]]*Table2[[#This Row],[Units]]</f>
        <v>2152.3799999999997</v>
      </c>
      <c r="H145" s="44">
        <f>Table2[[#This Row],[Amount]]-Table2[[#This Row],[cost]]</f>
        <v>5694.6200000000008</v>
      </c>
    </row>
    <row r="146" spans="1:8" x14ac:dyDescent="0.25">
      <c r="A146" t="s">
        <v>2</v>
      </c>
      <c r="B146" t="s">
        <v>37</v>
      </c>
      <c r="C146" t="s">
        <v>17</v>
      </c>
      <c r="D146" s="1">
        <v>9926</v>
      </c>
      <c r="E146" s="2">
        <v>201</v>
      </c>
      <c r="F146" s="43">
        <f>_xlfn.XLOOKUP(Table2[[#This Row],[Product]],products[Product],products[Cost per unit])</f>
        <v>3.11</v>
      </c>
      <c r="G146" s="43">
        <f>Table2[[#This Row],[cost per unit]]*Table2[[#This Row],[Units]]</f>
        <v>625.11</v>
      </c>
      <c r="H146" s="44">
        <f>Table2[[#This Row],[Amount]]-Table2[[#This Row],[cost]]</f>
        <v>9300.89</v>
      </c>
    </row>
    <row r="147" spans="1:8" x14ac:dyDescent="0.25">
      <c r="A147" t="s">
        <v>8</v>
      </c>
      <c r="B147" t="s">
        <v>38</v>
      </c>
      <c r="C147" t="s">
        <v>13</v>
      </c>
      <c r="D147" s="1">
        <v>819</v>
      </c>
      <c r="E147" s="2">
        <v>510</v>
      </c>
      <c r="F147" s="43">
        <f>_xlfn.XLOOKUP(Table2[[#This Row],[Product]],products[Product],products[Cost per unit])</f>
        <v>9.33</v>
      </c>
      <c r="G147" s="43">
        <f>Table2[[#This Row],[cost per unit]]*Table2[[#This Row],[Units]]</f>
        <v>4758.3</v>
      </c>
      <c r="H147" s="44">
        <f>Table2[[#This Row],[Amount]]-Table2[[#This Row],[cost]]</f>
        <v>-3939.3</v>
      </c>
    </row>
    <row r="148" spans="1:8" x14ac:dyDescent="0.25">
      <c r="A148" t="s">
        <v>6</v>
      </c>
      <c r="B148" t="s">
        <v>39</v>
      </c>
      <c r="C148" t="s">
        <v>29</v>
      </c>
      <c r="D148" s="1">
        <v>3052</v>
      </c>
      <c r="E148" s="2">
        <v>378</v>
      </c>
      <c r="F148" s="43">
        <f>_xlfn.XLOOKUP(Table2[[#This Row],[Product]],products[Product],products[Cost per unit])</f>
        <v>7.16</v>
      </c>
      <c r="G148" s="43">
        <f>Table2[[#This Row],[cost per unit]]*Table2[[#This Row],[Units]]</f>
        <v>2706.48</v>
      </c>
      <c r="H148" s="44">
        <f>Table2[[#This Row],[Amount]]-Table2[[#This Row],[cost]]</f>
        <v>345.52</v>
      </c>
    </row>
    <row r="149" spans="1:8" x14ac:dyDescent="0.25">
      <c r="A149" t="s">
        <v>9</v>
      </c>
      <c r="B149" t="s">
        <v>34</v>
      </c>
      <c r="C149" t="s">
        <v>21</v>
      </c>
      <c r="D149" s="1">
        <v>6832</v>
      </c>
      <c r="E149" s="2">
        <v>27</v>
      </c>
      <c r="F149" s="43">
        <f>_xlfn.XLOOKUP(Table2[[#This Row],[Product]],products[Product],products[Cost per unit])</f>
        <v>9</v>
      </c>
      <c r="G149" s="43">
        <f>Table2[[#This Row],[cost per unit]]*Table2[[#This Row],[Units]]</f>
        <v>243</v>
      </c>
      <c r="H149" s="44">
        <f>Table2[[#This Row],[Amount]]-Table2[[#This Row],[cost]]</f>
        <v>6589</v>
      </c>
    </row>
    <row r="150" spans="1:8" x14ac:dyDescent="0.25">
      <c r="A150" t="s">
        <v>2</v>
      </c>
      <c r="B150" t="s">
        <v>39</v>
      </c>
      <c r="C150" t="s">
        <v>16</v>
      </c>
      <c r="D150" s="1">
        <v>2016</v>
      </c>
      <c r="E150" s="2">
        <v>117</v>
      </c>
      <c r="F150" s="43">
        <f>_xlfn.XLOOKUP(Table2[[#This Row],[Product]],products[Product],products[Cost per unit])</f>
        <v>8.7899999999999991</v>
      </c>
      <c r="G150" s="43">
        <f>Table2[[#This Row],[cost per unit]]*Table2[[#This Row],[Units]]</f>
        <v>1028.4299999999998</v>
      </c>
      <c r="H150" s="44">
        <f>Table2[[#This Row],[Amount]]-Table2[[#This Row],[cost]]</f>
        <v>987.57000000000016</v>
      </c>
    </row>
    <row r="151" spans="1:8" x14ac:dyDescent="0.25">
      <c r="A151" t="s">
        <v>6</v>
      </c>
      <c r="B151" t="s">
        <v>38</v>
      </c>
      <c r="C151" t="s">
        <v>21</v>
      </c>
      <c r="D151" s="1">
        <v>7322</v>
      </c>
      <c r="E151" s="2">
        <v>36</v>
      </c>
      <c r="F151" s="43">
        <f>_xlfn.XLOOKUP(Table2[[#This Row],[Product]],products[Product],products[Cost per unit])</f>
        <v>9</v>
      </c>
      <c r="G151" s="43">
        <f>Table2[[#This Row],[cost per unit]]*Table2[[#This Row],[Units]]</f>
        <v>324</v>
      </c>
      <c r="H151" s="44">
        <f>Table2[[#This Row],[Amount]]-Table2[[#This Row],[cost]]</f>
        <v>6998</v>
      </c>
    </row>
    <row r="152" spans="1:8" x14ac:dyDescent="0.25">
      <c r="A152" t="s">
        <v>8</v>
      </c>
      <c r="B152" t="s">
        <v>35</v>
      </c>
      <c r="C152" t="s">
        <v>33</v>
      </c>
      <c r="D152" s="1">
        <v>357</v>
      </c>
      <c r="E152" s="2">
        <v>126</v>
      </c>
      <c r="F152" s="43">
        <f>_xlfn.XLOOKUP(Table2[[#This Row],[Product]],products[Product],products[Cost per unit])</f>
        <v>12.37</v>
      </c>
      <c r="G152" s="43">
        <f>Table2[[#This Row],[cost per unit]]*Table2[[#This Row],[Units]]</f>
        <v>1558.62</v>
      </c>
      <c r="H152" s="44">
        <f>Table2[[#This Row],[Amount]]-Table2[[#This Row],[cost]]</f>
        <v>-1201.6199999999999</v>
      </c>
    </row>
    <row r="153" spans="1:8" x14ac:dyDescent="0.25">
      <c r="A153" t="s">
        <v>9</v>
      </c>
      <c r="B153" t="s">
        <v>39</v>
      </c>
      <c r="C153" t="s">
        <v>25</v>
      </c>
      <c r="D153" s="1">
        <v>3192</v>
      </c>
      <c r="E153" s="2">
        <v>72</v>
      </c>
      <c r="F153" s="43">
        <f>_xlfn.XLOOKUP(Table2[[#This Row],[Product]],products[Product],products[Cost per unit])</f>
        <v>13.15</v>
      </c>
      <c r="G153" s="43">
        <f>Table2[[#This Row],[cost per unit]]*Table2[[#This Row],[Units]]</f>
        <v>946.80000000000007</v>
      </c>
      <c r="H153" s="44">
        <f>Table2[[#This Row],[Amount]]-Table2[[#This Row],[cost]]</f>
        <v>2245.1999999999998</v>
      </c>
    </row>
    <row r="154" spans="1:8" x14ac:dyDescent="0.25">
      <c r="A154" t="s">
        <v>7</v>
      </c>
      <c r="B154" t="s">
        <v>36</v>
      </c>
      <c r="C154" t="s">
        <v>22</v>
      </c>
      <c r="D154" s="1">
        <v>8435</v>
      </c>
      <c r="E154" s="2">
        <v>42</v>
      </c>
      <c r="F154" s="43">
        <f>_xlfn.XLOOKUP(Table2[[#This Row],[Product]],products[Product],products[Cost per unit])</f>
        <v>9.77</v>
      </c>
      <c r="G154" s="43">
        <f>Table2[[#This Row],[cost per unit]]*Table2[[#This Row],[Units]]</f>
        <v>410.34</v>
      </c>
      <c r="H154" s="44">
        <f>Table2[[#This Row],[Amount]]-Table2[[#This Row],[cost]]</f>
        <v>8024.66</v>
      </c>
    </row>
    <row r="155" spans="1:8" x14ac:dyDescent="0.25">
      <c r="A155" t="s">
        <v>40</v>
      </c>
      <c r="B155" t="s">
        <v>39</v>
      </c>
      <c r="C155" t="s">
        <v>29</v>
      </c>
      <c r="D155" s="1">
        <v>0</v>
      </c>
      <c r="E155" s="2">
        <v>135</v>
      </c>
      <c r="F155" s="43">
        <f>_xlfn.XLOOKUP(Table2[[#This Row],[Product]],products[Product],products[Cost per unit])</f>
        <v>7.16</v>
      </c>
      <c r="G155" s="43">
        <f>Table2[[#This Row],[cost per unit]]*Table2[[#This Row],[Units]]</f>
        <v>966.6</v>
      </c>
      <c r="H155" s="44">
        <f>Table2[[#This Row],[Amount]]-Table2[[#This Row],[cost]]</f>
        <v>-966.6</v>
      </c>
    </row>
    <row r="156" spans="1:8" x14ac:dyDescent="0.25">
      <c r="A156" t="s">
        <v>7</v>
      </c>
      <c r="B156" t="s">
        <v>34</v>
      </c>
      <c r="C156" t="s">
        <v>24</v>
      </c>
      <c r="D156" s="1">
        <v>8862</v>
      </c>
      <c r="E156" s="2">
        <v>189</v>
      </c>
      <c r="F156" s="43">
        <f>_xlfn.XLOOKUP(Table2[[#This Row],[Product]],products[Product],products[Cost per unit])</f>
        <v>4.97</v>
      </c>
      <c r="G156" s="43">
        <f>Table2[[#This Row],[cost per unit]]*Table2[[#This Row],[Units]]</f>
        <v>939.32999999999993</v>
      </c>
      <c r="H156" s="44">
        <f>Table2[[#This Row],[Amount]]-Table2[[#This Row],[cost]]</f>
        <v>7922.67</v>
      </c>
    </row>
    <row r="157" spans="1:8" x14ac:dyDescent="0.25">
      <c r="A157" t="s">
        <v>6</v>
      </c>
      <c r="B157" t="s">
        <v>37</v>
      </c>
      <c r="C157" t="s">
        <v>28</v>
      </c>
      <c r="D157" s="1">
        <v>3556</v>
      </c>
      <c r="E157" s="2">
        <v>459</v>
      </c>
      <c r="F157" s="43">
        <f>_xlfn.XLOOKUP(Table2[[#This Row],[Product]],products[Product],products[Cost per unit])</f>
        <v>10.38</v>
      </c>
      <c r="G157" s="43">
        <f>Table2[[#This Row],[cost per unit]]*Table2[[#This Row],[Units]]</f>
        <v>4764.42</v>
      </c>
      <c r="H157" s="44">
        <f>Table2[[#This Row],[Amount]]-Table2[[#This Row],[cost]]</f>
        <v>-1208.42</v>
      </c>
    </row>
    <row r="158" spans="1:8" x14ac:dyDescent="0.25">
      <c r="A158" t="s">
        <v>5</v>
      </c>
      <c r="B158" t="s">
        <v>34</v>
      </c>
      <c r="C158" t="s">
        <v>15</v>
      </c>
      <c r="D158" s="1">
        <v>7280</v>
      </c>
      <c r="E158" s="2">
        <v>201</v>
      </c>
      <c r="F158" s="43">
        <f>_xlfn.XLOOKUP(Table2[[#This Row],[Product]],products[Product],products[Cost per unit])</f>
        <v>11.73</v>
      </c>
      <c r="G158" s="43">
        <f>Table2[[#This Row],[cost per unit]]*Table2[[#This Row],[Units]]</f>
        <v>2357.73</v>
      </c>
      <c r="H158" s="44">
        <f>Table2[[#This Row],[Amount]]-Table2[[#This Row],[cost]]</f>
        <v>4922.2700000000004</v>
      </c>
    </row>
    <row r="159" spans="1:8" x14ac:dyDescent="0.25">
      <c r="A159" t="s">
        <v>6</v>
      </c>
      <c r="B159" t="s">
        <v>34</v>
      </c>
      <c r="C159" t="s">
        <v>30</v>
      </c>
      <c r="D159" s="1">
        <v>3402</v>
      </c>
      <c r="E159" s="2">
        <v>366</v>
      </c>
      <c r="F159" s="43">
        <f>_xlfn.XLOOKUP(Table2[[#This Row],[Product]],products[Product],products[Cost per unit])</f>
        <v>14.49</v>
      </c>
      <c r="G159" s="43">
        <f>Table2[[#This Row],[cost per unit]]*Table2[[#This Row],[Units]]</f>
        <v>5303.34</v>
      </c>
      <c r="H159" s="44">
        <f>Table2[[#This Row],[Amount]]-Table2[[#This Row],[cost]]</f>
        <v>-1901.3400000000001</v>
      </c>
    </row>
    <row r="160" spans="1:8" x14ac:dyDescent="0.25">
      <c r="A160" t="s">
        <v>3</v>
      </c>
      <c r="B160" t="s">
        <v>37</v>
      </c>
      <c r="C160" t="s">
        <v>29</v>
      </c>
      <c r="D160" s="1">
        <v>4592</v>
      </c>
      <c r="E160" s="2">
        <v>324</v>
      </c>
      <c r="F160" s="43">
        <f>_xlfn.XLOOKUP(Table2[[#This Row],[Product]],products[Product],products[Cost per unit])</f>
        <v>7.16</v>
      </c>
      <c r="G160" s="43">
        <f>Table2[[#This Row],[cost per unit]]*Table2[[#This Row],[Units]]</f>
        <v>2319.84</v>
      </c>
      <c r="H160" s="44">
        <f>Table2[[#This Row],[Amount]]-Table2[[#This Row],[cost]]</f>
        <v>2272.16</v>
      </c>
    </row>
    <row r="161" spans="1:8" x14ac:dyDescent="0.25">
      <c r="A161" t="s">
        <v>9</v>
      </c>
      <c r="B161" t="s">
        <v>35</v>
      </c>
      <c r="C161" t="s">
        <v>15</v>
      </c>
      <c r="D161" s="1">
        <v>7833</v>
      </c>
      <c r="E161" s="2">
        <v>243</v>
      </c>
      <c r="F161" s="43">
        <f>_xlfn.XLOOKUP(Table2[[#This Row],[Product]],products[Product],products[Cost per unit])</f>
        <v>11.73</v>
      </c>
      <c r="G161" s="43">
        <f>Table2[[#This Row],[cost per unit]]*Table2[[#This Row],[Units]]</f>
        <v>2850.3900000000003</v>
      </c>
      <c r="H161" s="44">
        <f>Table2[[#This Row],[Amount]]-Table2[[#This Row],[cost]]</f>
        <v>4982.6099999999997</v>
      </c>
    </row>
    <row r="162" spans="1:8" x14ac:dyDescent="0.25">
      <c r="A162" t="s">
        <v>2</v>
      </c>
      <c r="B162" t="s">
        <v>39</v>
      </c>
      <c r="C162" t="s">
        <v>21</v>
      </c>
      <c r="D162" s="1">
        <v>7651</v>
      </c>
      <c r="E162" s="2">
        <v>213</v>
      </c>
      <c r="F162" s="43">
        <f>_xlfn.XLOOKUP(Table2[[#This Row],[Product]],products[Product],products[Cost per unit])</f>
        <v>9</v>
      </c>
      <c r="G162" s="43">
        <f>Table2[[#This Row],[cost per unit]]*Table2[[#This Row],[Units]]</f>
        <v>1917</v>
      </c>
      <c r="H162" s="44">
        <f>Table2[[#This Row],[Amount]]-Table2[[#This Row],[cost]]</f>
        <v>5734</v>
      </c>
    </row>
    <row r="163" spans="1:8" x14ac:dyDescent="0.25">
      <c r="A163" t="s">
        <v>40</v>
      </c>
      <c r="B163" t="s">
        <v>35</v>
      </c>
      <c r="C163" t="s">
        <v>30</v>
      </c>
      <c r="D163" s="1">
        <v>2275</v>
      </c>
      <c r="E163" s="2">
        <v>447</v>
      </c>
      <c r="F163" s="43">
        <f>_xlfn.XLOOKUP(Table2[[#This Row],[Product]],products[Product],products[Cost per unit])</f>
        <v>14.49</v>
      </c>
      <c r="G163" s="43">
        <f>Table2[[#This Row],[cost per unit]]*Table2[[#This Row],[Units]]</f>
        <v>6477.03</v>
      </c>
      <c r="H163" s="44">
        <f>Table2[[#This Row],[Amount]]-Table2[[#This Row],[cost]]</f>
        <v>-4202.03</v>
      </c>
    </row>
    <row r="164" spans="1:8" x14ac:dyDescent="0.25">
      <c r="A164" t="s">
        <v>40</v>
      </c>
      <c r="B164" t="s">
        <v>38</v>
      </c>
      <c r="C164" t="s">
        <v>13</v>
      </c>
      <c r="D164" s="1">
        <v>5670</v>
      </c>
      <c r="E164" s="2">
        <v>297</v>
      </c>
      <c r="F164" s="43">
        <f>_xlfn.XLOOKUP(Table2[[#This Row],[Product]],products[Product],products[Cost per unit])</f>
        <v>9.33</v>
      </c>
      <c r="G164" s="43">
        <f>Table2[[#This Row],[cost per unit]]*Table2[[#This Row],[Units]]</f>
        <v>2771.01</v>
      </c>
      <c r="H164" s="44">
        <f>Table2[[#This Row],[Amount]]-Table2[[#This Row],[cost]]</f>
        <v>2898.99</v>
      </c>
    </row>
    <row r="165" spans="1:8" x14ac:dyDescent="0.25">
      <c r="A165" t="s">
        <v>7</v>
      </c>
      <c r="B165" t="s">
        <v>35</v>
      </c>
      <c r="C165" t="s">
        <v>16</v>
      </c>
      <c r="D165" s="1">
        <v>2135</v>
      </c>
      <c r="E165" s="2">
        <v>27</v>
      </c>
      <c r="F165" s="43">
        <f>_xlfn.XLOOKUP(Table2[[#This Row],[Product]],products[Product],products[Cost per unit])</f>
        <v>8.7899999999999991</v>
      </c>
      <c r="G165" s="43">
        <f>Table2[[#This Row],[cost per unit]]*Table2[[#This Row],[Units]]</f>
        <v>237.32999999999998</v>
      </c>
      <c r="H165" s="44">
        <f>Table2[[#This Row],[Amount]]-Table2[[#This Row],[cost]]</f>
        <v>1897.67</v>
      </c>
    </row>
    <row r="166" spans="1:8" x14ac:dyDescent="0.25">
      <c r="A166" t="s">
        <v>40</v>
      </c>
      <c r="B166" t="s">
        <v>34</v>
      </c>
      <c r="C166" t="s">
        <v>23</v>
      </c>
      <c r="D166" s="1">
        <v>2779</v>
      </c>
      <c r="E166" s="2">
        <v>75</v>
      </c>
      <c r="F166" s="43">
        <f>_xlfn.XLOOKUP(Table2[[#This Row],[Product]],products[Product],products[Cost per unit])</f>
        <v>6.49</v>
      </c>
      <c r="G166" s="43">
        <f>Table2[[#This Row],[cost per unit]]*Table2[[#This Row],[Units]]</f>
        <v>486.75</v>
      </c>
      <c r="H166" s="44">
        <f>Table2[[#This Row],[Amount]]-Table2[[#This Row],[cost]]</f>
        <v>2292.25</v>
      </c>
    </row>
    <row r="167" spans="1:8" x14ac:dyDescent="0.25">
      <c r="A167" t="s">
        <v>10</v>
      </c>
      <c r="B167" t="s">
        <v>39</v>
      </c>
      <c r="C167" t="s">
        <v>33</v>
      </c>
      <c r="D167" s="1">
        <v>12950</v>
      </c>
      <c r="E167" s="2">
        <v>30</v>
      </c>
      <c r="F167" s="43">
        <f>_xlfn.XLOOKUP(Table2[[#This Row],[Product]],products[Product],products[Cost per unit])</f>
        <v>12.37</v>
      </c>
      <c r="G167" s="43">
        <f>Table2[[#This Row],[cost per unit]]*Table2[[#This Row],[Units]]</f>
        <v>371.09999999999997</v>
      </c>
      <c r="H167" s="44">
        <f>Table2[[#This Row],[Amount]]-Table2[[#This Row],[cost]]</f>
        <v>12578.9</v>
      </c>
    </row>
    <row r="168" spans="1:8" x14ac:dyDescent="0.25">
      <c r="A168" t="s">
        <v>7</v>
      </c>
      <c r="B168" t="s">
        <v>36</v>
      </c>
      <c r="C168" t="s">
        <v>18</v>
      </c>
      <c r="D168" s="1">
        <v>2646</v>
      </c>
      <c r="E168" s="2">
        <v>177</v>
      </c>
      <c r="F168" s="43">
        <f>_xlfn.XLOOKUP(Table2[[#This Row],[Product]],products[Product],products[Cost per unit])</f>
        <v>6.47</v>
      </c>
      <c r="G168" s="43">
        <f>Table2[[#This Row],[cost per unit]]*Table2[[#This Row],[Units]]</f>
        <v>1145.19</v>
      </c>
      <c r="H168" s="44">
        <f>Table2[[#This Row],[Amount]]-Table2[[#This Row],[cost]]</f>
        <v>1500.81</v>
      </c>
    </row>
    <row r="169" spans="1:8" x14ac:dyDescent="0.25">
      <c r="A169" t="s">
        <v>40</v>
      </c>
      <c r="B169" t="s">
        <v>34</v>
      </c>
      <c r="C169" t="s">
        <v>33</v>
      </c>
      <c r="D169" s="1">
        <v>3794</v>
      </c>
      <c r="E169" s="2">
        <v>159</v>
      </c>
      <c r="F169" s="43">
        <f>_xlfn.XLOOKUP(Table2[[#This Row],[Product]],products[Product],products[Cost per unit])</f>
        <v>12.37</v>
      </c>
      <c r="G169" s="43">
        <f>Table2[[#This Row],[cost per unit]]*Table2[[#This Row],[Units]]</f>
        <v>1966.83</v>
      </c>
      <c r="H169" s="44">
        <f>Table2[[#This Row],[Amount]]-Table2[[#This Row],[cost]]</f>
        <v>1827.17</v>
      </c>
    </row>
    <row r="170" spans="1:8" x14ac:dyDescent="0.25">
      <c r="A170" t="s">
        <v>3</v>
      </c>
      <c r="B170" t="s">
        <v>35</v>
      </c>
      <c r="C170" t="s">
        <v>33</v>
      </c>
      <c r="D170" s="1">
        <v>819</v>
      </c>
      <c r="E170" s="2">
        <v>306</v>
      </c>
      <c r="F170" s="43">
        <f>_xlfn.XLOOKUP(Table2[[#This Row],[Product]],products[Product],products[Cost per unit])</f>
        <v>12.37</v>
      </c>
      <c r="G170" s="43">
        <f>Table2[[#This Row],[cost per unit]]*Table2[[#This Row],[Units]]</f>
        <v>3785.22</v>
      </c>
      <c r="H170" s="44">
        <f>Table2[[#This Row],[Amount]]-Table2[[#This Row],[cost]]</f>
        <v>-2966.22</v>
      </c>
    </row>
    <row r="171" spans="1:8" x14ac:dyDescent="0.25">
      <c r="A171" t="s">
        <v>3</v>
      </c>
      <c r="B171" t="s">
        <v>34</v>
      </c>
      <c r="C171" t="s">
        <v>20</v>
      </c>
      <c r="D171" s="1">
        <v>2583</v>
      </c>
      <c r="E171" s="2">
        <v>18</v>
      </c>
      <c r="F171" s="43">
        <f>_xlfn.XLOOKUP(Table2[[#This Row],[Product]],products[Product],products[Cost per unit])</f>
        <v>10.62</v>
      </c>
      <c r="G171" s="43">
        <f>Table2[[#This Row],[cost per unit]]*Table2[[#This Row],[Units]]</f>
        <v>191.16</v>
      </c>
      <c r="H171" s="44">
        <f>Table2[[#This Row],[Amount]]-Table2[[#This Row],[cost]]</f>
        <v>2391.84</v>
      </c>
    </row>
    <row r="172" spans="1:8" x14ac:dyDescent="0.25">
      <c r="A172" t="s">
        <v>7</v>
      </c>
      <c r="B172" t="s">
        <v>35</v>
      </c>
      <c r="C172" t="s">
        <v>19</v>
      </c>
      <c r="D172" s="1">
        <v>4585</v>
      </c>
      <c r="E172" s="2">
        <v>240</v>
      </c>
      <c r="F172" s="43">
        <f>_xlfn.XLOOKUP(Table2[[#This Row],[Product]],products[Product],products[Cost per unit])</f>
        <v>7.64</v>
      </c>
      <c r="G172" s="43">
        <f>Table2[[#This Row],[cost per unit]]*Table2[[#This Row],[Units]]</f>
        <v>1833.6</v>
      </c>
      <c r="H172" s="44">
        <f>Table2[[#This Row],[Amount]]-Table2[[#This Row],[cost]]</f>
        <v>2751.4</v>
      </c>
    </row>
    <row r="173" spans="1:8" x14ac:dyDescent="0.25">
      <c r="A173" t="s">
        <v>5</v>
      </c>
      <c r="B173" t="s">
        <v>34</v>
      </c>
      <c r="C173" t="s">
        <v>33</v>
      </c>
      <c r="D173" s="1">
        <v>1652</v>
      </c>
      <c r="E173" s="2">
        <v>93</v>
      </c>
      <c r="F173" s="43">
        <f>_xlfn.XLOOKUP(Table2[[#This Row],[Product]],products[Product],products[Cost per unit])</f>
        <v>12.37</v>
      </c>
      <c r="G173" s="43">
        <f>Table2[[#This Row],[cost per unit]]*Table2[[#This Row],[Units]]</f>
        <v>1150.4099999999999</v>
      </c>
      <c r="H173" s="44">
        <f>Table2[[#This Row],[Amount]]-Table2[[#This Row],[cost]]</f>
        <v>501.59000000000015</v>
      </c>
    </row>
    <row r="174" spans="1:8" x14ac:dyDescent="0.25">
      <c r="A174" t="s">
        <v>10</v>
      </c>
      <c r="B174" t="s">
        <v>34</v>
      </c>
      <c r="C174" t="s">
        <v>26</v>
      </c>
      <c r="D174" s="1">
        <v>4991</v>
      </c>
      <c r="E174" s="2">
        <v>9</v>
      </c>
      <c r="F174" s="43">
        <f>_xlfn.XLOOKUP(Table2[[#This Row],[Product]],products[Product],products[Cost per unit])</f>
        <v>5.6</v>
      </c>
      <c r="G174" s="43">
        <f>Table2[[#This Row],[cost per unit]]*Table2[[#This Row],[Units]]</f>
        <v>50.4</v>
      </c>
      <c r="H174" s="44">
        <f>Table2[[#This Row],[Amount]]-Table2[[#This Row],[cost]]</f>
        <v>4940.6000000000004</v>
      </c>
    </row>
    <row r="175" spans="1:8" x14ac:dyDescent="0.25">
      <c r="A175" t="s">
        <v>8</v>
      </c>
      <c r="B175" t="s">
        <v>34</v>
      </c>
      <c r="C175" t="s">
        <v>16</v>
      </c>
      <c r="D175" s="1">
        <v>2009</v>
      </c>
      <c r="E175" s="2">
        <v>219</v>
      </c>
      <c r="F175" s="43">
        <f>_xlfn.XLOOKUP(Table2[[#This Row],[Product]],products[Product],products[Cost per unit])</f>
        <v>8.7899999999999991</v>
      </c>
      <c r="G175" s="43">
        <f>Table2[[#This Row],[cost per unit]]*Table2[[#This Row],[Units]]</f>
        <v>1925.0099999999998</v>
      </c>
      <c r="H175" s="44">
        <f>Table2[[#This Row],[Amount]]-Table2[[#This Row],[cost]]</f>
        <v>83.990000000000236</v>
      </c>
    </row>
    <row r="176" spans="1:8" x14ac:dyDescent="0.25">
      <c r="A176" t="s">
        <v>2</v>
      </c>
      <c r="B176" t="s">
        <v>39</v>
      </c>
      <c r="C176" t="s">
        <v>22</v>
      </c>
      <c r="D176" s="1">
        <v>1568</v>
      </c>
      <c r="E176" s="2">
        <v>141</v>
      </c>
      <c r="F176" s="43">
        <f>_xlfn.XLOOKUP(Table2[[#This Row],[Product]],products[Product],products[Cost per unit])</f>
        <v>9.77</v>
      </c>
      <c r="G176" s="43">
        <f>Table2[[#This Row],[cost per unit]]*Table2[[#This Row],[Units]]</f>
        <v>1377.57</v>
      </c>
      <c r="H176" s="44">
        <f>Table2[[#This Row],[Amount]]-Table2[[#This Row],[cost]]</f>
        <v>190.43000000000006</v>
      </c>
    </row>
    <row r="177" spans="1:8" x14ac:dyDescent="0.25">
      <c r="A177" t="s">
        <v>41</v>
      </c>
      <c r="B177" t="s">
        <v>37</v>
      </c>
      <c r="C177" t="s">
        <v>20</v>
      </c>
      <c r="D177" s="1">
        <v>3388</v>
      </c>
      <c r="E177" s="2">
        <v>123</v>
      </c>
      <c r="F177" s="43">
        <f>_xlfn.XLOOKUP(Table2[[#This Row],[Product]],products[Product],products[Cost per unit])</f>
        <v>10.62</v>
      </c>
      <c r="G177" s="43">
        <f>Table2[[#This Row],[cost per unit]]*Table2[[#This Row],[Units]]</f>
        <v>1306.26</v>
      </c>
      <c r="H177" s="44">
        <f>Table2[[#This Row],[Amount]]-Table2[[#This Row],[cost]]</f>
        <v>2081.7399999999998</v>
      </c>
    </row>
    <row r="178" spans="1:8" x14ac:dyDescent="0.25">
      <c r="A178" t="s">
        <v>40</v>
      </c>
      <c r="B178" t="s">
        <v>38</v>
      </c>
      <c r="C178" t="s">
        <v>24</v>
      </c>
      <c r="D178" s="1">
        <v>623</v>
      </c>
      <c r="E178" s="2">
        <v>51</v>
      </c>
      <c r="F178" s="43">
        <f>_xlfn.XLOOKUP(Table2[[#This Row],[Product]],products[Product],products[Cost per unit])</f>
        <v>4.97</v>
      </c>
      <c r="G178" s="43">
        <f>Table2[[#This Row],[cost per unit]]*Table2[[#This Row],[Units]]</f>
        <v>253.47</v>
      </c>
      <c r="H178" s="44">
        <f>Table2[[#This Row],[Amount]]-Table2[[#This Row],[cost]]</f>
        <v>369.53</v>
      </c>
    </row>
    <row r="179" spans="1:8" x14ac:dyDescent="0.25">
      <c r="A179" t="s">
        <v>6</v>
      </c>
      <c r="B179" t="s">
        <v>36</v>
      </c>
      <c r="C179" t="s">
        <v>4</v>
      </c>
      <c r="D179" s="1">
        <v>10073</v>
      </c>
      <c r="E179" s="2">
        <v>120</v>
      </c>
      <c r="F179" s="43">
        <f>_xlfn.XLOOKUP(Table2[[#This Row],[Product]],products[Product],products[Cost per unit])</f>
        <v>11.88</v>
      </c>
      <c r="G179" s="43">
        <f>Table2[[#This Row],[cost per unit]]*Table2[[#This Row],[Units]]</f>
        <v>1425.6000000000001</v>
      </c>
      <c r="H179" s="44">
        <f>Table2[[#This Row],[Amount]]-Table2[[#This Row],[cost]]</f>
        <v>8647.4</v>
      </c>
    </row>
    <row r="180" spans="1:8" x14ac:dyDescent="0.25">
      <c r="A180" t="s">
        <v>8</v>
      </c>
      <c r="B180" t="s">
        <v>39</v>
      </c>
      <c r="C180" t="s">
        <v>26</v>
      </c>
      <c r="D180" s="1">
        <v>1561</v>
      </c>
      <c r="E180" s="2">
        <v>27</v>
      </c>
      <c r="F180" s="43">
        <f>_xlfn.XLOOKUP(Table2[[#This Row],[Product]],products[Product],products[Cost per unit])</f>
        <v>5.6</v>
      </c>
      <c r="G180" s="43">
        <f>Table2[[#This Row],[cost per unit]]*Table2[[#This Row],[Units]]</f>
        <v>151.19999999999999</v>
      </c>
      <c r="H180" s="44">
        <f>Table2[[#This Row],[Amount]]-Table2[[#This Row],[cost]]</f>
        <v>1409.8</v>
      </c>
    </row>
    <row r="181" spans="1:8" x14ac:dyDescent="0.25">
      <c r="A181" t="s">
        <v>9</v>
      </c>
      <c r="B181" t="s">
        <v>36</v>
      </c>
      <c r="C181" t="s">
        <v>27</v>
      </c>
      <c r="D181" s="1">
        <v>11522</v>
      </c>
      <c r="E181" s="2">
        <v>204</v>
      </c>
      <c r="F181" s="43">
        <f>_xlfn.XLOOKUP(Table2[[#This Row],[Product]],products[Product],products[Cost per unit])</f>
        <v>16.73</v>
      </c>
      <c r="G181" s="43">
        <f>Table2[[#This Row],[cost per unit]]*Table2[[#This Row],[Units]]</f>
        <v>3412.92</v>
      </c>
      <c r="H181" s="44">
        <f>Table2[[#This Row],[Amount]]-Table2[[#This Row],[cost]]</f>
        <v>8109.08</v>
      </c>
    </row>
    <row r="182" spans="1:8" x14ac:dyDescent="0.25">
      <c r="A182" t="s">
        <v>6</v>
      </c>
      <c r="B182" t="s">
        <v>38</v>
      </c>
      <c r="C182" t="s">
        <v>13</v>
      </c>
      <c r="D182" s="1">
        <v>2317</v>
      </c>
      <c r="E182" s="2">
        <v>123</v>
      </c>
      <c r="F182" s="43">
        <f>_xlfn.XLOOKUP(Table2[[#This Row],[Product]],products[Product],products[Cost per unit])</f>
        <v>9.33</v>
      </c>
      <c r="G182" s="43">
        <f>Table2[[#This Row],[cost per unit]]*Table2[[#This Row],[Units]]</f>
        <v>1147.5899999999999</v>
      </c>
      <c r="H182" s="44">
        <f>Table2[[#This Row],[Amount]]-Table2[[#This Row],[cost]]</f>
        <v>1169.4100000000001</v>
      </c>
    </row>
    <row r="183" spans="1:8" x14ac:dyDescent="0.25">
      <c r="A183" t="s">
        <v>10</v>
      </c>
      <c r="B183" t="s">
        <v>37</v>
      </c>
      <c r="C183" t="s">
        <v>28</v>
      </c>
      <c r="D183" s="1">
        <v>3059</v>
      </c>
      <c r="E183" s="2">
        <v>27</v>
      </c>
      <c r="F183" s="43">
        <f>_xlfn.XLOOKUP(Table2[[#This Row],[Product]],products[Product],products[Cost per unit])</f>
        <v>10.38</v>
      </c>
      <c r="G183" s="43">
        <f>Table2[[#This Row],[cost per unit]]*Table2[[#This Row],[Units]]</f>
        <v>280.26000000000005</v>
      </c>
      <c r="H183" s="44">
        <f>Table2[[#This Row],[Amount]]-Table2[[#This Row],[cost]]</f>
        <v>2778.74</v>
      </c>
    </row>
    <row r="184" spans="1:8" x14ac:dyDescent="0.25">
      <c r="A184" t="s">
        <v>41</v>
      </c>
      <c r="B184" t="s">
        <v>37</v>
      </c>
      <c r="C184" t="s">
        <v>26</v>
      </c>
      <c r="D184" s="1">
        <v>2324</v>
      </c>
      <c r="E184" s="2">
        <v>177</v>
      </c>
      <c r="F184" s="43">
        <f>_xlfn.XLOOKUP(Table2[[#This Row],[Product]],products[Product],products[Cost per unit])</f>
        <v>5.6</v>
      </c>
      <c r="G184" s="43">
        <f>Table2[[#This Row],[cost per unit]]*Table2[[#This Row],[Units]]</f>
        <v>991.19999999999993</v>
      </c>
      <c r="H184" s="44">
        <f>Table2[[#This Row],[Amount]]-Table2[[#This Row],[cost]]</f>
        <v>1332.8000000000002</v>
      </c>
    </row>
    <row r="185" spans="1:8" x14ac:dyDescent="0.25">
      <c r="A185" t="s">
        <v>3</v>
      </c>
      <c r="B185" t="s">
        <v>39</v>
      </c>
      <c r="C185" t="s">
        <v>26</v>
      </c>
      <c r="D185" s="1">
        <v>4956</v>
      </c>
      <c r="E185" s="2">
        <v>171</v>
      </c>
      <c r="F185" s="43">
        <f>_xlfn.XLOOKUP(Table2[[#This Row],[Product]],products[Product],products[Cost per unit])</f>
        <v>5.6</v>
      </c>
      <c r="G185" s="43">
        <f>Table2[[#This Row],[cost per unit]]*Table2[[#This Row],[Units]]</f>
        <v>957.59999999999991</v>
      </c>
      <c r="H185" s="44">
        <f>Table2[[#This Row],[Amount]]-Table2[[#This Row],[cost]]</f>
        <v>3998.4</v>
      </c>
    </row>
    <row r="186" spans="1:8" x14ac:dyDescent="0.25">
      <c r="A186" t="s">
        <v>10</v>
      </c>
      <c r="B186" t="s">
        <v>34</v>
      </c>
      <c r="C186" t="s">
        <v>19</v>
      </c>
      <c r="D186" s="1">
        <v>5355</v>
      </c>
      <c r="E186" s="2">
        <v>204</v>
      </c>
      <c r="F186" s="43">
        <f>_xlfn.XLOOKUP(Table2[[#This Row],[Product]],products[Product],products[Cost per unit])</f>
        <v>7.64</v>
      </c>
      <c r="G186" s="43">
        <f>Table2[[#This Row],[cost per unit]]*Table2[[#This Row],[Units]]</f>
        <v>1558.56</v>
      </c>
      <c r="H186" s="44">
        <f>Table2[[#This Row],[Amount]]-Table2[[#This Row],[cost]]</f>
        <v>3796.44</v>
      </c>
    </row>
    <row r="187" spans="1:8" x14ac:dyDescent="0.25">
      <c r="A187" t="s">
        <v>3</v>
      </c>
      <c r="B187" t="s">
        <v>34</v>
      </c>
      <c r="C187" t="s">
        <v>14</v>
      </c>
      <c r="D187" s="1">
        <v>7259</v>
      </c>
      <c r="E187" s="2">
        <v>276</v>
      </c>
      <c r="F187" s="43">
        <f>_xlfn.XLOOKUP(Table2[[#This Row],[Product]],products[Product],products[Cost per unit])</f>
        <v>11.7</v>
      </c>
      <c r="G187" s="43">
        <f>Table2[[#This Row],[cost per unit]]*Table2[[#This Row],[Units]]</f>
        <v>3229.2</v>
      </c>
      <c r="H187" s="44">
        <f>Table2[[#This Row],[Amount]]-Table2[[#This Row],[cost]]</f>
        <v>4029.8</v>
      </c>
    </row>
    <row r="188" spans="1:8" x14ac:dyDescent="0.25">
      <c r="A188" t="s">
        <v>8</v>
      </c>
      <c r="B188" t="s">
        <v>37</v>
      </c>
      <c r="C188" t="s">
        <v>26</v>
      </c>
      <c r="D188" s="1">
        <v>6279</v>
      </c>
      <c r="E188" s="2">
        <v>45</v>
      </c>
      <c r="F188" s="43">
        <f>_xlfn.XLOOKUP(Table2[[#This Row],[Product]],products[Product],products[Cost per unit])</f>
        <v>5.6</v>
      </c>
      <c r="G188" s="43">
        <f>Table2[[#This Row],[cost per unit]]*Table2[[#This Row],[Units]]</f>
        <v>251.99999999999997</v>
      </c>
      <c r="H188" s="44">
        <f>Table2[[#This Row],[Amount]]-Table2[[#This Row],[cost]]</f>
        <v>6027</v>
      </c>
    </row>
    <row r="189" spans="1:8" x14ac:dyDescent="0.25">
      <c r="A189" t="s">
        <v>40</v>
      </c>
      <c r="B189" t="s">
        <v>38</v>
      </c>
      <c r="C189" t="s">
        <v>29</v>
      </c>
      <c r="D189" s="1">
        <v>2541</v>
      </c>
      <c r="E189" s="2">
        <v>45</v>
      </c>
      <c r="F189" s="43">
        <f>_xlfn.XLOOKUP(Table2[[#This Row],[Product]],products[Product],products[Cost per unit])</f>
        <v>7.16</v>
      </c>
      <c r="G189" s="43">
        <f>Table2[[#This Row],[cost per unit]]*Table2[[#This Row],[Units]]</f>
        <v>322.2</v>
      </c>
      <c r="H189" s="44">
        <f>Table2[[#This Row],[Amount]]-Table2[[#This Row],[cost]]</f>
        <v>2218.8000000000002</v>
      </c>
    </row>
    <row r="190" spans="1:8" x14ac:dyDescent="0.25">
      <c r="A190" t="s">
        <v>6</v>
      </c>
      <c r="B190" t="s">
        <v>35</v>
      </c>
      <c r="C190" t="s">
        <v>27</v>
      </c>
      <c r="D190" s="1">
        <v>3864</v>
      </c>
      <c r="E190" s="2">
        <v>177</v>
      </c>
      <c r="F190" s="43">
        <f>_xlfn.XLOOKUP(Table2[[#This Row],[Product]],products[Product],products[Cost per unit])</f>
        <v>16.73</v>
      </c>
      <c r="G190" s="43">
        <f>Table2[[#This Row],[cost per unit]]*Table2[[#This Row],[Units]]</f>
        <v>2961.21</v>
      </c>
      <c r="H190" s="44">
        <f>Table2[[#This Row],[Amount]]-Table2[[#This Row],[cost]]</f>
        <v>902.79</v>
      </c>
    </row>
    <row r="191" spans="1:8" x14ac:dyDescent="0.25">
      <c r="A191" t="s">
        <v>5</v>
      </c>
      <c r="B191" t="s">
        <v>36</v>
      </c>
      <c r="C191" t="s">
        <v>13</v>
      </c>
      <c r="D191" s="1">
        <v>6146</v>
      </c>
      <c r="E191" s="2">
        <v>63</v>
      </c>
      <c r="F191" s="43">
        <f>_xlfn.XLOOKUP(Table2[[#This Row],[Product]],products[Product],products[Cost per unit])</f>
        <v>9.33</v>
      </c>
      <c r="G191" s="43">
        <f>Table2[[#This Row],[cost per unit]]*Table2[[#This Row],[Units]]</f>
        <v>587.79</v>
      </c>
      <c r="H191" s="44">
        <f>Table2[[#This Row],[Amount]]-Table2[[#This Row],[cost]]</f>
        <v>5558.21</v>
      </c>
    </row>
    <row r="192" spans="1:8" x14ac:dyDescent="0.25">
      <c r="A192" t="s">
        <v>9</v>
      </c>
      <c r="B192" t="s">
        <v>39</v>
      </c>
      <c r="C192" t="s">
        <v>18</v>
      </c>
      <c r="D192" s="1">
        <v>2639</v>
      </c>
      <c r="E192" s="2">
        <v>204</v>
      </c>
      <c r="F192" s="43">
        <f>_xlfn.XLOOKUP(Table2[[#This Row],[Product]],products[Product],products[Cost per unit])</f>
        <v>6.47</v>
      </c>
      <c r="G192" s="43">
        <f>Table2[[#This Row],[cost per unit]]*Table2[[#This Row],[Units]]</f>
        <v>1319.8799999999999</v>
      </c>
      <c r="H192" s="44">
        <f>Table2[[#This Row],[Amount]]-Table2[[#This Row],[cost]]</f>
        <v>1319.1200000000001</v>
      </c>
    </row>
    <row r="193" spans="1:8" x14ac:dyDescent="0.25">
      <c r="A193" t="s">
        <v>8</v>
      </c>
      <c r="B193" t="s">
        <v>37</v>
      </c>
      <c r="C193" t="s">
        <v>22</v>
      </c>
      <c r="D193" s="1">
        <v>1890</v>
      </c>
      <c r="E193" s="2">
        <v>195</v>
      </c>
      <c r="F193" s="43">
        <f>_xlfn.XLOOKUP(Table2[[#This Row],[Product]],products[Product],products[Cost per unit])</f>
        <v>9.77</v>
      </c>
      <c r="G193" s="43">
        <f>Table2[[#This Row],[cost per unit]]*Table2[[#This Row],[Units]]</f>
        <v>1905.1499999999999</v>
      </c>
      <c r="H193" s="44">
        <f>Table2[[#This Row],[Amount]]-Table2[[#This Row],[cost]]</f>
        <v>-15.149999999999864</v>
      </c>
    </row>
    <row r="194" spans="1:8" x14ac:dyDescent="0.25">
      <c r="A194" t="s">
        <v>7</v>
      </c>
      <c r="B194" t="s">
        <v>34</v>
      </c>
      <c r="C194" t="s">
        <v>14</v>
      </c>
      <c r="D194" s="1">
        <v>1932</v>
      </c>
      <c r="E194" s="2">
        <v>369</v>
      </c>
      <c r="F194" s="43">
        <f>_xlfn.XLOOKUP(Table2[[#This Row],[Product]],products[Product],products[Cost per unit])</f>
        <v>11.7</v>
      </c>
      <c r="G194" s="43">
        <f>Table2[[#This Row],[cost per unit]]*Table2[[#This Row],[Units]]</f>
        <v>4317.3</v>
      </c>
      <c r="H194" s="44">
        <f>Table2[[#This Row],[Amount]]-Table2[[#This Row],[cost]]</f>
        <v>-2385.3000000000002</v>
      </c>
    </row>
    <row r="195" spans="1:8" x14ac:dyDescent="0.25">
      <c r="A195" t="s">
        <v>3</v>
      </c>
      <c r="B195" t="s">
        <v>34</v>
      </c>
      <c r="C195" t="s">
        <v>25</v>
      </c>
      <c r="D195" s="1">
        <v>6300</v>
      </c>
      <c r="E195" s="2">
        <v>42</v>
      </c>
      <c r="F195" s="43">
        <f>_xlfn.XLOOKUP(Table2[[#This Row],[Product]],products[Product],products[Cost per unit])</f>
        <v>13.15</v>
      </c>
      <c r="G195" s="43">
        <f>Table2[[#This Row],[cost per unit]]*Table2[[#This Row],[Units]]</f>
        <v>552.30000000000007</v>
      </c>
      <c r="H195" s="44">
        <f>Table2[[#This Row],[Amount]]-Table2[[#This Row],[cost]]</f>
        <v>5747.7</v>
      </c>
    </row>
    <row r="196" spans="1:8" x14ac:dyDescent="0.25">
      <c r="A196" t="s">
        <v>6</v>
      </c>
      <c r="B196" t="s">
        <v>37</v>
      </c>
      <c r="C196" t="s">
        <v>30</v>
      </c>
      <c r="D196" s="1">
        <v>560</v>
      </c>
      <c r="E196" s="2">
        <v>81</v>
      </c>
      <c r="F196" s="43">
        <f>_xlfn.XLOOKUP(Table2[[#This Row],[Product]],products[Product],products[Cost per unit])</f>
        <v>14.49</v>
      </c>
      <c r="G196" s="43">
        <f>Table2[[#This Row],[cost per unit]]*Table2[[#This Row],[Units]]</f>
        <v>1173.69</v>
      </c>
      <c r="H196" s="44">
        <f>Table2[[#This Row],[Amount]]-Table2[[#This Row],[cost]]</f>
        <v>-613.69000000000005</v>
      </c>
    </row>
    <row r="197" spans="1:8" x14ac:dyDescent="0.25">
      <c r="A197" t="s">
        <v>9</v>
      </c>
      <c r="B197" t="s">
        <v>37</v>
      </c>
      <c r="C197" t="s">
        <v>26</v>
      </c>
      <c r="D197" s="1">
        <v>2856</v>
      </c>
      <c r="E197" s="2">
        <v>246</v>
      </c>
      <c r="F197" s="43">
        <f>_xlfn.XLOOKUP(Table2[[#This Row],[Product]],products[Product],products[Cost per unit])</f>
        <v>5.6</v>
      </c>
      <c r="G197" s="43">
        <f>Table2[[#This Row],[cost per unit]]*Table2[[#This Row],[Units]]</f>
        <v>1377.6</v>
      </c>
      <c r="H197" s="44">
        <f>Table2[[#This Row],[Amount]]-Table2[[#This Row],[cost]]</f>
        <v>1478.4</v>
      </c>
    </row>
    <row r="198" spans="1:8" x14ac:dyDescent="0.25">
      <c r="A198" t="s">
        <v>9</v>
      </c>
      <c r="B198" t="s">
        <v>34</v>
      </c>
      <c r="C198" t="s">
        <v>17</v>
      </c>
      <c r="D198" s="1">
        <v>707</v>
      </c>
      <c r="E198" s="2">
        <v>174</v>
      </c>
      <c r="F198" s="43">
        <f>_xlfn.XLOOKUP(Table2[[#This Row],[Product]],products[Product],products[Cost per unit])</f>
        <v>3.11</v>
      </c>
      <c r="G198" s="43">
        <f>Table2[[#This Row],[cost per unit]]*Table2[[#This Row],[Units]]</f>
        <v>541.14</v>
      </c>
      <c r="H198" s="44">
        <f>Table2[[#This Row],[Amount]]-Table2[[#This Row],[cost]]</f>
        <v>165.86</v>
      </c>
    </row>
    <row r="199" spans="1:8" x14ac:dyDescent="0.25">
      <c r="A199" t="s">
        <v>8</v>
      </c>
      <c r="B199" t="s">
        <v>35</v>
      </c>
      <c r="C199" t="s">
        <v>30</v>
      </c>
      <c r="D199" s="1">
        <v>3598</v>
      </c>
      <c r="E199" s="2">
        <v>81</v>
      </c>
      <c r="F199" s="43">
        <f>_xlfn.XLOOKUP(Table2[[#This Row],[Product]],products[Product],products[Cost per unit])</f>
        <v>14.49</v>
      </c>
      <c r="G199" s="43">
        <f>Table2[[#This Row],[cost per unit]]*Table2[[#This Row],[Units]]</f>
        <v>1173.69</v>
      </c>
      <c r="H199" s="44">
        <f>Table2[[#This Row],[Amount]]-Table2[[#This Row],[cost]]</f>
        <v>2424.31</v>
      </c>
    </row>
    <row r="200" spans="1:8" x14ac:dyDescent="0.25">
      <c r="A200" t="s">
        <v>40</v>
      </c>
      <c r="B200" t="s">
        <v>35</v>
      </c>
      <c r="C200" t="s">
        <v>22</v>
      </c>
      <c r="D200" s="1">
        <v>6853</v>
      </c>
      <c r="E200" s="2">
        <v>372</v>
      </c>
      <c r="F200" s="43">
        <f>_xlfn.XLOOKUP(Table2[[#This Row],[Product]],products[Product],products[Cost per unit])</f>
        <v>9.77</v>
      </c>
      <c r="G200" s="43">
        <f>Table2[[#This Row],[cost per unit]]*Table2[[#This Row],[Units]]</f>
        <v>3634.44</v>
      </c>
      <c r="H200" s="44">
        <f>Table2[[#This Row],[Amount]]-Table2[[#This Row],[cost]]</f>
        <v>3218.56</v>
      </c>
    </row>
    <row r="201" spans="1:8" x14ac:dyDescent="0.25">
      <c r="A201" t="s">
        <v>40</v>
      </c>
      <c r="B201" t="s">
        <v>35</v>
      </c>
      <c r="C201" t="s">
        <v>16</v>
      </c>
      <c r="D201" s="1">
        <v>4725</v>
      </c>
      <c r="E201" s="2">
        <v>174</v>
      </c>
      <c r="F201" s="43">
        <f>_xlfn.XLOOKUP(Table2[[#This Row],[Product]],products[Product],products[Cost per unit])</f>
        <v>8.7899999999999991</v>
      </c>
      <c r="G201" s="43">
        <f>Table2[[#This Row],[cost per unit]]*Table2[[#This Row],[Units]]</f>
        <v>1529.4599999999998</v>
      </c>
      <c r="H201" s="44">
        <f>Table2[[#This Row],[Amount]]-Table2[[#This Row],[cost]]</f>
        <v>3195.54</v>
      </c>
    </row>
    <row r="202" spans="1:8" x14ac:dyDescent="0.25">
      <c r="A202" t="s">
        <v>41</v>
      </c>
      <c r="B202" t="s">
        <v>36</v>
      </c>
      <c r="C202" t="s">
        <v>32</v>
      </c>
      <c r="D202" s="1">
        <v>10304</v>
      </c>
      <c r="E202" s="2">
        <v>84</v>
      </c>
      <c r="F202" s="43">
        <f>_xlfn.XLOOKUP(Table2[[#This Row],[Product]],products[Product],products[Cost per unit])</f>
        <v>8.65</v>
      </c>
      <c r="G202" s="43">
        <f>Table2[[#This Row],[cost per unit]]*Table2[[#This Row],[Units]]</f>
        <v>726.6</v>
      </c>
      <c r="H202" s="44">
        <f>Table2[[#This Row],[Amount]]-Table2[[#This Row],[cost]]</f>
        <v>9577.4</v>
      </c>
    </row>
    <row r="203" spans="1:8" x14ac:dyDescent="0.25">
      <c r="A203" t="s">
        <v>41</v>
      </c>
      <c r="B203" t="s">
        <v>34</v>
      </c>
      <c r="C203" t="s">
        <v>16</v>
      </c>
      <c r="D203" s="1">
        <v>1274</v>
      </c>
      <c r="E203" s="2">
        <v>225</v>
      </c>
      <c r="F203" s="43">
        <f>_xlfn.XLOOKUP(Table2[[#This Row],[Product]],products[Product],products[Cost per unit])</f>
        <v>8.7899999999999991</v>
      </c>
      <c r="G203" s="43">
        <f>Table2[[#This Row],[cost per unit]]*Table2[[#This Row],[Units]]</f>
        <v>1977.7499999999998</v>
      </c>
      <c r="H203" s="44">
        <f>Table2[[#This Row],[Amount]]-Table2[[#This Row],[cost]]</f>
        <v>-703.74999999999977</v>
      </c>
    </row>
    <row r="204" spans="1:8" x14ac:dyDescent="0.25">
      <c r="A204" t="s">
        <v>5</v>
      </c>
      <c r="B204" t="s">
        <v>36</v>
      </c>
      <c r="C204" t="s">
        <v>30</v>
      </c>
      <c r="D204" s="1">
        <v>1526</v>
      </c>
      <c r="E204" s="2">
        <v>105</v>
      </c>
      <c r="F204" s="43">
        <f>_xlfn.XLOOKUP(Table2[[#This Row],[Product]],products[Product],products[Cost per unit])</f>
        <v>14.49</v>
      </c>
      <c r="G204" s="43">
        <f>Table2[[#This Row],[cost per unit]]*Table2[[#This Row],[Units]]</f>
        <v>1521.45</v>
      </c>
      <c r="H204" s="44">
        <f>Table2[[#This Row],[Amount]]-Table2[[#This Row],[cost]]</f>
        <v>4.5499999999999545</v>
      </c>
    </row>
    <row r="205" spans="1:8" x14ac:dyDescent="0.25">
      <c r="A205" t="s">
        <v>40</v>
      </c>
      <c r="B205" t="s">
        <v>39</v>
      </c>
      <c r="C205" t="s">
        <v>28</v>
      </c>
      <c r="D205" s="1">
        <v>3101</v>
      </c>
      <c r="E205" s="2">
        <v>225</v>
      </c>
      <c r="F205" s="43">
        <f>_xlfn.XLOOKUP(Table2[[#This Row],[Product]],products[Product],products[Cost per unit])</f>
        <v>10.38</v>
      </c>
      <c r="G205" s="43">
        <f>Table2[[#This Row],[cost per unit]]*Table2[[#This Row],[Units]]</f>
        <v>2335.5</v>
      </c>
      <c r="H205" s="44">
        <f>Table2[[#This Row],[Amount]]-Table2[[#This Row],[cost]]</f>
        <v>765.5</v>
      </c>
    </row>
    <row r="206" spans="1:8" x14ac:dyDescent="0.25">
      <c r="A206" t="s">
        <v>2</v>
      </c>
      <c r="B206" t="s">
        <v>37</v>
      </c>
      <c r="C206" t="s">
        <v>14</v>
      </c>
      <c r="D206" s="1">
        <v>1057</v>
      </c>
      <c r="E206" s="2">
        <v>54</v>
      </c>
      <c r="F206" s="43">
        <f>_xlfn.XLOOKUP(Table2[[#This Row],[Product]],products[Product],products[Cost per unit])</f>
        <v>11.7</v>
      </c>
      <c r="G206" s="43">
        <f>Table2[[#This Row],[cost per unit]]*Table2[[#This Row],[Units]]</f>
        <v>631.79999999999995</v>
      </c>
      <c r="H206" s="44">
        <f>Table2[[#This Row],[Amount]]-Table2[[#This Row],[cost]]</f>
        <v>425.20000000000005</v>
      </c>
    </row>
    <row r="207" spans="1:8" x14ac:dyDescent="0.25">
      <c r="A207" t="s">
        <v>7</v>
      </c>
      <c r="B207" t="s">
        <v>37</v>
      </c>
      <c r="C207" t="s">
        <v>26</v>
      </c>
      <c r="D207" s="1">
        <v>5306</v>
      </c>
      <c r="E207" s="2">
        <v>0</v>
      </c>
      <c r="F207" s="43">
        <f>_xlfn.XLOOKUP(Table2[[#This Row],[Product]],products[Product],products[Cost per unit])</f>
        <v>5.6</v>
      </c>
      <c r="G207" s="43">
        <f>Table2[[#This Row],[cost per unit]]*Table2[[#This Row],[Units]]</f>
        <v>0</v>
      </c>
      <c r="H207" s="44">
        <f>Table2[[#This Row],[Amount]]-Table2[[#This Row],[cost]]</f>
        <v>5306</v>
      </c>
    </row>
    <row r="208" spans="1:8" x14ac:dyDescent="0.25">
      <c r="A208" t="s">
        <v>5</v>
      </c>
      <c r="B208" t="s">
        <v>39</v>
      </c>
      <c r="C208" t="s">
        <v>24</v>
      </c>
      <c r="D208" s="1">
        <v>4018</v>
      </c>
      <c r="E208" s="2">
        <v>171</v>
      </c>
      <c r="F208" s="43">
        <f>_xlfn.XLOOKUP(Table2[[#This Row],[Product]],products[Product],products[Cost per unit])</f>
        <v>4.97</v>
      </c>
      <c r="G208" s="43">
        <f>Table2[[#This Row],[cost per unit]]*Table2[[#This Row],[Units]]</f>
        <v>849.87</v>
      </c>
      <c r="H208" s="44">
        <f>Table2[[#This Row],[Amount]]-Table2[[#This Row],[cost]]</f>
        <v>3168.13</v>
      </c>
    </row>
    <row r="209" spans="1:8" x14ac:dyDescent="0.25">
      <c r="A209" t="s">
        <v>9</v>
      </c>
      <c r="B209" t="s">
        <v>34</v>
      </c>
      <c r="C209" t="s">
        <v>16</v>
      </c>
      <c r="D209" s="1">
        <v>938</v>
      </c>
      <c r="E209" s="2">
        <v>189</v>
      </c>
      <c r="F209" s="43">
        <f>_xlfn.XLOOKUP(Table2[[#This Row],[Product]],products[Product],products[Cost per unit])</f>
        <v>8.7899999999999991</v>
      </c>
      <c r="G209" s="43">
        <f>Table2[[#This Row],[cost per unit]]*Table2[[#This Row],[Units]]</f>
        <v>1661.31</v>
      </c>
      <c r="H209" s="44">
        <f>Table2[[#This Row],[Amount]]-Table2[[#This Row],[cost]]</f>
        <v>-723.31</v>
      </c>
    </row>
    <row r="210" spans="1:8" x14ac:dyDescent="0.25">
      <c r="A210" t="s">
        <v>7</v>
      </c>
      <c r="B210" t="s">
        <v>38</v>
      </c>
      <c r="C210" t="s">
        <v>18</v>
      </c>
      <c r="D210" s="1">
        <v>1778</v>
      </c>
      <c r="E210" s="2">
        <v>270</v>
      </c>
      <c r="F210" s="43">
        <f>_xlfn.XLOOKUP(Table2[[#This Row],[Product]],products[Product],products[Cost per unit])</f>
        <v>6.47</v>
      </c>
      <c r="G210" s="43">
        <f>Table2[[#This Row],[cost per unit]]*Table2[[#This Row],[Units]]</f>
        <v>1746.8999999999999</v>
      </c>
      <c r="H210" s="44">
        <f>Table2[[#This Row],[Amount]]-Table2[[#This Row],[cost]]</f>
        <v>31.100000000000136</v>
      </c>
    </row>
    <row r="211" spans="1:8" x14ac:dyDescent="0.25">
      <c r="A211" t="s">
        <v>6</v>
      </c>
      <c r="B211" t="s">
        <v>39</v>
      </c>
      <c r="C211" t="s">
        <v>30</v>
      </c>
      <c r="D211" s="1">
        <v>1638</v>
      </c>
      <c r="E211" s="2">
        <v>63</v>
      </c>
      <c r="F211" s="43">
        <f>_xlfn.XLOOKUP(Table2[[#This Row],[Product]],products[Product],products[Cost per unit])</f>
        <v>14.49</v>
      </c>
      <c r="G211" s="43">
        <f>Table2[[#This Row],[cost per unit]]*Table2[[#This Row],[Units]]</f>
        <v>912.87</v>
      </c>
      <c r="H211" s="44">
        <f>Table2[[#This Row],[Amount]]-Table2[[#This Row],[cost]]</f>
        <v>725.13</v>
      </c>
    </row>
    <row r="212" spans="1:8" x14ac:dyDescent="0.25">
      <c r="A212" t="s">
        <v>41</v>
      </c>
      <c r="B212" t="s">
        <v>38</v>
      </c>
      <c r="C212" t="s">
        <v>25</v>
      </c>
      <c r="D212" s="1">
        <v>154</v>
      </c>
      <c r="E212" s="2">
        <v>21</v>
      </c>
      <c r="F212" s="43">
        <f>_xlfn.XLOOKUP(Table2[[#This Row],[Product]],products[Product],products[Cost per unit])</f>
        <v>13.15</v>
      </c>
      <c r="G212" s="43">
        <f>Table2[[#This Row],[cost per unit]]*Table2[[#This Row],[Units]]</f>
        <v>276.15000000000003</v>
      </c>
      <c r="H212" s="44">
        <f>Table2[[#This Row],[Amount]]-Table2[[#This Row],[cost]]</f>
        <v>-122.15000000000003</v>
      </c>
    </row>
    <row r="213" spans="1:8" x14ac:dyDescent="0.25">
      <c r="A213" t="s">
        <v>7</v>
      </c>
      <c r="B213" t="s">
        <v>37</v>
      </c>
      <c r="C213" t="s">
        <v>22</v>
      </c>
      <c r="D213" s="1">
        <v>9835</v>
      </c>
      <c r="E213" s="2">
        <v>207</v>
      </c>
      <c r="F213" s="43">
        <f>_xlfn.XLOOKUP(Table2[[#This Row],[Product]],products[Product],products[Cost per unit])</f>
        <v>9.77</v>
      </c>
      <c r="G213" s="43">
        <f>Table2[[#This Row],[cost per unit]]*Table2[[#This Row],[Units]]</f>
        <v>2022.3899999999999</v>
      </c>
      <c r="H213" s="44">
        <f>Table2[[#This Row],[Amount]]-Table2[[#This Row],[cost]]</f>
        <v>7812.6100000000006</v>
      </c>
    </row>
    <row r="214" spans="1:8" x14ac:dyDescent="0.25">
      <c r="A214" t="s">
        <v>9</v>
      </c>
      <c r="B214" t="s">
        <v>37</v>
      </c>
      <c r="C214" t="s">
        <v>20</v>
      </c>
      <c r="D214" s="1">
        <v>7273</v>
      </c>
      <c r="E214" s="2">
        <v>96</v>
      </c>
      <c r="F214" s="43">
        <f>_xlfn.XLOOKUP(Table2[[#This Row],[Product]],products[Product],products[Cost per unit])</f>
        <v>10.62</v>
      </c>
      <c r="G214" s="43">
        <f>Table2[[#This Row],[cost per unit]]*Table2[[#This Row],[Units]]</f>
        <v>1019.52</v>
      </c>
      <c r="H214" s="44">
        <f>Table2[[#This Row],[Amount]]-Table2[[#This Row],[cost]]</f>
        <v>6253.48</v>
      </c>
    </row>
    <row r="215" spans="1:8" x14ac:dyDescent="0.25">
      <c r="A215" t="s">
        <v>5</v>
      </c>
      <c r="B215" t="s">
        <v>39</v>
      </c>
      <c r="C215" t="s">
        <v>22</v>
      </c>
      <c r="D215" s="1">
        <v>6909</v>
      </c>
      <c r="E215" s="2">
        <v>81</v>
      </c>
      <c r="F215" s="43">
        <f>_xlfn.XLOOKUP(Table2[[#This Row],[Product]],products[Product],products[Cost per unit])</f>
        <v>9.77</v>
      </c>
      <c r="G215" s="43">
        <f>Table2[[#This Row],[cost per unit]]*Table2[[#This Row],[Units]]</f>
        <v>791.37</v>
      </c>
      <c r="H215" s="44">
        <f>Table2[[#This Row],[Amount]]-Table2[[#This Row],[cost]]</f>
        <v>6117.63</v>
      </c>
    </row>
    <row r="216" spans="1:8" x14ac:dyDescent="0.25">
      <c r="A216" t="s">
        <v>9</v>
      </c>
      <c r="B216" t="s">
        <v>39</v>
      </c>
      <c r="C216" t="s">
        <v>24</v>
      </c>
      <c r="D216" s="1">
        <v>3920</v>
      </c>
      <c r="E216" s="2">
        <v>306</v>
      </c>
      <c r="F216" s="43">
        <f>_xlfn.XLOOKUP(Table2[[#This Row],[Product]],products[Product],products[Cost per unit])</f>
        <v>4.97</v>
      </c>
      <c r="G216" s="43">
        <f>Table2[[#This Row],[cost per unit]]*Table2[[#This Row],[Units]]</f>
        <v>1520.82</v>
      </c>
      <c r="H216" s="44">
        <f>Table2[[#This Row],[Amount]]-Table2[[#This Row],[cost]]</f>
        <v>2399.1800000000003</v>
      </c>
    </row>
    <row r="217" spans="1:8" x14ac:dyDescent="0.25">
      <c r="A217" t="s">
        <v>10</v>
      </c>
      <c r="B217" t="s">
        <v>39</v>
      </c>
      <c r="C217" t="s">
        <v>21</v>
      </c>
      <c r="D217" s="1">
        <v>4858</v>
      </c>
      <c r="E217" s="2">
        <v>279</v>
      </c>
      <c r="F217" s="43">
        <f>_xlfn.XLOOKUP(Table2[[#This Row],[Product]],products[Product],products[Cost per unit])</f>
        <v>9</v>
      </c>
      <c r="G217" s="43">
        <f>Table2[[#This Row],[cost per unit]]*Table2[[#This Row],[Units]]</f>
        <v>2511</v>
      </c>
      <c r="H217" s="44">
        <f>Table2[[#This Row],[Amount]]-Table2[[#This Row],[cost]]</f>
        <v>2347</v>
      </c>
    </row>
    <row r="218" spans="1:8" x14ac:dyDescent="0.25">
      <c r="A218" t="s">
        <v>2</v>
      </c>
      <c r="B218" t="s">
        <v>38</v>
      </c>
      <c r="C218" t="s">
        <v>4</v>
      </c>
      <c r="D218" s="1">
        <v>3549</v>
      </c>
      <c r="E218" s="2">
        <v>3</v>
      </c>
      <c r="F218" s="43">
        <f>_xlfn.XLOOKUP(Table2[[#This Row],[Product]],products[Product],products[Cost per unit])</f>
        <v>11.88</v>
      </c>
      <c r="G218" s="43">
        <f>Table2[[#This Row],[cost per unit]]*Table2[[#This Row],[Units]]</f>
        <v>35.64</v>
      </c>
      <c r="H218" s="44">
        <f>Table2[[#This Row],[Amount]]-Table2[[#This Row],[cost]]</f>
        <v>3513.36</v>
      </c>
    </row>
    <row r="219" spans="1:8" x14ac:dyDescent="0.25">
      <c r="A219" t="s">
        <v>7</v>
      </c>
      <c r="B219" t="s">
        <v>39</v>
      </c>
      <c r="C219" t="s">
        <v>27</v>
      </c>
      <c r="D219" s="1">
        <v>966</v>
      </c>
      <c r="E219" s="2">
        <v>198</v>
      </c>
      <c r="F219" s="43">
        <f>_xlfn.XLOOKUP(Table2[[#This Row],[Product]],products[Product],products[Cost per unit])</f>
        <v>16.73</v>
      </c>
      <c r="G219" s="43">
        <f>Table2[[#This Row],[cost per unit]]*Table2[[#This Row],[Units]]</f>
        <v>3312.54</v>
      </c>
      <c r="H219" s="44">
        <f>Table2[[#This Row],[Amount]]-Table2[[#This Row],[cost]]</f>
        <v>-2346.54</v>
      </c>
    </row>
    <row r="220" spans="1:8" x14ac:dyDescent="0.25">
      <c r="A220" t="s">
        <v>5</v>
      </c>
      <c r="B220" t="s">
        <v>39</v>
      </c>
      <c r="C220" t="s">
        <v>18</v>
      </c>
      <c r="D220" s="1">
        <v>385</v>
      </c>
      <c r="E220" s="2">
        <v>249</v>
      </c>
      <c r="F220" s="43">
        <f>_xlfn.XLOOKUP(Table2[[#This Row],[Product]],products[Product],products[Cost per unit])</f>
        <v>6.47</v>
      </c>
      <c r="G220" s="43">
        <f>Table2[[#This Row],[cost per unit]]*Table2[[#This Row],[Units]]</f>
        <v>1611.03</v>
      </c>
      <c r="H220" s="44">
        <f>Table2[[#This Row],[Amount]]-Table2[[#This Row],[cost]]</f>
        <v>-1226.03</v>
      </c>
    </row>
    <row r="221" spans="1:8" x14ac:dyDescent="0.25">
      <c r="A221" t="s">
        <v>6</v>
      </c>
      <c r="B221" t="s">
        <v>34</v>
      </c>
      <c r="C221" t="s">
        <v>16</v>
      </c>
      <c r="D221" s="1">
        <v>2219</v>
      </c>
      <c r="E221" s="2">
        <v>75</v>
      </c>
      <c r="F221" s="43">
        <f>_xlfn.XLOOKUP(Table2[[#This Row],[Product]],products[Product],products[Cost per unit])</f>
        <v>8.7899999999999991</v>
      </c>
      <c r="G221" s="43">
        <f>Table2[[#This Row],[cost per unit]]*Table2[[#This Row],[Units]]</f>
        <v>659.24999999999989</v>
      </c>
      <c r="H221" s="44">
        <f>Table2[[#This Row],[Amount]]-Table2[[#This Row],[cost]]</f>
        <v>1559.75</v>
      </c>
    </row>
    <row r="222" spans="1:8" x14ac:dyDescent="0.25">
      <c r="A222" t="s">
        <v>9</v>
      </c>
      <c r="B222" t="s">
        <v>36</v>
      </c>
      <c r="C222" t="s">
        <v>32</v>
      </c>
      <c r="D222" s="1">
        <v>2954</v>
      </c>
      <c r="E222" s="2">
        <v>189</v>
      </c>
      <c r="F222" s="43">
        <f>_xlfn.XLOOKUP(Table2[[#This Row],[Product]],products[Product],products[Cost per unit])</f>
        <v>8.65</v>
      </c>
      <c r="G222" s="43">
        <f>Table2[[#This Row],[cost per unit]]*Table2[[#This Row],[Units]]</f>
        <v>1634.8500000000001</v>
      </c>
      <c r="H222" s="44">
        <f>Table2[[#This Row],[Amount]]-Table2[[#This Row],[cost]]</f>
        <v>1319.1499999999999</v>
      </c>
    </row>
    <row r="223" spans="1:8" x14ac:dyDescent="0.25">
      <c r="A223" t="s">
        <v>7</v>
      </c>
      <c r="B223" t="s">
        <v>36</v>
      </c>
      <c r="C223" t="s">
        <v>32</v>
      </c>
      <c r="D223" s="1">
        <v>280</v>
      </c>
      <c r="E223" s="2">
        <v>87</v>
      </c>
      <c r="F223" s="43">
        <f>_xlfn.XLOOKUP(Table2[[#This Row],[Product]],products[Product],products[Cost per unit])</f>
        <v>8.65</v>
      </c>
      <c r="G223" s="43">
        <f>Table2[[#This Row],[cost per unit]]*Table2[[#This Row],[Units]]</f>
        <v>752.55000000000007</v>
      </c>
      <c r="H223" s="44">
        <f>Table2[[#This Row],[Amount]]-Table2[[#This Row],[cost]]</f>
        <v>-472.55000000000007</v>
      </c>
    </row>
    <row r="224" spans="1:8" x14ac:dyDescent="0.25">
      <c r="A224" t="s">
        <v>41</v>
      </c>
      <c r="B224" t="s">
        <v>36</v>
      </c>
      <c r="C224" t="s">
        <v>30</v>
      </c>
      <c r="D224" s="1">
        <v>6118</v>
      </c>
      <c r="E224" s="2">
        <v>174</v>
      </c>
      <c r="F224" s="43">
        <f>_xlfn.XLOOKUP(Table2[[#This Row],[Product]],products[Product],products[Cost per unit])</f>
        <v>14.49</v>
      </c>
      <c r="G224" s="43">
        <f>Table2[[#This Row],[cost per unit]]*Table2[[#This Row],[Units]]</f>
        <v>2521.2600000000002</v>
      </c>
      <c r="H224" s="44">
        <f>Table2[[#This Row],[Amount]]-Table2[[#This Row],[cost]]</f>
        <v>3596.74</v>
      </c>
    </row>
    <row r="225" spans="1:8" x14ac:dyDescent="0.25">
      <c r="A225" t="s">
        <v>2</v>
      </c>
      <c r="B225" t="s">
        <v>39</v>
      </c>
      <c r="C225" t="s">
        <v>15</v>
      </c>
      <c r="D225" s="1">
        <v>4802</v>
      </c>
      <c r="E225" s="2">
        <v>36</v>
      </c>
      <c r="F225" s="43">
        <f>_xlfn.XLOOKUP(Table2[[#This Row],[Product]],products[Product],products[Cost per unit])</f>
        <v>11.73</v>
      </c>
      <c r="G225" s="43">
        <f>Table2[[#This Row],[cost per unit]]*Table2[[#This Row],[Units]]</f>
        <v>422.28000000000003</v>
      </c>
      <c r="H225" s="44">
        <f>Table2[[#This Row],[Amount]]-Table2[[#This Row],[cost]]</f>
        <v>4379.72</v>
      </c>
    </row>
    <row r="226" spans="1:8" x14ac:dyDescent="0.25">
      <c r="A226" t="s">
        <v>9</v>
      </c>
      <c r="B226" t="s">
        <v>38</v>
      </c>
      <c r="C226" t="s">
        <v>24</v>
      </c>
      <c r="D226" s="1">
        <v>4137</v>
      </c>
      <c r="E226" s="2">
        <v>60</v>
      </c>
      <c r="F226" s="43">
        <f>_xlfn.XLOOKUP(Table2[[#This Row],[Product]],products[Product],products[Cost per unit])</f>
        <v>4.97</v>
      </c>
      <c r="G226" s="43">
        <f>Table2[[#This Row],[cost per unit]]*Table2[[#This Row],[Units]]</f>
        <v>298.2</v>
      </c>
      <c r="H226" s="44">
        <f>Table2[[#This Row],[Amount]]-Table2[[#This Row],[cost]]</f>
        <v>3838.8</v>
      </c>
    </row>
    <row r="227" spans="1:8" x14ac:dyDescent="0.25">
      <c r="A227" t="s">
        <v>3</v>
      </c>
      <c r="B227" t="s">
        <v>35</v>
      </c>
      <c r="C227" t="s">
        <v>23</v>
      </c>
      <c r="D227" s="1">
        <v>2023</v>
      </c>
      <c r="E227" s="2">
        <v>78</v>
      </c>
      <c r="F227" s="43">
        <f>_xlfn.XLOOKUP(Table2[[#This Row],[Product]],products[Product],products[Cost per unit])</f>
        <v>6.49</v>
      </c>
      <c r="G227" s="43">
        <f>Table2[[#This Row],[cost per unit]]*Table2[[#This Row],[Units]]</f>
        <v>506.22</v>
      </c>
      <c r="H227" s="44">
        <f>Table2[[#This Row],[Amount]]-Table2[[#This Row],[cost]]</f>
        <v>1516.78</v>
      </c>
    </row>
    <row r="228" spans="1:8" x14ac:dyDescent="0.25">
      <c r="A228" t="s">
        <v>9</v>
      </c>
      <c r="B228" t="s">
        <v>36</v>
      </c>
      <c r="C228" t="s">
        <v>30</v>
      </c>
      <c r="D228" s="1">
        <v>9051</v>
      </c>
      <c r="E228" s="2">
        <v>57</v>
      </c>
      <c r="F228" s="43">
        <f>_xlfn.XLOOKUP(Table2[[#This Row],[Product]],products[Product],products[Cost per unit])</f>
        <v>14.49</v>
      </c>
      <c r="G228" s="43">
        <f>Table2[[#This Row],[cost per unit]]*Table2[[#This Row],[Units]]</f>
        <v>825.93000000000006</v>
      </c>
      <c r="H228" s="44">
        <f>Table2[[#This Row],[Amount]]-Table2[[#This Row],[cost]]</f>
        <v>8225.07</v>
      </c>
    </row>
    <row r="229" spans="1:8" x14ac:dyDescent="0.25">
      <c r="A229" t="s">
        <v>9</v>
      </c>
      <c r="B229" t="s">
        <v>37</v>
      </c>
      <c r="C229" t="s">
        <v>28</v>
      </c>
      <c r="D229" s="1">
        <v>2919</v>
      </c>
      <c r="E229" s="2">
        <v>45</v>
      </c>
      <c r="F229" s="43">
        <f>_xlfn.XLOOKUP(Table2[[#This Row],[Product]],products[Product],products[Cost per unit])</f>
        <v>10.38</v>
      </c>
      <c r="G229" s="43">
        <f>Table2[[#This Row],[cost per unit]]*Table2[[#This Row],[Units]]</f>
        <v>467.1</v>
      </c>
      <c r="H229" s="44">
        <f>Table2[[#This Row],[Amount]]-Table2[[#This Row],[cost]]</f>
        <v>2451.9</v>
      </c>
    </row>
    <row r="230" spans="1:8" x14ac:dyDescent="0.25">
      <c r="A230" t="s">
        <v>41</v>
      </c>
      <c r="B230" t="s">
        <v>38</v>
      </c>
      <c r="C230" t="s">
        <v>22</v>
      </c>
      <c r="D230" s="1">
        <v>5915</v>
      </c>
      <c r="E230" s="2">
        <v>3</v>
      </c>
      <c r="F230" s="43">
        <f>_xlfn.XLOOKUP(Table2[[#This Row],[Product]],products[Product],products[Cost per unit])</f>
        <v>9.77</v>
      </c>
      <c r="G230" s="43">
        <f>Table2[[#This Row],[cost per unit]]*Table2[[#This Row],[Units]]</f>
        <v>29.31</v>
      </c>
      <c r="H230" s="44">
        <f>Table2[[#This Row],[Amount]]-Table2[[#This Row],[cost]]</f>
        <v>5885.69</v>
      </c>
    </row>
    <row r="231" spans="1:8" x14ac:dyDescent="0.25">
      <c r="A231" t="s">
        <v>10</v>
      </c>
      <c r="B231" t="s">
        <v>35</v>
      </c>
      <c r="C231" t="s">
        <v>15</v>
      </c>
      <c r="D231" s="1">
        <v>2562</v>
      </c>
      <c r="E231" s="2">
        <v>6</v>
      </c>
      <c r="F231" s="43">
        <f>_xlfn.XLOOKUP(Table2[[#This Row],[Product]],products[Product],products[Cost per unit])</f>
        <v>11.73</v>
      </c>
      <c r="G231" s="43">
        <f>Table2[[#This Row],[cost per unit]]*Table2[[#This Row],[Units]]</f>
        <v>70.38</v>
      </c>
      <c r="H231" s="44">
        <f>Table2[[#This Row],[Amount]]-Table2[[#This Row],[cost]]</f>
        <v>2491.62</v>
      </c>
    </row>
    <row r="232" spans="1:8" x14ac:dyDescent="0.25">
      <c r="A232" t="s">
        <v>5</v>
      </c>
      <c r="B232" t="s">
        <v>37</v>
      </c>
      <c r="C232" t="s">
        <v>25</v>
      </c>
      <c r="D232" s="1">
        <v>8813</v>
      </c>
      <c r="E232" s="2">
        <v>21</v>
      </c>
      <c r="F232" s="43">
        <f>_xlfn.XLOOKUP(Table2[[#This Row],[Product]],products[Product],products[Cost per unit])</f>
        <v>13.15</v>
      </c>
      <c r="G232" s="43">
        <f>Table2[[#This Row],[cost per unit]]*Table2[[#This Row],[Units]]</f>
        <v>276.15000000000003</v>
      </c>
      <c r="H232" s="44">
        <f>Table2[[#This Row],[Amount]]-Table2[[#This Row],[cost]]</f>
        <v>8536.85</v>
      </c>
    </row>
    <row r="233" spans="1:8" x14ac:dyDescent="0.25">
      <c r="A233" t="s">
        <v>5</v>
      </c>
      <c r="B233" t="s">
        <v>36</v>
      </c>
      <c r="C233" t="s">
        <v>18</v>
      </c>
      <c r="D233" s="1">
        <v>6111</v>
      </c>
      <c r="E233" s="2">
        <v>3</v>
      </c>
      <c r="F233" s="43">
        <f>_xlfn.XLOOKUP(Table2[[#This Row],[Product]],products[Product],products[Cost per unit])</f>
        <v>6.47</v>
      </c>
      <c r="G233" s="43">
        <f>Table2[[#This Row],[cost per unit]]*Table2[[#This Row],[Units]]</f>
        <v>19.41</v>
      </c>
      <c r="H233" s="44">
        <f>Table2[[#This Row],[Amount]]-Table2[[#This Row],[cost]]</f>
        <v>6091.59</v>
      </c>
    </row>
    <row r="234" spans="1:8" x14ac:dyDescent="0.25">
      <c r="A234" t="s">
        <v>8</v>
      </c>
      <c r="B234" t="s">
        <v>34</v>
      </c>
      <c r="C234" t="s">
        <v>31</v>
      </c>
      <c r="D234" s="1">
        <v>3507</v>
      </c>
      <c r="E234" s="2">
        <v>288</v>
      </c>
      <c r="F234" s="43">
        <f>_xlfn.XLOOKUP(Table2[[#This Row],[Product]],products[Product],products[Cost per unit])</f>
        <v>5.79</v>
      </c>
      <c r="G234" s="43">
        <f>Table2[[#This Row],[cost per unit]]*Table2[[#This Row],[Units]]</f>
        <v>1667.52</v>
      </c>
      <c r="H234" s="44">
        <f>Table2[[#This Row],[Amount]]-Table2[[#This Row],[cost]]</f>
        <v>1839.48</v>
      </c>
    </row>
    <row r="235" spans="1:8" x14ac:dyDescent="0.25">
      <c r="A235" t="s">
        <v>6</v>
      </c>
      <c r="B235" t="s">
        <v>36</v>
      </c>
      <c r="C235" t="s">
        <v>13</v>
      </c>
      <c r="D235" s="1">
        <v>4319</v>
      </c>
      <c r="E235" s="2">
        <v>30</v>
      </c>
      <c r="F235" s="43">
        <f>_xlfn.XLOOKUP(Table2[[#This Row],[Product]],products[Product],products[Cost per unit])</f>
        <v>9.33</v>
      </c>
      <c r="G235" s="43">
        <f>Table2[[#This Row],[cost per unit]]*Table2[[#This Row],[Units]]</f>
        <v>279.89999999999998</v>
      </c>
      <c r="H235" s="44">
        <f>Table2[[#This Row],[Amount]]-Table2[[#This Row],[cost]]</f>
        <v>4039.1</v>
      </c>
    </row>
    <row r="236" spans="1:8" x14ac:dyDescent="0.25">
      <c r="A236" t="s">
        <v>40</v>
      </c>
      <c r="B236" t="s">
        <v>38</v>
      </c>
      <c r="C236" t="s">
        <v>26</v>
      </c>
      <c r="D236" s="1">
        <v>609</v>
      </c>
      <c r="E236" s="2">
        <v>87</v>
      </c>
      <c r="F236" s="43">
        <f>_xlfn.XLOOKUP(Table2[[#This Row],[Product]],products[Product],products[Cost per unit])</f>
        <v>5.6</v>
      </c>
      <c r="G236" s="43">
        <f>Table2[[#This Row],[cost per unit]]*Table2[[#This Row],[Units]]</f>
        <v>487.2</v>
      </c>
      <c r="H236" s="44">
        <f>Table2[[#This Row],[Amount]]-Table2[[#This Row],[cost]]</f>
        <v>121.80000000000001</v>
      </c>
    </row>
    <row r="237" spans="1:8" x14ac:dyDescent="0.25">
      <c r="A237" t="s">
        <v>40</v>
      </c>
      <c r="B237" t="s">
        <v>39</v>
      </c>
      <c r="C237" t="s">
        <v>27</v>
      </c>
      <c r="D237" s="1">
        <v>6370</v>
      </c>
      <c r="E237" s="2">
        <v>30</v>
      </c>
      <c r="F237" s="43">
        <f>_xlfn.XLOOKUP(Table2[[#This Row],[Product]],products[Product],products[Cost per unit])</f>
        <v>16.73</v>
      </c>
      <c r="G237" s="43">
        <f>Table2[[#This Row],[cost per unit]]*Table2[[#This Row],[Units]]</f>
        <v>501.90000000000003</v>
      </c>
      <c r="H237" s="44">
        <f>Table2[[#This Row],[Amount]]-Table2[[#This Row],[cost]]</f>
        <v>5868.1</v>
      </c>
    </row>
    <row r="238" spans="1:8" x14ac:dyDescent="0.25">
      <c r="A238" t="s">
        <v>5</v>
      </c>
      <c r="B238" t="s">
        <v>38</v>
      </c>
      <c r="C238" t="s">
        <v>19</v>
      </c>
      <c r="D238" s="1">
        <v>5474</v>
      </c>
      <c r="E238" s="2">
        <v>168</v>
      </c>
      <c r="F238" s="43">
        <f>_xlfn.XLOOKUP(Table2[[#This Row],[Product]],products[Product],products[Cost per unit])</f>
        <v>7.64</v>
      </c>
      <c r="G238" s="43">
        <f>Table2[[#This Row],[cost per unit]]*Table2[[#This Row],[Units]]</f>
        <v>1283.52</v>
      </c>
      <c r="H238" s="44">
        <f>Table2[[#This Row],[Amount]]-Table2[[#This Row],[cost]]</f>
        <v>4190.4799999999996</v>
      </c>
    </row>
    <row r="239" spans="1:8" x14ac:dyDescent="0.25">
      <c r="A239" t="s">
        <v>40</v>
      </c>
      <c r="B239" t="s">
        <v>36</v>
      </c>
      <c r="C239" t="s">
        <v>27</v>
      </c>
      <c r="D239" s="1">
        <v>3164</v>
      </c>
      <c r="E239" s="2">
        <v>306</v>
      </c>
      <c r="F239" s="43">
        <f>_xlfn.XLOOKUP(Table2[[#This Row],[Product]],products[Product],products[Cost per unit])</f>
        <v>16.73</v>
      </c>
      <c r="G239" s="43">
        <f>Table2[[#This Row],[cost per unit]]*Table2[[#This Row],[Units]]</f>
        <v>5119.38</v>
      </c>
      <c r="H239" s="44">
        <f>Table2[[#This Row],[Amount]]-Table2[[#This Row],[cost]]</f>
        <v>-1955.38</v>
      </c>
    </row>
    <row r="240" spans="1:8" x14ac:dyDescent="0.25">
      <c r="A240" t="s">
        <v>6</v>
      </c>
      <c r="B240" t="s">
        <v>35</v>
      </c>
      <c r="C240" t="s">
        <v>4</v>
      </c>
      <c r="D240" s="1">
        <v>1302</v>
      </c>
      <c r="E240" s="2">
        <v>402</v>
      </c>
      <c r="F240" s="43">
        <f>_xlfn.XLOOKUP(Table2[[#This Row],[Product]],products[Product],products[Cost per unit])</f>
        <v>11.88</v>
      </c>
      <c r="G240" s="43">
        <f>Table2[[#This Row],[cost per unit]]*Table2[[#This Row],[Units]]</f>
        <v>4775.76</v>
      </c>
      <c r="H240" s="44">
        <f>Table2[[#This Row],[Amount]]-Table2[[#This Row],[cost]]</f>
        <v>-3473.76</v>
      </c>
    </row>
    <row r="241" spans="1:8" x14ac:dyDescent="0.25">
      <c r="A241" t="s">
        <v>3</v>
      </c>
      <c r="B241" t="s">
        <v>37</v>
      </c>
      <c r="C241" t="s">
        <v>28</v>
      </c>
      <c r="D241" s="1">
        <v>7308</v>
      </c>
      <c r="E241" s="2">
        <v>327</v>
      </c>
      <c r="F241" s="43">
        <f>_xlfn.XLOOKUP(Table2[[#This Row],[Product]],products[Product],products[Cost per unit])</f>
        <v>10.38</v>
      </c>
      <c r="G241" s="43">
        <f>Table2[[#This Row],[cost per unit]]*Table2[[#This Row],[Units]]</f>
        <v>3394.26</v>
      </c>
      <c r="H241" s="44">
        <f>Table2[[#This Row],[Amount]]-Table2[[#This Row],[cost]]</f>
        <v>3913.74</v>
      </c>
    </row>
    <row r="242" spans="1:8" x14ac:dyDescent="0.25">
      <c r="A242" t="s">
        <v>40</v>
      </c>
      <c r="B242" t="s">
        <v>37</v>
      </c>
      <c r="C242" t="s">
        <v>27</v>
      </c>
      <c r="D242" s="1">
        <v>6132</v>
      </c>
      <c r="E242" s="2">
        <v>93</v>
      </c>
      <c r="F242" s="43">
        <f>_xlfn.XLOOKUP(Table2[[#This Row],[Product]],products[Product],products[Cost per unit])</f>
        <v>16.73</v>
      </c>
      <c r="G242" s="43">
        <f>Table2[[#This Row],[cost per unit]]*Table2[[#This Row],[Units]]</f>
        <v>1555.89</v>
      </c>
      <c r="H242" s="44">
        <f>Table2[[#This Row],[Amount]]-Table2[[#This Row],[cost]]</f>
        <v>4576.1099999999997</v>
      </c>
    </row>
    <row r="243" spans="1:8" x14ac:dyDescent="0.25">
      <c r="A243" t="s">
        <v>10</v>
      </c>
      <c r="B243" t="s">
        <v>35</v>
      </c>
      <c r="C243" t="s">
        <v>14</v>
      </c>
      <c r="D243" s="1">
        <v>3472</v>
      </c>
      <c r="E243" s="2">
        <v>96</v>
      </c>
      <c r="F243" s="43">
        <f>_xlfn.XLOOKUP(Table2[[#This Row],[Product]],products[Product],products[Cost per unit])</f>
        <v>11.7</v>
      </c>
      <c r="G243" s="43">
        <f>Table2[[#This Row],[cost per unit]]*Table2[[#This Row],[Units]]</f>
        <v>1123.1999999999998</v>
      </c>
      <c r="H243" s="44">
        <f>Table2[[#This Row],[Amount]]-Table2[[#This Row],[cost]]</f>
        <v>2348.8000000000002</v>
      </c>
    </row>
    <row r="244" spans="1:8" x14ac:dyDescent="0.25">
      <c r="A244" t="s">
        <v>8</v>
      </c>
      <c r="B244" t="s">
        <v>39</v>
      </c>
      <c r="C244" t="s">
        <v>18</v>
      </c>
      <c r="D244" s="1">
        <v>9660</v>
      </c>
      <c r="E244" s="2">
        <v>27</v>
      </c>
      <c r="F244" s="43">
        <f>_xlfn.XLOOKUP(Table2[[#This Row],[Product]],products[Product],products[Cost per unit])</f>
        <v>6.47</v>
      </c>
      <c r="G244" s="43">
        <f>Table2[[#This Row],[cost per unit]]*Table2[[#This Row],[Units]]</f>
        <v>174.69</v>
      </c>
      <c r="H244" s="44">
        <f>Table2[[#This Row],[Amount]]-Table2[[#This Row],[cost]]</f>
        <v>9485.31</v>
      </c>
    </row>
    <row r="245" spans="1:8" x14ac:dyDescent="0.25">
      <c r="A245" t="s">
        <v>9</v>
      </c>
      <c r="B245" t="s">
        <v>38</v>
      </c>
      <c r="C245" t="s">
        <v>26</v>
      </c>
      <c r="D245" s="1">
        <v>2436</v>
      </c>
      <c r="E245" s="2">
        <v>99</v>
      </c>
      <c r="F245" s="43">
        <f>_xlfn.XLOOKUP(Table2[[#This Row],[Product]],products[Product],products[Cost per unit])</f>
        <v>5.6</v>
      </c>
      <c r="G245" s="43">
        <f>Table2[[#This Row],[cost per unit]]*Table2[[#This Row],[Units]]</f>
        <v>554.4</v>
      </c>
      <c r="H245" s="44">
        <f>Table2[[#This Row],[Amount]]-Table2[[#This Row],[cost]]</f>
        <v>1881.6</v>
      </c>
    </row>
    <row r="246" spans="1:8" x14ac:dyDescent="0.25">
      <c r="A246" t="s">
        <v>9</v>
      </c>
      <c r="B246" t="s">
        <v>38</v>
      </c>
      <c r="C246" t="s">
        <v>33</v>
      </c>
      <c r="D246" s="1">
        <v>9506</v>
      </c>
      <c r="E246" s="2">
        <v>87</v>
      </c>
      <c r="F246" s="43">
        <f>_xlfn.XLOOKUP(Table2[[#This Row],[Product]],products[Product],products[Cost per unit])</f>
        <v>12.37</v>
      </c>
      <c r="G246" s="43">
        <f>Table2[[#This Row],[cost per unit]]*Table2[[#This Row],[Units]]</f>
        <v>1076.1899999999998</v>
      </c>
      <c r="H246" s="44">
        <f>Table2[[#This Row],[Amount]]-Table2[[#This Row],[cost]]</f>
        <v>8429.81</v>
      </c>
    </row>
    <row r="247" spans="1:8" x14ac:dyDescent="0.25">
      <c r="A247" t="s">
        <v>10</v>
      </c>
      <c r="B247" t="s">
        <v>37</v>
      </c>
      <c r="C247" t="s">
        <v>21</v>
      </c>
      <c r="D247" s="1">
        <v>245</v>
      </c>
      <c r="E247" s="2">
        <v>288</v>
      </c>
      <c r="F247" s="43">
        <f>_xlfn.XLOOKUP(Table2[[#This Row],[Product]],products[Product],products[Cost per unit])</f>
        <v>9</v>
      </c>
      <c r="G247" s="43">
        <f>Table2[[#This Row],[cost per unit]]*Table2[[#This Row],[Units]]</f>
        <v>2592</v>
      </c>
      <c r="H247" s="44">
        <f>Table2[[#This Row],[Amount]]-Table2[[#This Row],[cost]]</f>
        <v>-2347</v>
      </c>
    </row>
    <row r="248" spans="1:8" x14ac:dyDescent="0.25">
      <c r="A248" t="s">
        <v>8</v>
      </c>
      <c r="B248" t="s">
        <v>35</v>
      </c>
      <c r="C248" t="s">
        <v>20</v>
      </c>
      <c r="D248" s="1">
        <v>2702</v>
      </c>
      <c r="E248" s="2">
        <v>363</v>
      </c>
      <c r="F248" s="43">
        <f>_xlfn.XLOOKUP(Table2[[#This Row],[Product]],products[Product],products[Cost per unit])</f>
        <v>10.62</v>
      </c>
      <c r="G248" s="43">
        <f>Table2[[#This Row],[cost per unit]]*Table2[[#This Row],[Units]]</f>
        <v>3855.0599999999995</v>
      </c>
      <c r="H248" s="44">
        <f>Table2[[#This Row],[Amount]]-Table2[[#This Row],[cost]]</f>
        <v>-1153.0599999999995</v>
      </c>
    </row>
    <row r="249" spans="1:8" x14ac:dyDescent="0.25">
      <c r="A249" t="s">
        <v>10</v>
      </c>
      <c r="B249" t="s">
        <v>34</v>
      </c>
      <c r="C249" t="s">
        <v>17</v>
      </c>
      <c r="D249" s="1">
        <v>700</v>
      </c>
      <c r="E249" s="2">
        <v>87</v>
      </c>
      <c r="F249" s="43">
        <f>_xlfn.XLOOKUP(Table2[[#This Row],[Product]],products[Product],products[Cost per unit])</f>
        <v>3.11</v>
      </c>
      <c r="G249" s="43">
        <f>Table2[[#This Row],[cost per unit]]*Table2[[#This Row],[Units]]</f>
        <v>270.57</v>
      </c>
      <c r="H249" s="44">
        <f>Table2[[#This Row],[Amount]]-Table2[[#This Row],[cost]]</f>
        <v>429.43</v>
      </c>
    </row>
    <row r="250" spans="1:8" x14ac:dyDescent="0.25">
      <c r="A250" t="s">
        <v>6</v>
      </c>
      <c r="B250" t="s">
        <v>34</v>
      </c>
      <c r="C250" t="s">
        <v>17</v>
      </c>
      <c r="D250" s="1">
        <v>3759</v>
      </c>
      <c r="E250" s="2">
        <v>150</v>
      </c>
      <c r="F250" s="43">
        <f>_xlfn.XLOOKUP(Table2[[#This Row],[Product]],products[Product],products[Cost per unit])</f>
        <v>3.11</v>
      </c>
      <c r="G250" s="43">
        <f>Table2[[#This Row],[cost per unit]]*Table2[[#This Row],[Units]]</f>
        <v>466.5</v>
      </c>
      <c r="H250" s="44">
        <f>Table2[[#This Row],[Amount]]-Table2[[#This Row],[cost]]</f>
        <v>3292.5</v>
      </c>
    </row>
    <row r="251" spans="1:8" x14ac:dyDescent="0.25">
      <c r="A251" t="s">
        <v>2</v>
      </c>
      <c r="B251" t="s">
        <v>35</v>
      </c>
      <c r="C251" t="s">
        <v>17</v>
      </c>
      <c r="D251" s="1">
        <v>1589</v>
      </c>
      <c r="E251" s="2">
        <v>303</v>
      </c>
      <c r="F251" s="43">
        <f>_xlfn.XLOOKUP(Table2[[#This Row],[Product]],products[Product],products[Cost per unit])</f>
        <v>3.11</v>
      </c>
      <c r="G251" s="43">
        <f>Table2[[#This Row],[cost per unit]]*Table2[[#This Row],[Units]]</f>
        <v>942.32999999999993</v>
      </c>
      <c r="H251" s="44">
        <f>Table2[[#This Row],[Amount]]-Table2[[#This Row],[cost]]</f>
        <v>646.67000000000007</v>
      </c>
    </row>
    <row r="252" spans="1:8" x14ac:dyDescent="0.25">
      <c r="A252" t="s">
        <v>7</v>
      </c>
      <c r="B252" t="s">
        <v>35</v>
      </c>
      <c r="C252" t="s">
        <v>28</v>
      </c>
      <c r="D252" s="1">
        <v>5194</v>
      </c>
      <c r="E252" s="2">
        <v>288</v>
      </c>
      <c r="F252" s="43">
        <f>_xlfn.XLOOKUP(Table2[[#This Row],[Product]],products[Product],products[Cost per unit])</f>
        <v>10.38</v>
      </c>
      <c r="G252" s="43">
        <f>Table2[[#This Row],[cost per unit]]*Table2[[#This Row],[Units]]</f>
        <v>2989.44</v>
      </c>
      <c r="H252" s="44">
        <f>Table2[[#This Row],[Amount]]-Table2[[#This Row],[cost]]</f>
        <v>2204.56</v>
      </c>
    </row>
    <row r="253" spans="1:8" x14ac:dyDescent="0.25">
      <c r="A253" t="s">
        <v>10</v>
      </c>
      <c r="B253" t="s">
        <v>36</v>
      </c>
      <c r="C253" t="s">
        <v>13</v>
      </c>
      <c r="D253" s="1">
        <v>945</v>
      </c>
      <c r="E253" s="2">
        <v>75</v>
      </c>
      <c r="F253" s="43">
        <f>_xlfn.XLOOKUP(Table2[[#This Row],[Product]],products[Product],products[Cost per unit])</f>
        <v>9.33</v>
      </c>
      <c r="G253" s="43">
        <f>Table2[[#This Row],[cost per unit]]*Table2[[#This Row],[Units]]</f>
        <v>699.75</v>
      </c>
      <c r="H253" s="44">
        <f>Table2[[#This Row],[Amount]]-Table2[[#This Row],[cost]]</f>
        <v>245.25</v>
      </c>
    </row>
    <row r="254" spans="1:8" x14ac:dyDescent="0.25">
      <c r="A254" t="s">
        <v>40</v>
      </c>
      <c r="B254" t="s">
        <v>38</v>
      </c>
      <c r="C254" t="s">
        <v>31</v>
      </c>
      <c r="D254" s="1">
        <v>1988</v>
      </c>
      <c r="E254" s="2">
        <v>39</v>
      </c>
      <c r="F254" s="43">
        <f>_xlfn.XLOOKUP(Table2[[#This Row],[Product]],products[Product],products[Cost per unit])</f>
        <v>5.79</v>
      </c>
      <c r="G254" s="43">
        <f>Table2[[#This Row],[cost per unit]]*Table2[[#This Row],[Units]]</f>
        <v>225.81</v>
      </c>
      <c r="H254" s="44">
        <f>Table2[[#This Row],[Amount]]-Table2[[#This Row],[cost]]</f>
        <v>1762.19</v>
      </c>
    </row>
    <row r="255" spans="1:8" x14ac:dyDescent="0.25">
      <c r="A255" t="s">
        <v>6</v>
      </c>
      <c r="B255" t="s">
        <v>34</v>
      </c>
      <c r="C255" t="s">
        <v>32</v>
      </c>
      <c r="D255" s="1">
        <v>6734</v>
      </c>
      <c r="E255" s="2">
        <v>123</v>
      </c>
      <c r="F255" s="43">
        <f>_xlfn.XLOOKUP(Table2[[#This Row],[Product]],products[Product],products[Cost per unit])</f>
        <v>8.65</v>
      </c>
      <c r="G255" s="43">
        <f>Table2[[#This Row],[cost per unit]]*Table2[[#This Row],[Units]]</f>
        <v>1063.95</v>
      </c>
      <c r="H255" s="44">
        <f>Table2[[#This Row],[Amount]]-Table2[[#This Row],[cost]]</f>
        <v>5670.05</v>
      </c>
    </row>
    <row r="256" spans="1:8" x14ac:dyDescent="0.25">
      <c r="A256" t="s">
        <v>40</v>
      </c>
      <c r="B256" t="s">
        <v>36</v>
      </c>
      <c r="C256" t="s">
        <v>4</v>
      </c>
      <c r="D256" s="1">
        <v>217</v>
      </c>
      <c r="E256" s="2">
        <v>36</v>
      </c>
      <c r="F256" s="43">
        <f>_xlfn.XLOOKUP(Table2[[#This Row],[Product]],products[Product],products[Cost per unit])</f>
        <v>11.88</v>
      </c>
      <c r="G256" s="43">
        <f>Table2[[#This Row],[cost per unit]]*Table2[[#This Row],[Units]]</f>
        <v>427.68</v>
      </c>
      <c r="H256" s="44">
        <f>Table2[[#This Row],[Amount]]-Table2[[#This Row],[cost]]</f>
        <v>-210.68</v>
      </c>
    </row>
    <row r="257" spans="1:8" x14ac:dyDescent="0.25">
      <c r="A257" t="s">
        <v>5</v>
      </c>
      <c r="B257" t="s">
        <v>34</v>
      </c>
      <c r="C257" t="s">
        <v>22</v>
      </c>
      <c r="D257" s="1">
        <v>6279</v>
      </c>
      <c r="E257" s="2">
        <v>237</v>
      </c>
      <c r="F257" s="43">
        <f>_xlfn.XLOOKUP(Table2[[#This Row],[Product]],products[Product],products[Cost per unit])</f>
        <v>9.77</v>
      </c>
      <c r="G257" s="43">
        <f>Table2[[#This Row],[cost per unit]]*Table2[[#This Row],[Units]]</f>
        <v>2315.4899999999998</v>
      </c>
      <c r="H257" s="44">
        <f>Table2[[#This Row],[Amount]]-Table2[[#This Row],[cost]]</f>
        <v>3963.51</v>
      </c>
    </row>
    <row r="258" spans="1:8" x14ac:dyDescent="0.25">
      <c r="A258" t="s">
        <v>40</v>
      </c>
      <c r="B258" t="s">
        <v>36</v>
      </c>
      <c r="C258" t="s">
        <v>13</v>
      </c>
      <c r="D258" s="1">
        <v>4424</v>
      </c>
      <c r="E258" s="2">
        <v>201</v>
      </c>
      <c r="F258" s="43">
        <f>_xlfn.XLOOKUP(Table2[[#This Row],[Product]],products[Product],products[Cost per unit])</f>
        <v>9.33</v>
      </c>
      <c r="G258" s="43">
        <f>Table2[[#This Row],[cost per unit]]*Table2[[#This Row],[Units]]</f>
        <v>1875.33</v>
      </c>
      <c r="H258" s="44">
        <f>Table2[[#This Row],[Amount]]-Table2[[#This Row],[cost]]</f>
        <v>2548.67</v>
      </c>
    </row>
    <row r="259" spans="1:8" x14ac:dyDescent="0.25">
      <c r="A259" t="s">
        <v>2</v>
      </c>
      <c r="B259" t="s">
        <v>36</v>
      </c>
      <c r="C259" t="s">
        <v>17</v>
      </c>
      <c r="D259" s="1">
        <v>189</v>
      </c>
      <c r="E259" s="2">
        <v>48</v>
      </c>
      <c r="F259" s="43">
        <f>_xlfn.XLOOKUP(Table2[[#This Row],[Product]],products[Product],products[Cost per unit])</f>
        <v>3.11</v>
      </c>
      <c r="G259" s="43">
        <f>Table2[[#This Row],[cost per unit]]*Table2[[#This Row],[Units]]</f>
        <v>149.28</v>
      </c>
      <c r="H259" s="44">
        <f>Table2[[#This Row],[Amount]]-Table2[[#This Row],[cost]]</f>
        <v>39.72</v>
      </c>
    </row>
    <row r="260" spans="1:8" x14ac:dyDescent="0.25">
      <c r="A260" t="s">
        <v>5</v>
      </c>
      <c r="B260" t="s">
        <v>35</v>
      </c>
      <c r="C260" t="s">
        <v>22</v>
      </c>
      <c r="D260" s="1">
        <v>490</v>
      </c>
      <c r="E260" s="2">
        <v>84</v>
      </c>
      <c r="F260" s="43">
        <f>_xlfn.XLOOKUP(Table2[[#This Row],[Product]],products[Product],products[Cost per unit])</f>
        <v>9.77</v>
      </c>
      <c r="G260" s="43">
        <f>Table2[[#This Row],[cost per unit]]*Table2[[#This Row],[Units]]</f>
        <v>820.68</v>
      </c>
      <c r="H260" s="44">
        <f>Table2[[#This Row],[Amount]]-Table2[[#This Row],[cost]]</f>
        <v>-330.67999999999995</v>
      </c>
    </row>
    <row r="261" spans="1:8" x14ac:dyDescent="0.25">
      <c r="A261" t="s">
        <v>8</v>
      </c>
      <c r="B261" t="s">
        <v>37</v>
      </c>
      <c r="C261" t="s">
        <v>21</v>
      </c>
      <c r="D261" s="1">
        <v>434</v>
      </c>
      <c r="E261" s="2">
        <v>87</v>
      </c>
      <c r="F261" s="43">
        <f>_xlfn.XLOOKUP(Table2[[#This Row],[Product]],products[Product],products[Cost per unit])</f>
        <v>9</v>
      </c>
      <c r="G261" s="43">
        <f>Table2[[#This Row],[cost per unit]]*Table2[[#This Row],[Units]]</f>
        <v>783</v>
      </c>
      <c r="H261" s="44">
        <f>Table2[[#This Row],[Amount]]-Table2[[#This Row],[cost]]</f>
        <v>-349</v>
      </c>
    </row>
    <row r="262" spans="1:8" x14ac:dyDescent="0.25">
      <c r="A262" t="s">
        <v>7</v>
      </c>
      <c r="B262" t="s">
        <v>38</v>
      </c>
      <c r="C262" t="s">
        <v>30</v>
      </c>
      <c r="D262" s="1">
        <v>10129</v>
      </c>
      <c r="E262" s="2">
        <v>312</v>
      </c>
      <c r="F262" s="43">
        <f>_xlfn.XLOOKUP(Table2[[#This Row],[Product]],products[Product],products[Cost per unit])</f>
        <v>14.49</v>
      </c>
      <c r="G262" s="43">
        <f>Table2[[#This Row],[cost per unit]]*Table2[[#This Row],[Units]]</f>
        <v>4520.88</v>
      </c>
      <c r="H262" s="44">
        <f>Table2[[#This Row],[Amount]]-Table2[[#This Row],[cost]]</f>
        <v>5608.12</v>
      </c>
    </row>
    <row r="263" spans="1:8" x14ac:dyDescent="0.25">
      <c r="A263" t="s">
        <v>3</v>
      </c>
      <c r="B263" t="s">
        <v>39</v>
      </c>
      <c r="C263" t="s">
        <v>28</v>
      </c>
      <c r="D263" s="1">
        <v>1652</v>
      </c>
      <c r="E263" s="2">
        <v>102</v>
      </c>
      <c r="F263" s="43">
        <f>_xlfn.XLOOKUP(Table2[[#This Row],[Product]],products[Product],products[Cost per unit])</f>
        <v>10.38</v>
      </c>
      <c r="G263" s="43">
        <f>Table2[[#This Row],[cost per unit]]*Table2[[#This Row],[Units]]</f>
        <v>1058.76</v>
      </c>
      <c r="H263" s="44">
        <f>Table2[[#This Row],[Amount]]-Table2[[#This Row],[cost]]</f>
        <v>593.24</v>
      </c>
    </row>
    <row r="264" spans="1:8" x14ac:dyDescent="0.25">
      <c r="A264" t="s">
        <v>8</v>
      </c>
      <c r="B264" t="s">
        <v>38</v>
      </c>
      <c r="C264" t="s">
        <v>21</v>
      </c>
      <c r="D264" s="1">
        <v>6433</v>
      </c>
      <c r="E264" s="2">
        <v>78</v>
      </c>
      <c r="F264" s="43">
        <f>_xlfn.XLOOKUP(Table2[[#This Row],[Product]],products[Product],products[Cost per unit])</f>
        <v>9</v>
      </c>
      <c r="G264" s="43">
        <f>Table2[[#This Row],[cost per unit]]*Table2[[#This Row],[Units]]</f>
        <v>702</v>
      </c>
      <c r="H264" s="44">
        <f>Table2[[#This Row],[Amount]]-Table2[[#This Row],[cost]]</f>
        <v>5731</v>
      </c>
    </row>
    <row r="265" spans="1:8" x14ac:dyDescent="0.25">
      <c r="A265" t="s">
        <v>3</v>
      </c>
      <c r="B265" t="s">
        <v>34</v>
      </c>
      <c r="C265" t="s">
        <v>23</v>
      </c>
      <c r="D265" s="1">
        <v>2212</v>
      </c>
      <c r="E265" s="2">
        <v>117</v>
      </c>
      <c r="F265" s="43">
        <f>_xlfn.XLOOKUP(Table2[[#This Row],[Product]],products[Product],products[Cost per unit])</f>
        <v>6.49</v>
      </c>
      <c r="G265" s="43">
        <f>Table2[[#This Row],[cost per unit]]*Table2[[#This Row],[Units]]</f>
        <v>759.33</v>
      </c>
      <c r="H265" s="44">
        <f>Table2[[#This Row],[Amount]]-Table2[[#This Row],[cost]]</f>
        <v>1452.67</v>
      </c>
    </row>
    <row r="266" spans="1:8" x14ac:dyDescent="0.25">
      <c r="A266" t="s">
        <v>41</v>
      </c>
      <c r="B266" t="s">
        <v>35</v>
      </c>
      <c r="C266" t="s">
        <v>19</v>
      </c>
      <c r="D266" s="1">
        <v>609</v>
      </c>
      <c r="E266" s="2">
        <v>99</v>
      </c>
      <c r="F266" s="43">
        <f>_xlfn.XLOOKUP(Table2[[#This Row],[Product]],products[Product],products[Cost per unit])</f>
        <v>7.64</v>
      </c>
      <c r="G266" s="43">
        <f>Table2[[#This Row],[cost per unit]]*Table2[[#This Row],[Units]]</f>
        <v>756.36</v>
      </c>
      <c r="H266" s="44">
        <f>Table2[[#This Row],[Amount]]-Table2[[#This Row],[cost]]</f>
        <v>-147.36000000000001</v>
      </c>
    </row>
    <row r="267" spans="1:8" x14ac:dyDescent="0.25">
      <c r="A267" t="s">
        <v>40</v>
      </c>
      <c r="B267" t="s">
        <v>35</v>
      </c>
      <c r="C267" t="s">
        <v>24</v>
      </c>
      <c r="D267" s="1">
        <v>1638</v>
      </c>
      <c r="E267" s="2">
        <v>48</v>
      </c>
      <c r="F267" s="43">
        <f>_xlfn.XLOOKUP(Table2[[#This Row],[Product]],products[Product],products[Cost per unit])</f>
        <v>4.97</v>
      </c>
      <c r="G267" s="43">
        <f>Table2[[#This Row],[cost per unit]]*Table2[[#This Row],[Units]]</f>
        <v>238.56</v>
      </c>
      <c r="H267" s="44">
        <f>Table2[[#This Row],[Amount]]-Table2[[#This Row],[cost]]</f>
        <v>1399.44</v>
      </c>
    </row>
    <row r="268" spans="1:8" x14ac:dyDescent="0.25">
      <c r="A268" t="s">
        <v>7</v>
      </c>
      <c r="B268" t="s">
        <v>34</v>
      </c>
      <c r="C268" t="s">
        <v>15</v>
      </c>
      <c r="D268" s="1">
        <v>3829</v>
      </c>
      <c r="E268" s="2">
        <v>24</v>
      </c>
      <c r="F268" s="43">
        <f>_xlfn.XLOOKUP(Table2[[#This Row],[Product]],products[Product],products[Cost per unit])</f>
        <v>11.73</v>
      </c>
      <c r="G268" s="43">
        <f>Table2[[#This Row],[cost per unit]]*Table2[[#This Row],[Units]]</f>
        <v>281.52</v>
      </c>
      <c r="H268" s="44">
        <f>Table2[[#This Row],[Amount]]-Table2[[#This Row],[cost]]</f>
        <v>3547.48</v>
      </c>
    </row>
    <row r="269" spans="1:8" x14ac:dyDescent="0.25">
      <c r="A269" t="s">
        <v>40</v>
      </c>
      <c r="B269" t="s">
        <v>39</v>
      </c>
      <c r="C269" t="s">
        <v>15</v>
      </c>
      <c r="D269" s="1">
        <v>5775</v>
      </c>
      <c r="E269" s="2">
        <v>42</v>
      </c>
      <c r="F269" s="43">
        <f>_xlfn.XLOOKUP(Table2[[#This Row],[Product]],products[Product],products[Cost per unit])</f>
        <v>11.73</v>
      </c>
      <c r="G269" s="43">
        <f>Table2[[#This Row],[cost per unit]]*Table2[[#This Row],[Units]]</f>
        <v>492.66</v>
      </c>
      <c r="H269" s="44">
        <f>Table2[[#This Row],[Amount]]-Table2[[#This Row],[cost]]</f>
        <v>5282.34</v>
      </c>
    </row>
    <row r="270" spans="1:8" x14ac:dyDescent="0.25">
      <c r="A270" t="s">
        <v>6</v>
      </c>
      <c r="B270" t="s">
        <v>35</v>
      </c>
      <c r="C270" t="s">
        <v>20</v>
      </c>
      <c r="D270" s="1">
        <v>1071</v>
      </c>
      <c r="E270" s="2">
        <v>270</v>
      </c>
      <c r="F270" s="43">
        <f>_xlfn.XLOOKUP(Table2[[#This Row],[Product]],products[Product],products[Cost per unit])</f>
        <v>10.62</v>
      </c>
      <c r="G270" s="43">
        <f>Table2[[#This Row],[cost per unit]]*Table2[[#This Row],[Units]]</f>
        <v>2867.3999999999996</v>
      </c>
      <c r="H270" s="44">
        <f>Table2[[#This Row],[Amount]]-Table2[[#This Row],[cost]]</f>
        <v>-1796.3999999999996</v>
      </c>
    </row>
    <row r="271" spans="1:8" x14ac:dyDescent="0.25">
      <c r="A271" t="s">
        <v>8</v>
      </c>
      <c r="B271" t="s">
        <v>36</v>
      </c>
      <c r="C271" t="s">
        <v>23</v>
      </c>
      <c r="D271" s="1">
        <v>5019</v>
      </c>
      <c r="E271" s="2">
        <v>150</v>
      </c>
      <c r="F271" s="43">
        <f>_xlfn.XLOOKUP(Table2[[#This Row],[Product]],products[Product],products[Cost per unit])</f>
        <v>6.49</v>
      </c>
      <c r="G271" s="43">
        <f>Table2[[#This Row],[cost per unit]]*Table2[[#This Row],[Units]]</f>
        <v>973.5</v>
      </c>
      <c r="H271" s="44">
        <f>Table2[[#This Row],[Amount]]-Table2[[#This Row],[cost]]</f>
        <v>4045.5</v>
      </c>
    </row>
    <row r="272" spans="1:8" x14ac:dyDescent="0.25">
      <c r="A272" t="s">
        <v>2</v>
      </c>
      <c r="B272" t="s">
        <v>37</v>
      </c>
      <c r="C272" t="s">
        <v>15</v>
      </c>
      <c r="D272" s="1">
        <v>2863</v>
      </c>
      <c r="E272" s="2">
        <v>42</v>
      </c>
      <c r="F272" s="43">
        <f>_xlfn.XLOOKUP(Table2[[#This Row],[Product]],products[Product],products[Cost per unit])</f>
        <v>11.73</v>
      </c>
      <c r="G272" s="43">
        <f>Table2[[#This Row],[cost per unit]]*Table2[[#This Row],[Units]]</f>
        <v>492.66</v>
      </c>
      <c r="H272" s="44">
        <f>Table2[[#This Row],[Amount]]-Table2[[#This Row],[cost]]</f>
        <v>2370.34</v>
      </c>
    </row>
    <row r="273" spans="1:8" x14ac:dyDescent="0.25">
      <c r="A273" t="s">
        <v>40</v>
      </c>
      <c r="B273" t="s">
        <v>35</v>
      </c>
      <c r="C273" t="s">
        <v>29</v>
      </c>
      <c r="D273" s="1">
        <v>1617</v>
      </c>
      <c r="E273" s="2">
        <v>126</v>
      </c>
      <c r="F273" s="43">
        <f>_xlfn.XLOOKUP(Table2[[#This Row],[Product]],products[Product],products[Cost per unit])</f>
        <v>7.16</v>
      </c>
      <c r="G273" s="43">
        <f>Table2[[#This Row],[cost per unit]]*Table2[[#This Row],[Units]]</f>
        <v>902.16</v>
      </c>
      <c r="H273" s="44">
        <f>Table2[[#This Row],[Amount]]-Table2[[#This Row],[cost]]</f>
        <v>714.84</v>
      </c>
    </row>
    <row r="274" spans="1:8" x14ac:dyDescent="0.25">
      <c r="A274" t="s">
        <v>6</v>
      </c>
      <c r="B274" t="s">
        <v>37</v>
      </c>
      <c r="C274" t="s">
        <v>26</v>
      </c>
      <c r="D274" s="1">
        <v>6818</v>
      </c>
      <c r="E274" s="2">
        <v>6</v>
      </c>
      <c r="F274" s="43">
        <f>_xlfn.XLOOKUP(Table2[[#This Row],[Product]],products[Product],products[Cost per unit])</f>
        <v>5.6</v>
      </c>
      <c r="G274" s="43">
        <f>Table2[[#This Row],[cost per unit]]*Table2[[#This Row],[Units]]</f>
        <v>33.599999999999994</v>
      </c>
      <c r="H274" s="44">
        <f>Table2[[#This Row],[Amount]]-Table2[[#This Row],[cost]]</f>
        <v>6784.4</v>
      </c>
    </row>
    <row r="275" spans="1:8" x14ac:dyDescent="0.25">
      <c r="A275" t="s">
        <v>3</v>
      </c>
      <c r="B275" t="s">
        <v>35</v>
      </c>
      <c r="C275" t="s">
        <v>15</v>
      </c>
      <c r="D275" s="1">
        <v>6657</v>
      </c>
      <c r="E275" s="2">
        <v>276</v>
      </c>
      <c r="F275" s="43">
        <f>_xlfn.XLOOKUP(Table2[[#This Row],[Product]],products[Product],products[Cost per unit])</f>
        <v>11.73</v>
      </c>
      <c r="G275" s="43">
        <f>Table2[[#This Row],[cost per unit]]*Table2[[#This Row],[Units]]</f>
        <v>3237.48</v>
      </c>
      <c r="H275" s="44">
        <f>Table2[[#This Row],[Amount]]-Table2[[#This Row],[cost]]</f>
        <v>3419.52</v>
      </c>
    </row>
    <row r="276" spans="1:8" x14ac:dyDescent="0.25">
      <c r="A276" t="s">
        <v>3</v>
      </c>
      <c r="B276" t="s">
        <v>34</v>
      </c>
      <c r="C276" t="s">
        <v>17</v>
      </c>
      <c r="D276" s="1">
        <v>2919</v>
      </c>
      <c r="E276" s="2">
        <v>93</v>
      </c>
      <c r="F276" s="43">
        <f>_xlfn.XLOOKUP(Table2[[#This Row],[Product]],products[Product],products[Cost per unit])</f>
        <v>3.11</v>
      </c>
      <c r="G276" s="43">
        <f>Table2[[#This Row],[cost per unit]]*Table2[[#This Row],[Units]]</f>
        <v>289.22999999999996</v>
      </c>
      <c r="H276" s="44">
        <f>Table2[[#This Row],[Amount]]-Table2[[#This Row],[cost]]</f>
        <v>2629.77</v>
      </c>
    </row>
    <row r="277" spans="1:8" x14ac:dyDescent="0.25">
      <c r="A277" t="s">
        <v>2</v>
      </c>
      <c r="B277" t="s">
        <v>36</v>
      </c>
      <c r="C277" t="s">
        <v>31</v>
      </c>
      <c r="D277" s="1">
        <v>3094</v>
      </c>
      <c r="E277" s="2">
        <v>246</v>
      </c>
      <c r="F277" s="43">
        <f>_xlfn.XLOOKUP(Table2[[#This Row],[Product]],products[Product],products[Cost per unit])</f>
        <v>5.79</v>
      </c>
      <c r="G277" s="43">
        <f>Table2[[#This Row],[cost per unit]]*Table2[[#This Row],[Units]]</f>
        <v>1424.34</v>
      </c>
      <c r="H277" s="44">
        <f>Table2[[#This Row],[Amount]]-Table2[[#This Row],[cost]]</f>
        <v>1669.66</v>
      </c>
    </row>
    <row r="278" spans="1:8" x14ac:dyDescent="0.25">
      <c r="A278" t="s">
        <v>6</v>
      </c>
      <c r="B278" t="s">
        <v>39</v>
      </c>
      <c r="C278" t="s">
        <v>24</v>
      </c>
      <c r="D278" s="1">
        <v>2989</v>
      </c>
      <c r="E278" s="2">
        <v>3</v>
      </c>
      <c r="F278" s="43">
        <f>_xlfn.XLOOKUP(Table2[[#This Row],[Product]],products[Product],products[Cost per unit])</f>
        <v>4.97</v>
      </c>
      <c r="G278" s="43">
        <f>Table2[[#This Row],[cost per unit]]*Table2[[#This Row],[Units]]</f>
        <v>14.91</v>
      </c>
      <c r="H278" s="44">
        <f>Table2[[#This Row],[Amount]]-Table2[[#This Row],[cost]]</f>
        <v>2974.09</v>
      </c>
    </row>
    <row r="279" spans="1:8" x14ac:dyDescent="0.25">
      <c r="A279" t="s">
        <v>8</v>
      </c>
      <c r="B279" t="s">
        <v>38</v>
      </c>
      <c r="C279" t="s">
        <v>27</v>
      </c>
      <c r="D279" s="1">
        <v>2268</v>
      </c>
      <c r="E279" s="2">
        <v>63</v>
      </c>
      <c r="F279" s="43">
        <f>_xlfn.XLOOKUP(Table2[[#This Row],[Product]],products[Product],products[Cost per unit])</f>
        <v>16.73</v>
      </c>
      <c r="G279" s="43">
        <f>Table2[[#This Row],[cost per unit]]*Table2[[#This Row],[Units]]</f>
        <v>1053.99</v>
      </c>
      <c r="H279" s="44">
        <f>Table2[[#This Row],[Amount]]-Table2[[#This Row],[cost]]</f>
        <v>1214.01</v>
      </c>
    </row>
    <row r="280" spans="1:8" x14ac:dyDescent="0.25">
      <c r="A280" t="s">
        <v>5</v>
      </c>
      <c r="B280" t="s">
        <v>35</v>
      </c>
      <c r="C280" t="s">
        <v>31</v>
      </c>
      <c r="D280" s="1">
        <v>4753</v>
      </c>
      <c r="E280" s="2">
        <v>246</v>
      </c>
      <c r="F280" s="43">
        <f>_xlfn.XLOOKUP(Table2[[#This Row],[Product]],products[Product],products[Cost per unit])</f>
        <v>5.79</v>
      </c>
      <c r="G280" s="43">
        <f>Table2[[#This Row],[cost per unit]]*Table2[[#This Row],[Units]]</f>
        <v>1424.34</v>
      </c>
      <c r="H280" s="44">
        <f>Table2[[#This Row],[Amount]]-Table2[[#This Row],[cost]]</f>
        <v>3328.66</v>
      </c>
    </row>
    <row r="281" spans="1:8" x14ac:dyDescent="0.25">
      <c r="A281" t="s">
        <v>2</v>
      </c>
      <c r="B281" t="s">
        <v>34</v>
      </c>
      <c r="C281" t="s">
        <v>19</v>
      </c>
      <c r="D281" s="1">
        <v>7511</v>
      </c>
      <c r="E281" s="2">
        <v>120</v>
      </c>
      <c r="F281" s="43">
        <f>_xlfn.XLOOKUP(Table2[[#This Row],[Product]],products[Product],products[Cost per unit])</f>
        <v>7.64</v>
      </c>
      <c r="G281" s="43">
        <f>Table2[[#This Row],[cost per unit]]*Table2[[#This Row],[Units]]</f>
        <v>916.8</v>
      </c>
      <c r="H281" s="44">
        <f>Table2[[#This Row],[Amount]]-Table2[[#This Row],[cost]]</f>
        <v>6594.2</v>
      </c>
    </row>
    <row r="282" spans="1:8" x14ac:dyDescent="0.25">
      <c r="A282" t="s">
        <v>2</v>
      </c>
      <c r="B282" t="s">
        <v>38</v>
      </c>
      <c r="C282" t="s">
        <v>31</v>
      </c>
      <c r="D282" s="1">
        <v>4326</v>
      </c>
      <c r="E282" s="2">
        <v>348</v>
      </c>
      <c r="F282" s="43">
        <f>_xlfn.XLOOKUP(Table2[[#This Row],[Product]],products[Product],products[Cost per unit])</f>
        <v>5.79</v>
      </c>
      <c r="G282" s="43">
        <f>Table2[[#This Row],[cost per unit]]*Table2[[#This Row],[Units]]</f>
        <v>2014.92</v>
      </c>
      <c r="H282" s="44">
        <f>Table2[[#This Row],[Amount]]-Table2[[#This Row],[cost]]</f>
        <v>2311.08</v>
      </c>
    </row>
    <row r="283" spans="1:8" x14ac:dyDescent="0.25">
      <c r="A283" t="s">
        <v>41</v>
      </c>
      <c r="B283" t="s">
        <v>34</v>
      </c>
      <c r="C283" t="s">
        <v>23</v>
      </c>
      <c r="D283" s="1">
        <v>4935</v>
      </c>
      <c r="E283" s="2">
        <v>126</v>
      </c>
      <c r="F283" s="43">
        <f>_xlfn.XLOOKUP(Table2[[#This Row],[Product]],products[Product],products[Cost per unit])</f>
        <v>6.49</v>
      </c>
      <c r="G283" s="43">
        <f>Table2[[#This Row],[cost per unit]]*Table2[[#This Row],[Units]]</f>
        <v>817.74</v>
      </c>
      <c r="H283" s="44">
        <f>Table2[[#This Row],[Amount]]-Table2[[#This Row],[cost]]</f>
        <v>4117.26</v>
      </c>
    </row>
    <row r="284" spans="1:8" x14ac:dyDescent="0.25">
      <c r="A284" t="s">
        <v>6</v>
      </c>
      <c r="B284" t="s">
        <v>35</v>
      </c>
      <c r="C284" t="s">
        <v>30</v>
      </c>
      <c r="D284" s="1">
        <v>4781</v>
      </c>
      <c r="E284" s="2">
        <v>123</v>
      </c>
      <c r="F284" s="43">
        <f>_xlfn.XLOOKUP(Table2[[#This Row],[Product]],products[Product],products[Cost per unit])</f>
        <v>14.49</v>
      </c>
      <c r="G284" s="43">
        <f>Table2[[#This Row],[cost per unit]]*Table2[[#This Row],[Units]]</f>
        <v>1782.27</v>
      </c>
      <c r="H284" s="44">
        <f>Table2[[#This Row],[Amount]]-Table2[[#This Row],[cost]]</f>
        <v>2998.73</v>
      </c>
    </row>
    <row r="285" spans="1:8" x14ac:dyDescent="0.25">
      <c r="A285" t="s">
        <v>5</v>
      </c>
      <c r="B285" t="s">
        <v>38</v>
      </c>
      <c r="C285" t="s">
        <v>25</v>
      </c>
      <c r="D285" s="1">
        <v>7483</v>
      </c>
      <c r="E285" s="2">
        <v>45</v>
      </c>
      <c r="F285" s="43">
        <f>_xlfn.XLOOKUP(Table2[[#This Row],[Product]],products[Product],products[Cost per unit])</f>
        <v>13.15</v>
      </c>
      <c r="G285" s="43">
        <f>Table2[[#This Row],[cost per unit]]*Table2[[#This Row],[Units]]</f>
        <v>591.75</v>
      </c>
      <c r="H285" s="44">
        <f>Table2[[#This Row],[Amount]]-Table2[[#This Row],[cost]]</f>
        <v>6891.25</v>
      </c>
    </row>
    <row r="286" spans="1:8" x14ac:dyDescent="0.25">
      <c r="A286" t="s">
        <v>10</v>
      </c>
      <c r="B286" t="s">
        <v>38</v>
      </c>
      <c r="C286" t="s">
        <v>4</v>
      </c>
      <c r="D286" s="1">
        <v>6860</v>
      </c>
      <c r="E286" s="2">
        <v>126</v>
      </c>
      <c r="F286" s="43">
        <f>_xlfn.XLOOKUP(Table2[[#This Row],[Product]],products[Product],products[Cost per unit])</f>
        <v>11.88</v>
      </c>
      <c r="G286" s="43">
        <f>Table2[[#This Row],[cost per unit]]*Table2[[#This Row],[Units]]</f>
        <v>1496.88</v>
      </c>
      <c r="H286" s="44">
        <f>Table2[[#This Row],[Amount]]-Table2[[#This Row],[cost]]</f>
        <v>5363.12</v>
      </c>
    </row>
    <row r="287" spans="1:8" x14ac:dyDescent="0.25">
      <c r="A287" t="s">
        <v>40</v>
      </c>
      <c r="B287" t="s">
        <v>37</v>
      </c>
      <c r="C287" t="s">
        <v>29</v>
      </c>
      <c r="D287" s="1">
        <v>9002</v>
      </c>
      <c r="E287" s="2">
        <v>72</v>
      </c>
      <c r="F287" s="43">
        <f>_xlfn.XLOOKUP(Table2[[#This Row],[Product]],products[Product],products[Cost per unit])</f>
        <v>7.16</v>
      </c>
      <c r="G287" s="43">
        <f>Table2[[#This Row],[cost per unit]]*Table2[[#This Row],[Units]]</f>
        <v>515.52</v>
      </c>
      <c r="H287" s="44">
        <f>Table2[[#This Row],[Amount]]-Table2[[#This Row],[cost]]</f>
        <v>8486.48</v>
      </c>
    </row>
    <row r="288" spans="1:8" x14ac:dyDescent="0.25">
      <c r="A288" t="s">
        <v>6</v>
      </c>
      <c r="B288" t="s">
        <v>36</v>
      </c>
      <c r="C288" t="s">
        <v>29</v>
      </c>
      <c r="D288" s="1">
        <v>1400</v>
      </c>
      <c r="E288" s="2">
        <v>135</v>
      </c>
      <c r="F288" s="43">
        <f>_xlfn.XLOOKUP(Table2[[#This Row],[Product]],products[Product],products[Cost per unit])</f>
        <v>7.16</v>
      </c>
      <c r="G288" s="43">
        <f>Table2[[#This Row],[cost per unit]]*Table2[[#This Row],[Units]]</f>
        <v>966.6</v>
      </c>
      <c r="H288" s="44">
        <f>Table2[[#This Row],[Amount]]-Table2[[#This Row],[cost]]</f>
        <v>433.4</v>
      </c>
    </row>
    <row r="289" spans="1:8" x14ac:dyDescent="0.25">
      <c r="A289" t="s">
        <v>10</v>
      </c>
      <c r="B289" t="s">
        <v>34</v>
      </c>
      <c r="C289" t="s">
        <v>22</v>
      </c>
      <c r="D289" s="1">
        <v>4053</v>
      </c>
      <c r="E289" s="2">
        <v>24</v>
      </c>
      <c r="F289" s="43">
        <f>_xlfn.XLOOKUP(Table2[[#This Row],[Product]],products[Product],products[Cost per unit])</f>
        <v>9.77</v>
      </c>
      <c r="G289" s="43">
        <f>Table2[[#This Row],[cost per unit]]*Table2[[#This Row],[Units]]</f>
        <v>234.48</v>
      </c>
      <c r="H289" s="44">
        <f>Table2[[#This Row],[Amount]]-Table2[[#This Row],[cost]]</f>
        <v>3818.52</v>
      </c>
    </row>
    <row r="290" spans="1:8" x14ac:dyDescent="0.25">
      <c r="A290" t="s">
        <v>7</v>
      </c>
      <c r="B290" t="s">
        <v>36</v>
      </c>
      <c r="C290" t="s">
        <v>31</v>
      </c>
      <c r="D290" s="1">
        <v>2149</v>
      </c>
      <c r="E290" s="2">
        <v>117</v>
      </c>
      <c r="F290" s="43">
        <f>_xlfn.XLOOKUP(Table2[[#This Row],[Product]],products[Product],products[Cost per unit])</f>
        <v>5.79</v>
      </c>
      <c r="G290" s="43">
        <f>Table2[[#This Row],[cost per unit]]*Table2[[#This Row],[Units]]</f>
        <v>677.43</v>
      </c>
      <c r="H290" s="44">
        <f>Table2[[#This Row],[Amount]]-Table2[[#This Row],[cost]]</f>
        <v>1471.5700000000002</v>
      </c>
    </row>
    <row r="291" spans="1:8" x14ac:dyDescent="0.25">
      <c r="A291" t="s">
        <v>3</v>
      </c>
      <c r="B291" t="s">
        <v>39</v>
      </c>
      <c r="C291" t="s">
        <v>29</v>
      </c>
      <c r="D291" s="1">
        <v>3640</v>
      </c>
      <c r="E291" s="2">
        <v>51</v>
      </c>
      <c r="F291" s="43">
        <f>_xlfn.XLOOKUP(Table2[[#This Row],[Product]],products[Product],products[Cost per unit])</f>
        <v>7.16</v>
      </c>
      <c r="G291" s="43">
        <f>Table2[[#This Row],[cost per unit]]*Table2[[#This Row],[Units]]</f>
        <v>365.16</v>
      </c>
      <c r="H291" s="44">
        <f>Table2[[#This Row],[Amount]]-Table2[[#This Row],[cost]]</f>
        <v>3274.84</v>
      </c>
    </row>
    <row r="292" spans="1:8" x14ac:dyDescent="0.25">
      <c r="A292" t="s">
        <v>2</v>
      </c>
      <c r="B292" t="s">
        <v>39</v>
      </c>
      <c r="C292" t="s">
        <v>23</v>
      </c>
      <c r="D292" s="1">
        <v>630</v>
      </c>
      <c r="E292" s="2">
        <v>36</v>
      </c>
      <c r="F292" s="43">
        <f>_xlfn.XLOOKUP(Table2[[#This Row],[Product]],products[Product],products[Cost per unit])</f>
        <v>6.49</v>
      </c>
      <c r="G292" s="43">
        <f>Table2[[#This Row],[cost per unit]]*Table2[[#This Row],[Units]]</f>
        <v>233.64000000000001</v>
      </c>
      <c r="H292" s="44">
        <f>Table2[[#This Row],[Amount]]-Table2[[#This Row],[cost]]</f>
        <v>396.36</v>
      </c>
    </row>
    <row r="293" spans="1:8" x14ac:dyDescent="0.25">
      <c r="A293" t="s">
        <v>9</v>
      </c>
      <c r="B293" t="s">
        <v>35</v>
      </c>
      <c r="C293" t="s">
        <v>27</v>
      </c>
      <c r="D293" s="1">
        <v>2429</v>
      </c>
      <c r="E293" s="2">
        <v>144</v>
      </c>
      <c r="F293" s="43">
        <f>_xlfn.XLOOKUP(Table2[[#This Row],[Product]],products[Product],products[Cost per unit])</f>
        <v>16.73</v>
      </c>
      <c r="G293" s="43">
        <f>Table2[[#This Row],[cost per unit]]*Table2[[#This Row],[Units]]</f>
        <v>2409.12</v>
      </c>
      <c r="H293" s="44">
        <f>Table2[[#This Row],[Amount]]-Table2[[#This Row],[cost]]</f>
        <v>19.880000000000109</v>
      </c>
    </row>
    <row r="294" spans="1:8" x14ac:dyDescent="0.25">
      <c r="A294" t="s">
        <v>9</v>
      </c>
      <c r="B294" t="s">
        <v>36</v>
      </c>
      <c r="C294" t="s">
        <v>25</v>
      </c>
      <c r="D294" s="1">
        <v>2142</v>
      </c>
      <c r="E294" s="2">
        <v>114</v>
      </c>
      <c r="F294" s="43">
        <f>_xlfn.XLOOKUP(Table2[[#This Row],[Product]],products[Product],products[Cost per unit])</f>
        <v>13.15</v>
      </c>
      <c r="G294" s="43">
        <f>Table2[[#This Row],[cost per unit]]*Table2[[#This Row],[Units]]</f>
        <v>1499.1000000000001</v>
      </c>
      <c r="H294" s="44">
        <f>Table2[[#This Row],[Amount]]-Table2[[#This Row],[cost]]</f>
        <v>642.89999999999986</v>
      </c>
    </row>
    <row r="295" spans="1:8" x14ac:dyDescent="0.25">
      <c r="A295" t="s">
        <v>7</v>
      </c>
      <c r="B295" t="s">
        <v>37</v>
      </c>
      <c r="C295" t="s">
        <v>30</v>
      </c>
      <c r="D295" s="1">
        <v>6454</v>
      </c>
      <c r="E295" s="2">
        <v>54</v>
      </c>
      <c r="F295" s="43">
        <f>_xlfn.XLOOKUP(Table2[[#This Row],[Product]],products[Product],products[Cost per unit])</f>
        <v>14.49</v>
      </c>
      <c r="G295" s="43">
        <f>Table2[[#This Row],[cost per unit]]*Table2[[#This Row],[Units]]</f>
        <v>782.46</v>
      </c>
      <c r="H295" s="44">
        <f>Table2[[#This Row],[Amount]]-Table2[[#This Row],[cost]]</f>
        <v>5671.54</v>
      </c>
    </row>
    <row r="296" spans="1:8" x14ac:dyDescent="0.25">
      <c r="A296" t="s">
        <v>7</v>
      </c>
      <c r="B296" t="s">
        <v>37</v>
      </c>
      <c r="C296" t="s">
        <v>16</v>
      </c>
      <c r="D296" s="1">
        <v>4487</v>
      </c>
      <c r="E296" s="2">
        <v>333</v>
      </c>
      <c r="F296" s="43">
        <f>_xlfn.XLOOKUP(Table2[[#This Row],[Product]],products[Product],products[Cost per unit])</f>
        <v>8.7899999999999991</v>
      </c>
      <c r="G296" s="43">
        <f>Table2[[#This Row],[cost per unit]]*Table2[[#This Row],[Units]]</f>
        <v>2927.0699999999997</v>
      </c>
      <c r="H296" s="44">
        <f>Table2[[#This Row],[Amount]]-Table2[[#This Row],[cost]]</f>
        <v>1559.9300000000003</v>
      </c>
    </row>
    <row r="297" spans="1:8" x14ac:dyDescent="0.25">
      <c r="A297" t="s">
        <v>3</v>
      </c>
      <c r="B297" t="s">
        <v>37</v>
      </c>
      <c r="C297" t="s">
        <v>4</v>
      </c>
      <c r="D297" s="1">
        <v>938</v>
      </c>
      <c r="E297" s="2">
        <v>366</v>
      </c>
      <c r="F297" s="43">
        <f>_xlfn.XLOOKUP(Table2[[#This Row],[Product]],products[Product],products[Cost per unit])</f>
        <v>11.88</v>
      </c>
      <c r="G297" s="43">
        <f>Table2[[#This Row],[cost per unit]]*Table2[[#This Row],[Units]]</f>
        <v>4348.08</v>
      </c>
      <c r="H297" s="44">
        <f>Table2[[#This Row],[Amount]]-Table2[[#This Row],[cost]]</f>
        <v>-3410.08</v>
      </c>
    </row>
    <row r="298" spans="1:8" x14ac:dyDescent="0.25">
      <c r="A298" t="s">
        <v>3</v>
      </c>
      <c r="B298" t="s">
        <v>38</v>
      </c>
      <c r="C298" t="s">
        <v>26</v>
      </c>
      <c r="D298" s="1">
        <v>8841</v>
      </c>
      <c r="E298" s="2">
        <v>303</v>
      </c>
      <c r="F298" s="43">
        <f>_xlfn.XLOOKUP(Table2[[#This Row],[Product]],products[Product],products[Cost per unit])</f>
        <v>5.6</v>
      </c>
      <c r="G298" s="43">
        <f>Table2[[#This Row],[cost per unit]]*Table2[[#This Row],[Units]]</f>
        <v>1696.8</v>
      </c>
      <c r="H298" s="44">
        <f>Table2[[#This Row],[Amount]]-Table2[[#This Row],[cost]]</f>
        <v>7144.2</v>
      </c>
    </row>
    <row r="299" spans="1:8" x14ac:dyDescent="0.25">
      <c r="A299" t="s">
        <v>2</v>
      </c>
      <c r="B299" t="s">
        <v>39</v>
      </c>
      <c r="C299" t="s">
        <v>33</v>
      </c>
      <c r="D299" s="1">
        <v>4018</v>
      </c>
      <c r="E299" s="2">
        <v>126</v>
      </c>
      <c r="F299" s="43">
        <f>_xlfn.XLOOKUP(Table2[[#This Row],[Product]],products[Product],products[Cost per unit])</f>
        <v>12.37</v>
      </c>
      <c r="G299" s="43">
        <f>Table2[[#This Row],[cost per unit]]*Table2[[#This Row],[Units]]</f>
        <v>1558.62</v>
      </c>
      <c r="H299" s="44">
        <f>Table2[[#This Row],[Amount]]-Table2[[#This Row],[cost]]</f>
        <v>2459.38</v>
      </c>
    </row>
    <row r="300" spans="1:8" x14ac:dyDescent="0.25">
      <c r="A300" t="s">
        <v>41</v>
      </c>
      <c r="B300" t="s">
        <v>37</v>
      </c>
      <c r="C300" t="s">
        <v>15</v>
      </c>
      <c r="D300" s="1">
        <v>714</v>
      </c>
      <c r="E300" s="2">
        <v>231</v>
      </c>
      <c r="F300" s="43">
        <f>_xlfn.XLOOKUP(Table2[[#This Row],[Product]],products[Product],products[Cost per unit])</f>
        <v>11.73</v>
      </c>
      <c r="G300" s="43">
        <f>Table2[[#This Row],[cost per unit]]*Table2[[#This Row],[Units]]</f>
        <v>2709.63</v>
      </c>
      <c r="H300" s="44">
        <f>Table2[[#This Row],[Amount]]-Table2[[#This Row],[cost]]</f>
        <v>-1995.63</v>
      </c>
    </row>
    <row r="301" spans="1:8" x14ac:dyDescent="0.25">
      <c r="A301" t="s">
        <v>9</v>
      </c>
      <c r="B301" t="s">
        <v>38</v>
      </c>
      <c r="C301" t="s">
        <v>25</v>
      </c>
      <c r="D301" s="1">
        <v>3850</v>
      </c>
      <c r="E301" s="2">
        <v>102</v>
      </c>
      <c r="F301" s="43">
        <f>_xlfn.XLOOKUP(Table2[[#This Row],[Product]],products[Product],products[Cost per unit])</f>
        <v>13.15</v>
      </c>
      <c r="G301" s="43">
        <f>Table2[[#This Row],[cost per unit]]*Table2[[#This Row],[Units]]</f>
        <v>1341.3</v>
      </c>
      <c r="H301" s="44">
        <f>Table2[[#This Row],[Amount]]-Table2[[#This Row],[cost]]</f>
        <v>2508.6999999999998</v>
      </c>
    </row>
  </sheetData>
  <mergeCells count="1">
    <mergeCell ref="I1:J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48DF7-71A3-4712-B10A-07058F2CBE6A}">
  <dimension ref="A1:M166"/>
  <sheetViews>
    <sheetView topLeftCell="A78" workbookViewId="0">
      <selection activeCell="C101" sqref="C101"/>
    </sheetView>
  </sheetViews>
  <sheetFormatPr defaultRowHeight="15" x14ac:dyDescent="0.25"/>
  <cols>
    <col min="1" max="1" width="22.7109375" customWidth="1"/>
    <col min="2" max="2" width="12.28515625" bestFit="1" customWidth="1"/>
    <col min="3" max="3" width="14.85546875" bestFit="1" customWidth="1"/>
    <col min="4" max="4" width="16.28515625" bestFit="1" customWidth="1"/>
    <col min="5" max="5" width="14.85546875" bestFit="1" customWidth="1"/>
    <col min="6" max="6" width="12" bestFit="1" customWidth="1"/>
  </cols>
  <sheetData>
    <row r="1" spans="1:3" x14ac:dyDescent="0.25">
      <c r="A1" s="39" t="s">
        <v>69</v>
      </c>
      <c r="B1" s="39"/>
      <c r="C1" s="39"/>
    </row>
    <row r="3" spans="1:3" x14ac:dyDescent="0.25">
      <c r="A3" s="37" t="s">
        <v>67</v>
      </c>
      <c r="B3" s="43" t="s">
        <v>66</v>
      </c>
      <c r="C3" s="43" t="s">
        <v>65</v>
      </c>
    </row>
    <row r="4" spans="1:3" x14ac:dyDescent="0.25">
      <c r="A4" s="38" t="s">
        <v>38</v>
      </c>
      <c r="B4" s="36">
        <v>477</v>
      </c>
      <c r="C4" s="34">
        <v>24983</v>
      </c>
    </row>
    <row r="5" spans="1:3" x14ac:dyDescent="0.25">
      <c r="A5" s="38" t="s">
        <v>36</v>
      </c>
      <c r="B5" s="36">
        <v>564</v>
      </c>
      <c r="C5" s="34">
        <v>25669</v>
      </c>
    </row>
    <row r="6" spans="1:3" x14ac:dyDescent="0.25">
      <c r="A6" s="38" t="s">
        <v>34</v>
      </c>
      <c r="B6" s="36">
        <v>1122</v>
      </c>
      <c r="C6" s="34">
        <v>39424</v>
      </c>
    </row>
    <row r="7" spans="1:3" x14ac:dyDescent="0.25">
      <c r="A7" s="38" t="s">
        <v>37</v>
      </c>
      <c r="B7" s="36">
        <v>1116</v>
      </c>
      <c r="C7" s="34">
        <v>21434</v>
      </c>
    </row>
    <row r="8" spans="1:3" x14ac:dyDescent="0.25">
      <c r="A8" s="38" t="s">
        <v>39</v>
      </c>
      <c r="B8" s="36">
        <v>582</v>
      </c>
      <c r="C8" s="34">
        <v>9751</v>
      </c>
    </row>
    <row r="9" spans="1:3" x14ac:dyDescent="0.25">
      <c r="A9" s="38" t="s">
        <v>35</v>
      </c>
      <c r="B9" s="36">
        <v>693</v>
      </c>
      <c r="C9" s="34">
        <v>11319</v>
      </c>
    </row>
    <row r="10" spans="1:3" x14ac:dyDescent="0.25">
      <c r="A10" s="38" t="s">
        <v>68</v>
      </c>
      <c r="B10" s="36">
        <v>4554</v>
      </c>
      <c r="C10" s="34">
        <v>132580</v>
      </c>
    </row>
    <row r="16" spans="1:3" ht="15.75" thickBot="1" x14ac:dyDescent="0.3">
      <c r="A16" s="41" t="s">
        <v>51</v>
      </c>
      <c r="B16" s="41"/>
    </row>
    <row r="18" spans="1:5" x14ac:dyDescent="0.25">
      <c r="A18" s="37" t="s">
        <v>67</v>
      </c>
      <c r="B18" t="s">
        <v>70</v>
      </c>
    </row>
    <row r="19" spans="1:5" x14ac:dyDescent="0.25">
      <c r="A19" s="38" t="s">
        <v>15</v>
      </c>
      <c r="B19" s="42">
        <v>44.990867579908674</v>
      </c>
    </row>
    <row r="20" spans="1:5" x14ac:dyDescent="0.25">
      <c r="A20" s="38" t="s">
        <v>33</v>
      </c>
      <c r="B20" s="42">
        <v>37.303128371089535</v>
      </c>
    </row>
    <row r="21" spans="1:5" x14ac:dyDescent="0.25">
      <c r="A21" s="38" t="s">
        <v>24</v>
      </c>
      <c r="B21" s="42">
        <v>33.88697318007663</v>
      </c>
    </row>
    <row r="22" spans="1:5" x14ac:dyDescent="0.25">
      <c r="A22" s="38" t="s">
        <v>26</v>
      </c>
      <c r="B22" s="42">
        <v>32.807189542483663</v>
      </c>
    </row>
    <row r="23" spans="1:5" x14ac:dyDescent="0.25">
      <c r="A23" s="38" t="s">
        <v>22</v>
      </c>
      <c r="B23" s="42">
        <v>32.301656920077974</v>
      </c>
    </row>
    <row r="24" spans="1:5" x14ac:dyDescent="0.25">
      <c r="A24" s="38" t="s">
        <v>68</v>
      </c>
      <c r="B24" s="42">
        <v>35.949565217391303</v>
      </c>
    </row>
    <row r="29" spans="1:5" ht="15.75" thickBot="1" x14ac:dyDescent="0.3">
      <c r="A29" s="41" t="s">
        <v>47</v>
      </c>
      <c r="B29" s="41"/>
    </row>
    <row r="31" spans="1:5" x14ac:dyDescent="0.25">
      <c r="A31" s="37" t="s">
        <v>67</v>
      </c>
      <c r="B31" t="s">
        <v>65</v>
      </c>
      <c r="D31" s="37" t="s">
        <v>67</v>
      </c>
      <c r="E31" t="s">
        <v>65</v>
      </c>
    </row>
    <row r="32" spans="1:5" x14ac:dyDescent="0.25">
      <c r="A32" s="38" t="s">
        <v>38</v>
      </c>
      <c r="B32" s="36"/>
      <c r="D32" s="38" t="s">
        <v>38</v>
      </c>
      <c r="E32" s="36"/>
    </row>
    <row r="33" spans="1:5" x14ac:dyDescent="0.25">
      <c r="A33" s="40" t="s">
        <v>5</v>
      </c>
      <c r="B33" s="36">
        <v>25221</v>
      </c>
      <c r="D33" s="40" t="s">
        <v>41</v>
      </c>
      <c r="E33" s="36">
        <v>6069</v>
      </c>
    </row>
    <row r="34" spans="1:5" x14ac:dyDescent="0.25">
      <c r="A34" s="38" t="s">
        <v>36</v>
      </c>
      <c r="B34" s="36"/>
      <c r="D34" s="38" t="s">
        <v>36</v>
      </c>
      <c r="E34" s="36"/>
    </row>
    <row r="35" spans="1:5" x14ac:dyDescent="0.25">
      <c r="A35" s="40" t="s">
        <v>5</v>
      </c>
      <c r="B35" s="36">
        <v>39620</v>
      </c>
      <c r="D35" s="40" t="s">
        <v>8</v>
      </c>
      <c r="E35" s="36">
        <v>5019</v>
      </c>
    </row>
    <row r="36" spans="1:5" x14ac:dyDescent="0.25">
      <c r="A36" s="38" t="s">
        <v>34</v>
      </c>
      <c r="B36" s="36"/>
      <c r="D36" s="38" t="s">
        <v>34</v>
      </c>
      <c r="E36" s="36"/>
    </row>
    <row r="37" spans="1:5" x14ac:dyDescent="0.25">
      <c r="A37" s="40" t="s">
        <v>5</v>
      </c>
      <c r="B37" s="36">
        <v>41559</v>
      </c>
      <c r="D37" s="40" t="s">
        <v>8</v>
      </c>
      <c r="E37" s="36">
        <v>5516</v>
      </c>
    </row>
    <row r="38" spans="1:5" x14ac:dyDescent="0.25">
      <c r="A38" s="38" t="s">
        <v>37</v>
      </c>
      <c r="B38" s="36"/>
      <c r="D38" s="38" t="s">
        <v>37</v>
      </c>
      <c r="E38" s="36"/>
    </row>
    <row r="39" spans="1:5" x14ac:dyDescent="0.25">
      <c r="A39" s="40" t="s">
        <v>7</v>
      </c>
      <c r="B39" s="36">
        <v>43568</v>
      </c>
      <c r="D39" s="40" t="s">
        <v>10</v>
      </c>
      <c r="E39" s="36">
        <v>7987</v>
      </c>
    </row>
    <row r="40" spans="1:5" x14ac:dyDescent="0.25">
      <c r="A40" s="38" t="s">
        <v>39</v>
      </c>
      <c r="B40" s="36"/>
      <c r="D40" s="38" t="s">
        <v>39</v>
      </c>
      <c r="E40" s="36"/>
    </row>
    <row r="41" spans="1:5" x14ac:dyDescent="0.25">
      <c r="A41" s="40" t="s">
        <v>2</v>
      </c>
      <c r="B41" s="36">
        <v>45752</v>
      </c>
      <c r="D41" s="40" t="s">
        <v>41</v>
      </c>
      <c r="E41" s="36">
        <v>3976</v>
      </c>
    </row>
    <row r="42" spans="1:5" x14ac:dyDescent="0.25">
      <c r="A42" s="38" t="s">
        <v>35</v>
      </c>
      <c r="B42" s="36"/>
      <c r="D42" s="38" t="s">
        <v>35</v>
      </c>
      <c r="E42" s="36"/>
    </row>
    <row r="43" spans="1:5" x14ac:dyDescent="0.25">
      <c r="A43" s="40" t="s">
        <v>40</v>
      </c>
      <c r="B43" s="36">
        <v>38325</v>
      </c>
      <c r="D43" s="40" t="s">
        <v>2</v>
      </c>
      <c r="E43" s="36">
        <v>2142</v>
      </c>
    </row>
    <row r="44" spans="1:5" x14ac:dyDescent="0.25">
      <c r="A44" s="38" t="s">
        <v>68</v>
      </c>
      <c r="B44" s="36">
        <v>234045</v>
      </c>
      <c r="D44" s="38" t="s">
        <v>68</v>
      </c>
      <c r="E44" s="36">
        <v>30709</v>
      </c>
    </row>
    <row r="51" spans="1:3" ht="15.75" thickBot="1" x14ac:dyDescent="0.3">
      <c r="A51" s="41" t="s">
        <v>73</v>
      </c>
      <c r="B51" s="41"/>
      <c r="C51" s="41"/>
    </row>
    <row r="53" spans="1:3" x14ac:dyDescent="0.25">
      <c r="A53" s="37" t="s">
        <v>67</v>
      </c>
      <c r="B53" t="s">
        <v>74</v>
      </c>
    </row>
    <row r="54" spans="1:3" x14ac:dyDescent="0.25">
      <c r="A54" s="38" t="s">
        <v>14</v>
      </c>
      <c r="B54" s="47">
        <v>-153</v>
      </c>
    </row>
    <row r="55" spans="1:3" x14ac:dyDescent="0.25">
      <c r="A55" s="38" t="s">
        <v>30</v>
      </c>
      <c r="B55" s="47">
        <v>5608.12</v>
      </c>
    </row>
    <row r="56" spans="1:3" x14ac:dyDescent="0.25">
      <c r="A56" s="38" t="s">
        <v>24</v>
      </c>
      <c r="B56" s="47">
        <v>4208.33</v>
      </c>
    </row>
    <row r="57" spans="1:3" x14ac:dyDescent="0.25">
      <c r="A57" s="38" t="s">
        <v>19</v>
      </c>
      <c r="B57" s="47">
        <v>4190.4799999999996</v>
      </c>
    </row>
    <row r="58" spans="1:3" x14ac:dyDescent="0.25">
      <c r="A58" s="38" t="s">
        <v>22</v>
      </c>
      <c r="B58" s="47">
        <v>6060.4400000000005</v>
      </c>
    </row>
    <row r="59" spans="1:3" x14ac:dyDescent="0.25">
      <c r="A59" s="38" t="s">
        <v>4</v>
      </c>
      <c r="B59" s="47">
        <v>13789.72</v>
      </c>
    </row>
    <row r="60" spans="1:3" x14ac:dyDescent="0.25">
      <c r="A60" s="38" t="s">
        <v>26</v>
      </c>
      <c r="B60" s="47">
        <v>9147.6</v>
      </c>
    </row>
    <row r="61" spans="1:3" x14ac:dyDescent="0.25">
      <c r="A61" s="38" t="s">
        <v>28</v>
      </c>
      <c r="B61" s="47">
        <v>7679.4199999999992</v>
      </c>
    </row>
    <row r="62" spans="1:3" x14ac:dyDescent="0.25">
      <c r="A62" s="38" t="s">
        <v>32</v>
      </c>
      <c r="B62" s="47">
        <v>6802.9</v>
      </c>
    </row>
    <row r="63" spans="1:3" x14ac:dyDescent="0.25">
      <c r="A63" s="38" t="s">
        <v>18</v>
      </c>
      <c r="B63" s="47">
        <v>31.100000000000136</v>
      </c>
    </row>
    <row r="64" spans="1:3" x14ac:dyDescent="0.25">
      <c r="A64" s="38" t="s">
        <v>17</v>
      </c>
      <c r="B64" s="47">
        <v>2380.0100000000002</v>
      </c>
    </row>
    <row r="65" spans="1:11" x14ac:dyDescent="0.25">
      <c r="A65" s="38" t="s">
        <v>23</v>
      </c>
      <c r="B65" s="47">
        <v>3606.37</v>
      </c>
    </row>
    <row r="66" spans="1:11" x14ac:dyDescent="0.25">
      <c r="A66" s="38" t="s">
        <v>29</v>
      </c>
      <c r="B66" s="47">
        <v>2218.8000000000002</v>
      </c>
    </row>
    <row r="67" spans="1:11" x14ac:dyDescent="0.25">
      <c r="A67" s="38" t="s">
        <v>13</v>
      </c>
      <c r="B67" s="47">
        <v>5309.8600000000006</v>
      </c>
    </row>
    <row r="68" spans="1:11" x14ac:dyDescent="0.25">
      <c r="A68" s="38" t="s">
        <v>16</v>
      </c>
      <c r="B68" s="47">
        <v>2476.46</v>
      </c>
    </row>
    <row r="69" spans="1:11" x14ac:dyDescent="0.25">
      <c r="A69" s="38" t="s">
        <v>27</v>
      </c>
      <c r="B69" s="47">
        <v>-2369.8499999999995</v>
      </c>
    </row>
    <row r="70" spans="1:11" x14ac:dyDescent="0.25">
      <c r="A70" s="38" t="s">
        <v>33</v>
      </c>
      <c r="B70" s="47">
        <v>7718.8600000000006</v>
      </c>
    </row>
    <row r="71" spans="1:11" x14ac:dyDescent="0.25">
      <c r="A71" s="38" t="s">
        <v>31</v>
      </c>
      <c r="B71" s="47">
        <v>6441.61</v>
      </c>
    </row>
    <row r="72" spans="1:11" x14ac:dyDescent="0.25">
      <c r="A72" s="38" t="s">
        <v>21</v>
      </c>
      <c r="B72" s="47">
        <v>12729</v>
      </c>
    </row>
    <row r="73" spans="1:11" x14ac:dyDescent="0.25">
      <c r="A73" s="38" t="s">
        <v>25</v>
      </c>
      <c r="B73" s="47">
        <v>10118.049999999999</v>
      </c>
    </row>
    <row r="74" spans="1:11" x14ac:dyDescent="0.25">
      <c r="A74" s="38" t="s">
        <v>68</v>
      </c>
      <c r="B74" s="47">
        <v>107994.28000000001</v>
      </c>
    </row>
    <row r="76" spans="1:11" x14ac:dyDescent="0.25">
      <c r="H76" s="43"/>
      <c r="I76" s="43"/>
    </row>
    <row r="77" spans="1:11" x14ac:dyDescent="0.25">
      <c r="A77" s="48"/>
      <c r="B77" s="48"/>
      <c r="C77" s="48"/>
      <c r="D77" s="48"/>
      <c r="E77" s="48"/>
      <c r="F77" s="48"/>
      <c r="G77" s="48"/>
      <c r="H77" s="43"/>
      <c r="I77" s="43"/>
      <c r="J77" s="43"/>
      <c r="K77" s="43"/>
    </row>
    <row r="78" spans="1:11" x14ac:dyDescent="0.25">
      <c r="A78" s="55"/>
      <c r="B78" s="56"/>
      <c r="C78" s="56"/>
      <c r="D78" s="56"/>
      <c r="E78" s="56"/>
      <c r="F78" s="56"/>
      <c r="G78" s="56"/>
      <c r="H78" s="57"/>
      <c r="I78" s="43"/>
      <c r="J78" s="43"/>
      <c r="K78" s="43"/>
    </row>
    <row r="79" spans="1:11" ht="15.75" thickBot="1" x14ac:dyDescent="0.3">
      <c r="A79" s="58" t="s">
        <v>46</v>
      </c>
      <c r="B79" s="59"/>
      <c r="C79" s="49"/>
      <c r="D79" s="49"/>
      <c r="E79" s="49"/>
      <c r="F79" s="49"/>
      <c r="G79" s="49"/>
      <c r="H79" s="60"/>
      <c r="I79" s="43"/>
      <c r="J79" s="43"/>
      <c r="K79" s="43"/>
    </row>
    <row r="80" spans="1:11" x14ac:dyDescent="0.25">
      <c r="A80" s="61"/>
      <c r="B80" s="49"/>
      <c r="C80" s="49"/>
      <c r="D80" s="49"/>
      <c r="E80" s="49"/>
      <c r="F80" s="49"/>
      <c r="G80" s="49"/>
      <c r="H80" s="60"/>
      <c r="I80" s="43"/>
      <c r="J80" s="43"/>
      <c r="K80" s="43"/>
    </row>
    <row r="81" spans="1:13" x14ac:dyDescent="0.25">
      <c r="A81" s="62" t="s">
        <v>75</v>
      </c>
      <c r="B81" s="63" t="s">
        <v>36</v>
      </c>
      <c r="C81" s="49"/>
      <c r="D81" s="49"/>
      <c r="E81" s="49"/>
      <c r="F81" s="49"/>
      <c r="G81" s="49"/>
      <c r="H81" s="60"/>
      <c r="I81" s="43"/>
      <c r="J81" s="43"/>
      <c r="K81" s="43"/>
    </row>
    <row r="82" spans="1:13" x14ac:dyDescent="0.25">
      <c r="A82" s="61"/>
      <c r="B82" s="49"/>
      <c r="C82" s="49"/>
      <c r="D82" s="49"/>
      <c r="E82" s="49"/>
      <c r="F82" s="49"/>
      <c r="G82" s="49"/>
      <c r="H82" s="60"/>
      <c r="I82" s="43"/>
      <c r="J82" s="43"/>
      <c r="K82" s="43"/>
    </row>
    <row r="83" spans="1:13" x14ac:dyDescent="0.25">
      <c r="A83" s="61"/>
      <c r="B83" s="49"/>
      <c r="C83" s="49"/>
      <c r="D83" s="49"/>
      <c r="E83" s="49"/>
      <c r="F83" s="49"/>
      <c r="G83" s="49"/>
      <c r="H83" s="60"/>
      <c r="I83" s="43"/>
      <c r="J83" s="43"/>
      <c r="K83" s="43"/>
      <c r="M83" t="str" cm="1">
        <f t="array" ref="M83:M88">_xlfn.UNIQUE(Table2[Geography])</f>
        <v>New Zealand</v>
      </c>
    </row>
    <row r="84" spans="1:13" x14ac:dyDescent="0.25">
      <c r="A84" s="61"/>
      <c r="B84" s="49"/>
      <c r="C84" s="49"/>
      <c r="D84" s="49"/>
      <c r="E84" s="49"/>
      <c r="F84" s="49"/>
      <c r="G84" s="49"/>
      <c r="H84" s="60"/>
      <c r="I84" s="43"/>
      <c r="J84" s="43"/>
      <c r="K84" s="43"/>
      <c r="M84" t="str">
        <v>USA</v>
      </c>
    </row>
    <row r="85" spans="1:13" x14ac:dyDescent="0.25">
      <c r="A85" s="64" t="s">
        <v>76</v>
      </c>
      <c r="B85" s="50"/>
      <c r="C85" s="50"/>
      <c r="D85" s="49"/>
      <c r="E85" s="51" t="s">
        <v>81</v>
      </c>
      <c r="F85" s="50"/>
      <c r="G85" s="49"/>
      <c r="H85" s="60"/>
      <c r="I85" s="43"/>
      <c r="J85" s="43"/>
      <c r="K85" s="43"/>
      <c r="M85" t="str">
        <v>Canada</v>
      </c>
    </row>
    <row r="86" spans="1:13" x14ac:dyDescent="0.25">
      <c r="A86" s="61"/>
      <c r="B86" s="49"/>
      <c r="C86" s="49"/>
      <c r="D86" s="49"/>
      <c r="E86" s="49"/>
      <c r="F86" s="49"/>
      <c r="G86" s="49"/>
      <c r="H86" s="60"/>
      <c r="I86" s="43"/>
      <c r="J86" s="43"/>
      <c r="K86" s="43"/>
      <c r="M86" t="str">
        <v>UK</v>
      </c>
    </row>
    <row r="87" spans="1:13" x14ac:dyDescent="0.25">
      <c r="A87" s="61"/>
      <c r="B87" s="53" t="s">
        <v>77</v>
      </c>
      <c r="C87" s="49">
        <f>COUNTIFS(Table2[Geography],B81)</f>
        <v>50</v>
      </c>
      <c r="D87" s="49"/>
      <c r="E87" s="49"/>
      <c r="F87" s="65" t="s">
        <v>54</v>
      </c>
      <c r="G87" s="65" t="s">
        <v>55</v>
      </c>
      <c r="H87" s="60"/>
      <c r="I87" s="43"/>
      <c r="J87" s="43"/>
      <c r="K87" s="43"/>
      <c r="M87" t="str">
        <v>Australia</v>
      </c>
    </row>
    <row r="88" spans="1:13" x14ac:dyDescent="0.25">
      <c r="A88" s="61"/>
      <c r="B88" s="49"/>
      <c r="C88" s="49"/>
      <c r="D88" s="49"/>
      <c r="E88" s="49" t="str" cm="1">
        <f t="array" ref="E88:E97">_xlfn.UNIQUE(Table2[Sales Person])</f>
        <v>Ram Mahesh</v>
      </c>
      <c r="F88" s="54">
        <f>SUMIFS(Table2[Amount],Table2[Sales Person],E88,Table2[Geography],$B$81)</f>
        <v>23016</v>
      </c>
      <c r="G88" s="49">
        <f>SUMIFS(Table2[Units],Table2[Sales Person],E88,Table2[Geography],$B$81)</f>
        <v>663</v>
      </c>
      <c r="H88" s="60">
        <f>IF(F88&gt;12000,1,-1)</f>
        <v>1</v>
      </c>
      <c r="I88" s="43"/>
      <c r="J88" s="43"/>
      <c r="K88" s="43"/>
      <c r="M88" t="str">
        <v>India</v>
      </c>
    </row>
    <row r="89" spans="1:13" x14ac:dyDescent="0.25">
      <c r="A89" s="66"/>
      <c r="B89" s="52" t="s">
        <v>80</v>
      </c>
      <c r="C89" s="52" t="s">
        <v>53</v>
      </c>
      <c r="D89" s="49"/>
      <c r="E89" s="49" t="str">
        <v>Brien Boise</v>
      </c>
      <c r="F89" s="54">
        <f>SUMIFS(Table2[Amount],Table2[Sales Person],E89,Table2[Geography],$B$81)</f>
        <v>5019</v>
      </c>
      <c r="G89" s="49">
        <f>SUMIFS(Table2[Units],Table2[Sales Person],E89,Table2[Geography],$B$81)</f>
        <v>150</v>
      </c>
      <c r="H89" s="60">
        <f t="shared" ref="H89:H97" si="0">IF(F89&gt;12000,1,-1)</f>
        <v>-1</v>
      </c>
      <c r="I89" s="43"/>
      <c r="J89" s="43"/>
      <c r="K89" s="43"/>
    </row>
    <row r="90" spans="1:13" x14ac:dyDescent="0.25">
      <c r="A90" s="61" t="s">
        <v>79</v>
      </c>
      <c r="B90" s="54">
        <f>SUMIFS(Table2[Amount],Table2[Geography],B81)</f>
        <v>237944</v>
      </c>
      <c r="C90" s="54">
        <f>AVERAGEIFS(Table2[Amount],Table2[Geography],B81)</f>
        <v>4758.88</v>
      </c>
      <c r="D90" s="49"/>
      <c r="E90" s="49" t="str">
        <v>Husein Augar</v>
      </c>
      <c r="F90" s="54">
        <f>SUMIFS(Table2[Amount],Table2[Sales Person],E90,Table2[Geography],$B$81)</f>
        <v>25669</v>
      </c>
      <c r="G90" s="49">
        <f>SUMIFS(Table2[Units],Table2[Sales Person],E90,Table2[Geography],$B$81)</f>
        <v>564</v>
      </c>
      <c r="H90" s="60">
        <f t="shared" si="0"/>
        <v>1</v>
      </c>
      <c r="I90" s="43"/>
      <c r="J90" s="43"/>
      <c r="K90" s="43"/>
    </row>
    <row r="91" spans="1:13" x14ac:dyDescent="0.25">
      <c r="A91" s="61" t="s">
        <v>72</v>
      </c>
      <c r="B91" s="54">
        <f>SUMIFS(Table2[cost],Table2[Geography],B81)</f>
        <v>68259.839999999997</v>
      </c>
      <c r="C91" s="54">
        <f>AVERAGEIFS(Table2[cost],Table2[Geography],B81)</f>
        <v>1365.1967999999999</v>
      </c>
      <c r="D91" s="49"/>
      <c r="E91" s="49" t="str">
        <v>Carla Molina</v>
      </c>
      <c r="F91" s="54">
        <f>SUMIFS(Table2[Amount],Table2[Sales Person],E91,Table2[Geography],$B$81)</f>
        <v>39242</v>
      </c>
      <c r="G91" s="49">
        <f>SUMIFS(Table2[Units],Table2[Sales Person],E91,Table2[Geography],$B$81)</f>
        <v>1482</v>
      </c>
      <c r="H91" s="60">
        <f t="shared" si="0"/>
        <v>1</v>
      </c>
      <c r="I91" s="43"/>
      <c r="J91" s="43"/>
      <c r="K91" s="43"/>
    </row>
    <row r="92" spans="1:13" x14ac:dyDescent="0.25">
      <c r="A92" s="61" t="s">
        <v>78</v>
      </c>
      <c r="B92" s="54">
        <f>SUMIFS(Table2[PROFIT],Table2[Geography],B81)</f>
        <v>169684.16</v>
      </c>
      <c r="C92" s="54">
        <f>AVERAGEIFS(Table2[PROFIT],Table2[Geography],B81)</f>
        <v>3393.6831999999999</v>
      </c>
      <c r="D92" s="49"/>
      <c r="E92" s="49" t="str">
        <v>Curtice Advani</v>
      </c>
      <c r="F92" s="54">
        <f>SUMIFS(Table2[Amount],Table2[Sales Person],E92,Table2[Geography],$B$81)</f>
        <v>27377</v>
      </c>
      <c r="G92" s="49">
        <f>SUMIFS(Table2[Units],Table2[Sales Person],E92,Table2[Geography],$B$81)</f>
        <v>513</v>
      </c>
      <c r="H92" s="60">
        <f t="shared" si="0"/>
        <v>1</v>
      </c>
      <c r="I92" s="43"/>
      <c r="J92" s="43"/>
      <c r="K92" s="43"/>
    </row>
    <row r="93" spans="1:13" x14ac:dyDescent="0.25">
      <c r="A93" s="61"/>
      <c r="B93" s="49"/>
      <c r="C93" s="49"/>
      <c r="D93" s="49"/>
      <c r="E93" s="49" t="str">
        <v>Ches Bonnell</v>
      </c>
      <c r="F93" s="54">
        <f>SUMIFS(Table2[Amount],Table2[Sales Person],E93,Table2[Geography],$B$81)</f>
        <v>21931</v>
      </c>
      <c r="G93" s="49">
        <f>SUMIFS(Table2[Units],Table2[Sales Person],E93,Table2[Geography],$B$81)</f>
        <v>975</v>
      </c>
      <c r="H93" s="60">
        <f t="shared" si="0"/>
        <v>1</v>
      </c>
      <c r="I93" s="43"/>
      <c r="J93" s="43"/>
      <c r="K93" s="43"/>
    </row>
    <row r="94" spans="1:13" x14ac:dyDescent="0.25">
      <c r="A94" s="61"/>
      <c r="B94" s="49"/>
      <c r="C94" s="49"/>
      <c r="D94" s="49"/>
      <c r="E94" s="49" t="str">
        <v>Gigi Bohling</v>
      </c>
      <c r="F94" s="54">
        <f>SUMIFS(Table2[Amount],Table2[Sales Person],E94,Table2[Geography],$B$81)</f>
        <v>39620</v>
      </c>
      <c r="G94" s="49">
        <f>SUMIFS(Table2[Units],Table2[Sales Person],E94,Table2[Geography],$B$81)</f>
        <v>573</v>
      </c>
      <c r="H94" s="60">
        <f t="shared" si="0"/>
        <v>1</v>
      </c>
      <c r="I94" s="43"/>
      <c r="J94" s="43"/>
      <c r="K94" s="43"/>
    </row>
    <row r="95" spans="1:13" x14ac:dyDescent="0.25">
      <c r="A95" s="61"/>
      <c r="B95" s="49"/>
      <c r="C95" s="49"/>
      <c r="D95" s="49"/>
      <c r="E95" s="49" t="str">
        <v>Barr Faughny</v>
      </c>
      <c r="F95" s="54">
        <f>SUMIFS(Table2[Amount],Table2[Sales Person],E95,Table2[Geography],$B$81)</f>
        <v>23709</v>
      </c>
      <c r="G95" s="49">
        <f>SUMIFS(Table2[Units],Table2[Sales Person],E95,Table2[Geography],$B$81)</f>
        <v>909</v>
      </c>
      <c r="H95" s="60">
        <f t="shared" si="0"/>
        <v>1</v>
      </c>
      <c r="I95" s="43"/>
      <c r="J95" s="43"/>
      <c r="K95" s="43"/>
    </row>
    <row r="96" spans="1:13" x14ac:dyDescent="0.25">
      <c r="A96" s="61"/>
      <c r="B96" s="49"/>
      <c r="C96" s="49"/>
      <c r="D96" s="49"/>
      <c r="E96" s="49" t="str">
        <v>Gunar Cockshoot</v>
      </c>
      <c r="F96" s="54">
        <f>SUMIFS(Table2[Amount],Table2[Sales Person],E96,Table2[Geography],$B$81)</f>
        <v>18564</v>
      </c>
      <c r="G96" s="49">
        <f>SUMIFS(Table2[Units],Table2[Sales Person],E96,Table2[Geography],$B$81)</f>
        <v>420</v>
      </c>
      <c r="H96" s="60">
        <f t="shared" si="0"/>
        <v>1</v>
      </c>
      <c r="I96" s="43"/>
      <c r="J96" s="43"/>
      <c r="K96" s="43"/>
    </row>
    <row r="97" spans="1:12" x14ac:dyDescent="0.25">
      <c r="A97" s="61"/>
      <c r="B97" s="49"/>
      <c r="C97" s="49"/>
      <c r="D97" s="49"/>
      <c r="E97" s="49" t="str">
        <v>Oby Sorrel</v>
      </c>
      <c r="F97" s="54">
        <f>SUMIFS(Table2[Amount],Table2[Sales Person],E97,Table2[Geography],$B$81)</f>
        <v>13797</v>
      </c>
      <c r="G97" s="49">
        <f>SUMIFS(Table2[Units],Table2[Sales Person],E97,Table2[Geography],$B$81)</f>
        <v>1053</v>
      </c>
      <c r="H97" s="60">
        <f t="shared" si="0"/>
        <v>1</v>
      </c>
      <c r="I97" s="43"/>
      <c r="J97" s="43"/>
      <c r="K97" s="43"/>
    </row>
    <row r="98" spans="1:12" x14ac:dyDescent="0.25">
      <c r="A98" s="67"/>
      <c r="B98" s="68"/>
      <c r="C98" s="68"/>
      <c r="D98" s="68"/>
      <c r="E98" s="68"/>
      <c r="F98" s="68"/>
      <c r="G98" s="68"/>
      <c r="H98" s="69"/>
      <c r="I98" s="43"/>
      <c r="J98" s="43"/>
      <c r="K98" s="43"/>
    </row>
    <row r="99" spans="1:12" x14ac:dyDescent="0.25">
      <c r="A99" s="43"/>
      <c r="B99" s="43"/>
      <c r="C99" s="43"/>
      <c r="D99" s="43"/>
      <c r="E99" s="43"/>
      <c r="F99" s="43"/>
      <c r="G99" s="43"/>
      <c r="H99" s="43"/>
      <c r="I99" s="43"/>
      <c r="J99" s="43"/>
      <c r="K99" s="43"/>
      <c r="L99" s="43"/>
    </row>
    <row r="100" spans="1:12" x14ac:dyDescent="0.25">
      <c r="A100" s="43"/>
      <c r="B100" s="43"/>
      <c r="C100" s="43"/>
      <c r="D100" s="43"/>
      <c r="E100" s="43"/>
      <c r="F100" s="43"/>
      <c r="G100" s="43"/>
      <c r="H100" s="43"/>
      <c r="I100" s="43"/>
      <c r="J100" s="43"/>
      <c r="K100" s="43"/>
      <c r="L100" s="43"/>
    </row>
    <row r="101" spans="1:12" x14ac:dyDescent="0.25">
      <c r="A101" s="43"/>
      <c r="B101" s="43"/>
      <c r="C101" s="43"/>
      <c r="D101" s="43"/>
      <c r="E101" s="43"/>
      <c r="F101" s="43"/>
      <c r="G101" s="43"/>
      <c r="H101" s="43"/>
      <c r="I101" s="43"/>
      <c r="J101" s="43"/>
      <c r="K101" s="43"/>
      <c r="L101" s="43"/>
    </row>
    <row r="102" spans="1:12" ht="15.75" thickBot="1" x14ac:dyDescent="0.3">
      <c r="A102" s="41"/>
      <c r="B102" s="41"/>
      <c r="C102" s="43"/>
      <c r="D102" s="43"/>
      <c r="E102" s="43"/>
      <c r="F102" s="43"/>
      <c r="G102" s="43"/>
      <c r="H102" s="43"/>
      <c r="I102" s="43"/>
      <c r="J102" s="43"/>
      <c r="K102" s="43"/>
      <c r="L102" s="43"/>
    </row>
    <row r="103" spans="1:12" x14ac:dyDescent="0.25">
      <c r="A103" s="43"/>
      <c r="B103" s="43"/>
      <c r="C103" s="43"/>
      <c r="D103" s="43"/>
      <c r="E103" s="43"/>
      <c r="F103" s="43"/>
      <c r="G103" s="43"/>
      <c r="H103" s="43"/>
      <c r="I103" s="43"/>
      <c r="J103" s="43"/>
      <c r="K103" s="43"/>
      <c r="L103" s="43"/>
    </row>
    <row r="104" spans="1:12" x14ac:dyDescent="0.25">
      <c r="A104" s="43"/>
      <c r="B104" s="43"/>
      <c r="C104" s="43"/>
      <c r="D104" s="43"/>
      <c r="E104" s="43"/>
      <c r="F104" s="43"/>
      <c r="G104" s="43"/>
      <c r="H104" s="43"/>
      <c r="I104" s="43"/>
      <c r="J104" s="43"/>
      <c r="K104" s="43"/>
      <c r="L104" s="43"/>
    </row>
    <row r="105" spans="1:12" x14ac:dyDescent="0.25">
      <c r="A105" s="43"/>
      <c r="B105" s="43"/>
      <c r="C105" s="43"/>
      <c r="D105" s="43"/>
      <c r="E105" s="43"/>
      <c r="F105" s="43"/>
      <c r="G105" s="43"/>
      <c r="H105" s="43"/>
      <c r="I105" s="43"/>
      <c r="J105" s="43"/>
      <c r="K105" s="43"/>
      <c r="L105" s="43"/>
    </row>
    <row r="106" spans="1:12" x14ac:dyDescent="0.25">
      <c r="A106" s="43"/>
      <c r="B106" s="43"/>
      <c r="C106" s="43"/>
      <c r="D106" s="43"/>
      <c r="E106" s="43"/>
      <c r="F106" s="43"/>
      <c r="G106" s="43"/>
      <c r="H106" s="43"/>
      <c r="I106" s="43"/>
      <c r="J106" s="43"/>
      <c r="K106" s="43"/>
      <c r="L106" s="43"/>
    </row>
    <row r="107" spans="1:12" x14ac:dyDescent="0.25">
      <c r="A107" s="43"/>
      <c r="B107" s="43"/>
      <c r="C107" s="43"/>
      <c r="D107" s="43"/>
      <c r="E107" s="43"/>
      <c r="F107" s="43"/>
      <c r="G107" s="43"/>
      <c r="H107" s="43"/>
      <c r="I107" s="43"/>
      <c r="J107" s="43"/>
      <c r="K107" s="43"/>
      <c r="L107" s="43"/>
    </row>
    <row r="108" spans="1:12" x14ac:dyDescent="0.25">
      <c r="A108" s="43"/>
      <c r="B108" s="43"/>
      <c r="C108" s="43"/>
      <c r="D108" s="43"/>
      <c r="E108" s="43"/>
      <c r="F108" s="43"/>
      <c r="G108" s="43"/>
      <c r="H108" s="43"/>
      <c r="I108" s="43"/>
      <c r="J108" s="43"/>
      <c r="K108" s="43"/>
      <c r="L108" s="43"/>
    </row>
    <row r="109" spans="1:12" x14ac:dyDescent="0.25">
      <c r="A109" s="43"/>
      <c r="B109" s="43"/>
      <c r="C109" s="43"/>
      <c r="D109" s="43"/>
      <c r="E109" s="43"/>
      <c r="F109" s="43"/>
      <c r="G109" s="43"/>
      <c r="H109" s="43"/>
      <c r="I109" s="43"/>
      <c r="J109" s="43"/>
      <c r="K109" s="43"/>
      <c r="L109" s="43"/>
    </row>
    <row r="110" spans="1:12" x14ac:dyDescent="0.25">
      <c r="A110" s="43"/>
      <c r="B110" s="43"/>
      <c r="C110" s="43"/>
      <c r="D110" s="43"/>
      <c r="E110" s="43"/>
      <c r="F110" s="43"/>
      <c r="G110" s="43"/>
      <c r="H110" s="43"/>
      <c r="I110" s="43"/>
      <c r="J110" s="43"/>
      <c r="K110" s="43"/>
      <c r="L110" s="43"/>
    </row>
    <row r="111" spans="1:12" x14ac:dyDescent="0.25">
      <c r="A111" s="43"/>
      <c r="B111" s="43"/>
      <c r="C111" s="43"/>
      <c r="D111" s="43"/>
      <c r="E111" s="43"/>
      <c r="F111" s="43"/>
      <c r="G111" s="43"/>
      <c r="H111" s="43"/>
      <c r="I111" s="43"/>
      <c r="J111" s="43"/>
      <c r="K111" s="43"/>
      <c r="L111" s="43"/>
    </row>
    <row r="112" spans="1:12" x14ac:dyDescent="0.25">
      <c r="A112" s="43"/>
      <c r="B112" s="43"/>
      <c r="C112" s="43"/>
      <c r="D112" s="43"/>
      <c r="E112" s="43"/>
      <c r="F112" s="43"/>
      <c r="G112" s="43"/>
      <c r="H112" s="43"/>
      <c r="I112" s="43"/>
      <c r="J112" s="43"/>
      <c r="K112" s="43"/>
      <c r="L112" s="43"/>
    </row>
    <row r="113" spans="1:12" x14ac:dyDescent="0.25">
      <c r="A113" s="43"/>
      <c r="B113" s="43"/>
      <c r="C113" s="43"/>
      <c r="D113" s="43"/>
      <c r="E113" s="43"/>
      <c r="F113" s="43"/>
      <c r="G113" s="43"/>
      <c r="H113" s="43"/>
      <c r="I113" s="43"/>
      <c r="J113" s="43"/>
      <c r="K113" s="43"/>
      <c r="L113" s="43"/>
    </row>
    <row r="114" spans="1:12" x14ac:dyDescent="0.25">
      <c r="A114" s="43"/>
      <c r="B114" s="43"/>
      <c r="C114" s="43"/>
      <c r="D114" s="43"/>
      <c r="E114" s="43"/>
      <c r="F114" s="43"/>
      <c r="G114" s="43"/>
      <c r="H114" s="43"/>
      <c r="I114" s="43"/>
      <c r="J114" s="43"/>
      <c r="K114" s="43"/>
      <c r="L114" s="43"/>
    </row>
    <row r="115" spans="1:12" x14ac:dyDescent="0.25">
      <c r="A115" s="43"/>
      <c r="B115" s="43"/>
      <c r="C115" s="43"/>
      <c r="D115" s="43"/>
      <c r="E115" s="43"/>
      <c r="F115" s="43"/>
      <c r="G115" s="43"/>
      <c r="H115" s="43"/>
      <c r="I115" s="43"/>
      <c r="J115" s="43"/>
      <c r="K115" s="43"/>
      <c r="L115" s="43"/>
    </row>
    <row r="116" spans="1:12" x14ac:dyDescent="0.25">
      <c r="A116" s="43"/>
      <c r="B116" s="43"/>
      <c r="C116" s="43"/>
      <c r="D116" s="43"/>
      <c r="E116" s="43"/>
      <c r="F116" s="43"/>
      <c r="G116" s="43"/>
      <c r="H116" s="43"/>
      <c r="I116" s="43"/>
      <c r="J116" s="43"/>
      <c r="K116" s="43"/>
      <c r="L116" s="43"/>
    </row>
    <row r="117" spans="1:12" x14ac:dyDescent="0.25">
      <c r="A117" s="43"/>
      <c r="B117" s="43"/>
      <c r="C117" s="43"/>
      <c r="D117" s="43"/>
      <c r="E117" s="43"/>
      <c r="F117" s="43"/>
      <c r="G117" s="43"/>
      <c r="H117" s="43"/>
      <c r="I117" s="43"/>
      <c r="J117" s="43"/>
      <c r="K117" s="43"/>
      <c r="L117" s="43"/>
    </row>
    <row r="118" spans="1:12" x14ac:dyDescent="0.25">
      <c r="A118" s="43"/>
      <c r="B118" s="43"/>
      <c r="C118" s="43"/>
      <c r="D118" s="43"/>
      <c r="E118" s="43"/>
      <c r="F118" s="43"/>
      <c r="G118" s="43"/>
      <c r="H118" s="43"/>
      <c r="I118" s="43"/>
      <c r="J118" s="43"/>
      <c r="K118" s="43"/>
      <c r="L118" s="43"/>
    </row>
    <row r="119" spans="1:12" x14ac:dyDescent="0.25">
      <c r="A119" s="43"/>
      <c r="B119" s="43"/>
      <c r="C119" s="43"/>
      <c r="D119" s="43"/>
      <c r="E119" s="43"/>
      <c r="F119" s="43"/>
      <c r="G119" s="43"/>
      <c r="H119" s="43"/>
      <c r="I119" s="43"/>
      <c r="J119" s="43"/>
      <c r="K119" s="43"/>
      <c r="L119" s="43"/>
    </row>
    <row r="120" spans="1:12" x14ac:dyDescent="0.25">
      <c r="A120" s="43"/>
      <c r="B120" s="43"/>
      <c r="C120" s="43"/>
      <c r="D120" s="43"/>
      <c r="E120" s="43"/>
      <c r="F120" s="43"/>
      <c r="G120" s="43"/>
      <c r="H120" s="43"/>
      <c r="I120" s="43"/>
      <c r="J120" s="43"/>
      <c r="K120" s="43"/>
      <c r="L120" s="43"/>
    </row>
    <row r="121" spans="1:12" x14ac:dyDescent="0.25">
      <c r="A121" s="43"/>
      <c r="B121" s="43"/>
      <c r="C121" s="43"/>
      <c r="D121" s="43"/>
      <c r="E121" s="43"/>
      <c r="F121" s="43"/>
      <c r="G121" s="43"/>
      <c r="H121" s="43"/>
      <c r="I121" s="43"/>
      <c r="J121" s="43"/>
      <c r="K121" s="43"/>
      <c r="L121" s="43"/>
    </row>
    <row r="122" spans="1:12" x14ac:dyDescent="0.25">
      <c r="A122" s="43"/>
      <c r="B122" s="43"/>
      <c r="C122" s="43"/>
      <c r="D122" s="43"/>
      <c r="E122" s="43"/>
      <c r="F122" s="43"/>
      <c r="G122" s="43"/>
      <c r="H122" s="43"/>
      <c r="I122" s="43"/>
      <c r="J122" s="43"/>
      <c r="K122" s="43"/>
      <c r="L122" s="43"/>
    </row>
    <row r="123" spans="1:12" x14ac:dyDescent="0.25">
      <c r="A123" s="43"/>
      <c r="B123" s="43"/>
      <c r="C123" s="43"/>
      <c r="D123" s="43"/>
      <c r="E123" s="43"/>
      <c r="F123" s="43"/>
      <c r="G123" s="43"/>
      <c r="H123" s="43"/>
      <c r="I123" s="43"/>
      <c r="J123" s="43"/>
      <c r="K123" s="43"/>
      <c r="L123" s="43"/>
    </row>
    <row r="124" spans="1:12" x14ac:dyDescent="0.25">
      <c r="A124" s="43"/>
      <c r="B124" s="43"/>
      <c r="C124" s="43"/>
      <c r="D124" s="43"/>
      <c r="E124" s="43"/>
      <c r="F124" s="43"/>
      <c r="G124" s="43"/>
      <c r="H124" s="43"/>
      <c r="I124" s="43"/>
      <c r="J124" s="43"/>
      <c r="K124" s="43"/>
      <c r="L124" s="43"/>
    </row>
    <row r="125" spans="1:12" x14ac:dyDescent="0.25">
      <c r="A125" s="43"/>
      <c r="B125" s="43"/>
      <c r="C125" s="43"/>
      <c r="D125" s="43"/>
      <c r="E125" s="43"/>
      <c r="F125" s="43"/>
      <c r="G125" s="43"/>
      <c r="H125" s="43"/>
      <c r="I125" s="43"/>
      <c r="J125" s="43"/>
      <c r="K125" s="43"/>
      <c r="L125" s="43"/>
    </row>
    <row r="126" spans="1:12" x14ac:dyDescent="0.25">
      <c r="A126" s="43"/>
      <c r="B126" s="43"/>
      <c r="C126" s="43"/>
      <c r="D126" s="43"/>
      <c r="E126" s="43"/>
      <c r="F126" s="43"/>
      <c r="G126" s="43"/>
      <c r="H126" s="43"/>
      <c r="I126" s="43"/>
      <c r="J126" s="43"/>
      <c r="K126" s="43"/>
      <c r="L126" s="43"/>
    </row>
    <row r="127" spans="1:12" x14ac:dyDescent="0.25">
      <c r="A127" s="43"/>
      <c r="B127" s="43"/>
      <c r="C127" s="43"/>
      <c r="D127" s="43"/>
      <c r="E127" s="43"/>
      <c r="F127" s="43"/>
      <c r="G127" s="43"/>
      <c r="H127" s="43"/>
      <c r="I127" s="43"/>
      <c r="J127" s="43"/>
      <c r="K127" s="43"/>
      <c r="L127" s="43"/>
    </row>
    <row r="128" spans="1:12" x14ac:dyDescent="0.25">
      <c r="A128" s="43"/>
      <c r="B128" s="43"/>
      <c r="C128" s="43"/>
      <c r="D128" s="43"/>
      <c r="E128" s="43"/>
      <c r="F128" s="43"/>
      <c r="G128" s="43"/>
      <c r="H128" s="43"/>
      <c r="I128" s="43"/>
      <c r="J128" s="43"/>
      <c r="K128" s="43"/>
      <c r="L128" s="43"/>
    </row>
    <row r="129" spans="1:12" x14ac:dyDescent="0.25">
      <c r="A129" s="43"/>
      <c r="B129" s="43"/>
      <c r="C129" s="43"/>
      <c r="D129" s="43"/>
      <c r="E129" s="43"/>
      <c r="F129" s="43"/>
      <c r="G129" s="43"/>
      <c r="H129" s="43"/>
      <c r="I129" s="43"/>
      <c r="J129" s="43"/>
      <c r="K129" s="43"/>
      <c r="L129" s="43"/>
    </row>
    <row r="130" spans="1:12" x14ac:dyDescent="0.25">
      <c r="A130" s="48"/>
      <c r="B130" s="48"/>
      <c r="C130" s="48"/>
      <c r="D130" s="48"/>
      <c r="E130" s="48"/>
      <c r="F130" s="48"/>
      <c r="G130" s="48"/>
      <c r="H130" s="48"/>
      <c r="I130" s="48"/>
      <c r="J130" s="48"/>
      <c r="K130" s="48"/>
    </row>
    <row r="131" spans="1:12" x14ac:dyDescent="0.25">
      <c r="A131" s="48"/>
      <c r="B131" s="48"/>
      <c r="C131" s="48"/>
      <c r="D131" s="48"/>
      <c r="E131" s="48"/>
      <c r="F131" s="48"/>
      <c r="G131" s="48"/>
      <c r="H131" s="48"/>
      <c r="I131" s="48"/>
      <c r="J131" s="48"/>
      <c r="K131" s="48"/>
    </row>
    <row r="132" spans="1:12" x14ac:dyDescent="0.25">
      <c r="A132" s="48"/>
      <c r="B132" s="48"/>
      <c r="C132" s="48"/>
      <c r="D132" s="48"/>
      <c r="E132" s="48"/>
      <c r="F132" s="48"/>
      <c r="G132" s="48"/>
      <c r="H132" s="48"/>
      <c r="I132" s="48"/>
      <c r="J132" s="48"/>
      <c r="K132" s="48"/>
    </row>
    <row r="133" spans="1:12" x14ac:dyDescent="0.25">
      <c r="A133" s="48"/>
      <c r="B133" s="48"/>
      <c r="C133" s="48"/>
      <c r="D133" s="48"/>
      <c r="E133" s="48"/>
      <c r="F133" s="48"/>
      <c r="G133" s="48"/>
      <c r="H133" s="48"/>
      <c r="I133" s="48"/>
      <c r="J133" s="48"/>
      <c r="K133" s="48"/>
    </row>
    <row r="134" spans="1:12" x14ac:dyDescent="0.25">
      <c r="A134" s="48"/>
      <c r="B134" s="48"/>
      <c r="C134" s="48"/>
      <c r="D134" s="48"/>
      <c r="E134" s="48"/>
      <c r="F134" s="48"/>
      <c r="G134" s="48"/>
      <c r="H134" s="48"/>
      <c r="I134" s="48"/>
      <c r="J134" s="48"/>
      <c r="K134" s="48"/>
    </row>
    <row r="135" spans="1:12" x14ac:dyDescent="0.25">
      <c r="A135" s="48"/>
      <c r="B135" s="48"/>
      <c r="C135" s="48"/>
      <c r="D135" s="48"/>
      <c r="E135" s="48"/>
      <c r="F135" s="48"/>
      <c r="G135" s="48"/>
      <c r="H135" s="48"/>
      <c r="I135" s="48"/>
      <c r="J135" s="48"/>
      <c r="K135" s="48"/>
    </row>
    <row r="136" spans="1:12" x14ac:dyDescent="0.25">
      <c r="A136" s="48"/>
      <c r="B136" s="48"/>
      <c r="C136" s="48"/>
      <c r="D136" s="48"/>
      <c r="E136" s="48"/>
      <c r="F136" s="48"/>
      <c r="G136" s="48"/>
      <c r="H136" s="48"/>
      <c r="I136" s="48"/>
      <c r="J136" s="48"/>
      <c r="K136" s="48"/>
    </row>
    <row r="137" spans="1:12" x14ac:dyDescent="0.25">
      <c r="A137" s="48"/>
      <c r="B137" s="48"/>
      <c r="C137" s="48"/>
      <c r="D137" s="48"/>
      <c r="E137" s="48"/>
      <c r="F137" s="48"/>
      <c r="G137" s="48"/>
      <c r="H137" s="48"/>
      <c r="I137" s="48"/>
      <c r="J137" s="48"/>
      <c r="K137" s="48"/>
    </row>
    <row r="138" spans="1:12" x14ac:dyDescent="0.25">
      <c r="A138" s="48"/>
      <c r="B138" s="48"/>
      <c r="C138" s="48"/>
      <c r="D138" s="48"/>
      <c r="E138" s="48"/>
      <c r="F138" s="48"/>
      <c r="G138" s="48"/>
      <c r="H138" s="48"/>
      <c r="I138" s="48"/>
      <c r="J138" s="48"/>
      <c r="K138" s="48"/>
    </row>
    <row r="139" spans="1:12" x14ac:dyDescent="0.25">
      <c r="A139" s="48"/>
      <c r="B139" s="48"/>
      <c r="C139" s="48"/>
      <c r="D139" s="48"/>
      <c r="E139" s="48"/>
      <c r="F139" s="48"/>
      <c r="G139" s="48"/>
      <c r="H139" s="48"/>
      <c r="I139" s="48"/>
      <c r="J139" s="48"/>
      <c r="K139" s="48"/>
    </row>
    <row r="140" spans="1:12" x14ac:dyDescent="0.25">
      <c r="A140" s="48"/>
      <c r="B140" s="48"/>
      <c r="C140" s="48"/>
      <c r="D140" s="48"/>
      <c r="E140" s="48"/>
      <c r="F140" s="48"/>
      <c r="G140" s="48"/>
      <c r="H140" s="48"/>
      <c r="I140" s="48"/>
      <c r="J140" s="48"/>
      <c r="K140" s="48"/>
    </row>
    <row r="141" spans="1:12" x14ac:dyDescent="0.25">
      <c r="A141" s="48"/>
      <c r="B141" s="48"/>
      <c r="C141" s="48"/>
      <c r="D141" s="48"/>
      <c r="E141" s="48"/>
      <c r="F141" s="48"/>
      <c r="G141" s="48"/>
      <c r="H141" s="48"/>
      <c r="I141" s="48"/>
      <c r="J141" s="48"/>
      <c r="K141" s="48"/>
    </row>
    <row r="142" spans="1:12" x14ac:dyDescent="0.25">
      <c r="A142" s="48"/>
      <c r="B142" s="48"/>
      <c r="C142" s="48"/>
      <c r="D142" s="48"/>
      <c r="E142" s="48"/>
      <c r="F142" s="48"/>
      <c r="G142" s="48"/>
      <c r="H142" s="48"/>
      <c r="I142" s="48"/>
      <c r="J142" s="48"/>
      <c r="K142" s="48"/>
    </row>
    <row r="143" spans="1:12" x14ac:dyDescent="0.25">
      <c r="A143" s="48"/>
      <c r="B143" s="48"/>
      <c r="C143" s="48"/>
      <c r="D143" s="48"/>
      <c r="E143" s="48"/>
      <c r="F143" s="48"/>
      <c r="G143" s="48"/>
      <c r="H143" s="48"/>
      <c r="I143" s="48"/>
      <c r="J143" s="48"/>
      <c r="K143" s="48"/>
    </row>
    <row r="144" spans="1:12" x14ac:dyDescent="0.25">
      <c r="A144" s="48"/>
      <c r="B144" s="48"/>
      <c r="C144" s="48"/>
      <c r="D144" s="48"/>
      <c r="E144" s="48"/>
      <c r="F144" s="48"/>
      <c r="G144" s="48"/>
      <c r="H144" s="48"/>
      <c r="I144" s="48"/>
      <c r="J144" s="48"/>
      <c r="K144" s="48"/>
    </row>
    <row r="145" spans="1:11" x14ac:dyDescent="0.25">
      <c r="A145" s="48"/>
      <c r="B145" s="48"/>
      <c r="C145" s="48"/>
      <c r="D145" s="48"/>
      <c r="E145" s="48"/>
      <c r="F145" s="48"/>
      <c r="G145" s="48"/>
      <c r="H145" s="48"/>
      <c r="I145" s="48"/>
      <c r="J145" s="48"/>
      <c r="K145" s="48"/>
    </row>
    <row r="146" spans="1:11" x14ac:dyDescent="0.25">
      <c r="A146" s="48"/>
      <c r="B146" s="48"/>
      <c r="C146" s="48"/>
      <c r="D146" s="48"/>
      <c r="E146" s="48"/>
      <c r="F146" s="48"/>
      <c r="G146" s="48"/>
      <c r="H146" s="48"/>
      <c r="I146" s="48"/>
      <c r="J146" s="48"/>
      <c r="K146" s="48"/>
    </row>
    <row r="147" spans="1:11" x14ac:dyDescent="0.25">
      <c r="A147" s="48"/>
      <c r="B147" s="48"/>
      <c r="C147" s="48"/>
      <c r="D147" s="48"/>
      <c r="E147" s="48"/>
      <c r="F147" s="48"/>
      <c r="G147" s="48"/>
      <c r="H147" s="48"/>
      <c r="I147" s="48"/>
      <c r="J147" s="48"/>
      <c r="K147" s="48"/>
    </row>
    <row r="148" spans="1:11" x14ac:dyDescent="0.25">
      <c r="A148" s="48"/>
      <c r="B148" s="48"/>
      <c r="C148" s="48"/>
      <c r="D148" s="48"/>
      <c r="E148" s="48"/>
      <c r="F148" s="48"/>
      <c r="G148" s="48"/>
      <c r="H148" s="48"/>
      <c r="I148" s="48"/>
      <c r="J148" s="48"/>
      <c r="K148" s="48"/>
    </row>
    <row r="149" spans="1:11" x14ac:dyDescent="0.25">
      <c r="A149" s="48"/>
      <c r="B149" s="48"/>
      <c r="C149" s="48"/>
      <c r="D149" s="48"/>
      <c r="E149" s="48"/>
      <c r="F149" s="48"/>
      <c r="G149" s="48"/>
      <c r="H149" s="48"/>
      <c r="I149" s="48"/>
      <c r="J149" s="48"/>
      <c r="K149" s="48"/>
    </row>
    <row r="150" spans="1:11" x14ac:dyDescent="0.25">
      <c r="A150" s="48"/>
      <c r="B150" s="48"/>
      <c r="C150" s="48"/>
      <c r="D150" s="48"/>
      <c r="E150" s="48"/>
      <c r="F150" s="48"/>
      <c r="G150" s="48"/>
      <c r="H150" s="48"/>
      <c r="I150" s="48"/>
      <c r="J150" s="48"/>
      <c r="K150" s="48"/>
    </row>
    <row r="151" spans="1:11" x14ac:dyDescent="0.25">
      <c r="A151" s="48"/>
      <c r="B151" s="48"/>
      <c r="C151" s="48"/>
      <c r="D151" s="48"/>
      <c r="E151" s="48"/>
      <c r="F151" s="48"/>
      <c r="G151" s="48"/>
      <c r="H151" s="48"/>
      <c r="I151" s="48"/>
      <c r="J151" s="48"/>
      <c r="K151" s="48"/>
    </row>
    <row r="152" spans="1:11" x14ac:dyDescent="0.25">
      <c r="A152" s="48"/>
      <c r="B152" s="48"/>
      <c r="C152" s="48"/>
      <c r="D152" s="48"/>
      <c r="E152" s="48"/>
      <c r="F152" s="48"/>
      <c r="G152" s="48"/>
      <c r="H152" s="48"/>
      <c r="I152" s="48"/>
      <c r="J152" s="48"/>
      <c r="K152" s="48"/>
    </row>
    <row r="153" spans="1:11" x14ac:dyDescent="0.25">
      <c r="A153" s="48"/>
      <c r="B153" s="48"/>
      <c r="C153" s="48"/>
      <c r="D153" s="48"/>
      <c r="E153" s="48"/>
      <c r="F153" s="48"/>
      <c r="G153" s="48"/>
      <c r="H153" s="48"/>
      <c r="I153" s="48"/>
      <c r="J153" s="48"/>
      <c r="K153" s="48"/>
    </row>
    <row r="154" spans="1:11" x14ac:dyDescent="0.25">
      <c r="A154" s="48"/>
      <c r="B154" s="48"/>
      <c r="C154" s="48"/>
      <c r="D154" s="48"/>
      <c r="E154" s="48"/>
      <c r="F154" s="48"/>
      <c r="G154" s="48"/>
      <c r="H154" s="48"/>
      <c r="I154" s="48"/>
      <c r="J154" s="48"/>
      <c r="K154" s="48"/>
    </row>
    <row r="155" spans="1:11" x14ac:dyDescent="0.25">
      <c r="A155" s="48"/>
      <c r="B155" s="48"/>
      <c r="C155" s="48"/>
      <c r="D155" s="48"/>
      <c r="E155" s="48"/>
      <c r="F155" s="48"/>
      <c r="G155" s="48"/>
      <c r="H155" s="48"/>
      <c r="I155" s="48"/>
      <c r="J155" s="48"/>
      <c r="K155" s="48"/>
    </row>
    <row r="156" spans="1:11" x14ac:dyDescent="0.25">
      <c r="A156" s="48"/>
      <c r="B156" s="48"/>
      <c r="C156" s="48"/>
      <c r="D156" s="48"/>
      <c r="E156" s="48"/>
      <c r="F156" s="48"/>
      <c r="G156" s="48"/>
      <c r="H156" s="48"/>
      <c r="I156" s="48"/>
      <c r="J156" s="48"/>
      <c r="K156" s="48"/>
    </row>
    <row r="157" spans="1:11" x14ac:dyDescent="0.25">
      <c r="A157" s="48"/>
      <c r="B157" s="48"/>
      <c r="C157" s="48"/>
      <c r="D157" s="48"/>
      <c r="E157" s="48"/>
      <c r="F157" s="48"/>
      <c r="G157" s="48"/>
      <c r="H157" s="48"/>
      <c r="I157" s="48"/>
      <c r="J157" s="48"/>
      <c r="K157" s="48"/>
    </row>
    <row r="158" spans="1:11" x14ac:dyDescent="0.25">
      <c r="A158" s="48"/>
      <c r="B158" s="48"/>
      <c r="C158" s="48"/>
      <c r="D158" s="48"/>
      <c r="E158" s="48"/>
      <c r="F158" s="48"/>
      <c r="G158" s="48"/>
      <c r="H158" s="48"/>
      <c r="I158" s="48"/>
      <c r="J158" s="48"/>
      <c r="K158" s="48"/>
    </row>
    <row r="159" spans="1:11" x14ac:dyDescent="0.25">
      <c r="A159" s="48"/>
      <c r="B159" s="48"/>
      <c r="C159" s="48"/>
      <c r="D159" s="48"/>
      <c r="E159" s="48"/>
      <c r="F159" s="48"/>
      <c r="G159" s="48"/>
      <c r="H159" s="48"/>
      <c r="I159" s="48"/>
      <c r="J159" s="48"/>
      <c r="K159" s="48"/>
    </row>
    <row r="160" spans="1:11" x14ac:dyDescent="0.25">
      <c r="A160" s="48"/>
      <c r="B160" s="48"/>
      <c r="C160" s="48"/>
      <c r="D160" s="48"/>
      <c r="E160" s="48"/>
      <c r="F160" s="48"/>
      <c r="G160" s="48"/>
      <c r="H160" s="48"/>
      <c r="I160" s="48"/>
      <c r="J160" s="48"/>
      <c r="K160" s="48"/>
    </row>
    <row r="161" spans="1:11" x14ac:dyDescent="0.25">
      <c r="A161" s="48"/>
      <c r="B161" s="48"/>
      <c r="C161" s="48"/>
      <c r="D161" s="48"/>
      <c r="E161" s="48"/>
      <c r="F161" s="48"/>
      <c r="G161" s="48"/>
      <c r="H161" s="48"/>
      <c r="I161" s="48"/>
      <c r="J161" s="48"/>
      <c r="K161" s="48"/>
    </row>
    <row r="162" spans="1:11" x14ac:dyDescent="0.25">
      <c r="A162" s="48"/>
      <c r="B162" s="48"/>
      <c r="C162" s="48"/>
      <c r="D162" s="48"/>
      <c r="E162" s="48"/>
      <c r="F162" s="48"/>
      <c r="G162" s="48"/>
      <c r="H162" s="48"/>
      <c r="I162" s="48"/>
      <c r="J162" s="48"/>
      <c r="K162" s="48"/>
    </row>
    <row r="163" spans="1:11" x14ac:dyDescent="0.25">
      <c r="A163" s="48"/>
      <c r="B163" s="48"/>
      <c r="C163" s="48"/>
      <c r="D163" s="48"/>
      <c r="E163" s="48"/>
      <c r="F163" s="48"/>
      <c r="G163" s="48"/>
      <c r="H163" s="48"/>
      <c r="I163" s="48"/>
      <c r="J163" s="48"/>
      <c r="K163" s="48"/>
    </row>
    <row r="164" spans="1:11" x14ac:dyDescent="0.25">
      <c r="A164" s="48"/>
      <c r="B164" s="48"/>
      <c r="C164" s="48"/>
      <c r="D164" s="48"/>
      <c r="E164" s="48"/>
      <c r="F164" s="48"/>
      <c r="G164" s="48"/>
      <c r="H164" s="48"/>
      <c r="I164" s="48"/>
      <c r="J164" s="48"/>
      <c r="K164" s="48"/>
    </row>
    <row r="165" spans="1:11" x14ac:dyDescent="0.25">
      <c r="A165" s="48"/>
      <c r="B165" s="48"/>
      <c r="C165" s="48"/>
      <c r="D165" s="48"/>
      <c r="E165" s="48"/>
      <c r="F165" s="48"/>
      <c r="G165" s="48"/>
      <c r="H165" s="48"/>
      <c r="I165" s="48"/>
      <c r="J165" s="48"/>
      <c r="K165" s="48"/>
    </row>
    <row r="166" spans="1:11" x14ac:dyDescent="0.25">
      <c r="A166" s="48"/>
      <c r="B166" s="48"/>
      <c r="C166" s="48"/>
      <c r="D166" s="48"/>
      <c r="E166" s="48"/>
      <c r="F166" s="48"/>
      <c r="G166" s="48"/>
      <c r="H166" s="48"/>
      <c r="I166" s="48"/>
      <c r="J166" s="48"/>
      <c r="K166" s="48"/>
    </row>
  </sheetData>
  <autoFilter ref="E87:G87" xr:uid="{37948DF7-71A3-4712-B10A-07058F2CBE6A}"/>
  <mergeCells count="6">
    <mergeCell ref="A102:B102"/>
    <mergeCell ref="A1:C1"/>
    <mergeCell ref="A16:B16"/>
    <mergeCell ref="A29:B29"/>
    <mergeCell ref="A51:C51"/>
    <mergeCell ref="A79:B79"/>
  </mergeCells>
  <conditionalFormatting sqref="F88:F97">
    <cfRule type="dataBar" priority="2">
      <dataBar>
        <cfvo type="min"/>
        <cfvo type="max"/>
        <color rgb="FF638EC6"/>
      </dataBar>
      <extLst>
        <ext xmlns:x14="http://schemas.microsoft.com/office/spreadsheetml/2009/9/main" uri="{B025F937-C7B1-47D3-B67F-A62EFF666E3E}">
          <x14:id>{7475052F-62C4-4129-9CAA-C11204340CAB}</x14:id>
        </ext>
      </extLst>
    </cfRule>
  </conditionalFormatting>
  <dataValidations count="1">
    <dataValidation type="list" allowBlank="1" showInputMessage="1" showErrorMessage="1" sqref="B81" xr:uid="{B5FF2DF9-F35E-4FBE-B1A4-B69DA823702B}">
      <formula1>$M$83:$M$88</formula1>
    </dataValidation>
  </dataValidations>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x14:cfRule type="dataBar" id="{7475052F-62C4-4129-9CAA-C11204340CAB}">
            <x14:dataBar minLength="0" maxLength="100" border="1" negativeBarBorderColorSameAsPositive="0">
              <x14:cfvo type="autoMin"/>
              <x14:cfvo type="autoMax"/>
              <x14:borderColor rgb="FF638EC6"/>
              <x14:negativeFillColor rgb="FFFF0000"/>
              <x14:negativeBorderColor rgb="FFFF0000"/>
              <x14:axisColor rgb="FF000000"/>
            </x14:dataBar>
          </x14:cfRule>
          <xm:sqref>F88:F97</xm:sqref>
        </x14:conditionalFormatting>
        <x14:conditionalFormatting xmlns:xm="http://schemas.microsoft.com/office/excel/2006/main">
          <x14:cfRule type="iconSet" priority="1" id="{585D42BB-A707-4AA1-B32E-72AF89B8EF75}">
            <x14:iconSet iconSet="3Symbols2" showValue="0" custom="1">
              <x14:cfvo type="percent">
                <xm:f>0</xm:f>
              </x14:cfvo>
              <x14:cfvo type="num">
                <xm:f>0</xm:f>
              </x14:cfvo>
              <x14:cfvo type="num">
                <xm:f>0</xm:f>
              </x14:cfvo>
              <x14:cfIcon iconSet="3Symbols2" iconId="0"/>
              <x14:cfIcon iconSet="NoIcons" iconId="0"/>
              <x14:cfIcon iconSet="3Symbols2" iconId="2"/>
            </x14:iconSet>
          </x14:cfRule>
          <xm:sqref>H88:H97</xm:sqref>
        </x14:conditionalFormatting>
      </x14:conditionalFormattings>
    </ex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4B6E-89E2-4971-8C86-BDF853E83613}">
  <dimension ref="A1:R318"/>
  <sheetViews>
    <sheetView topLeftCell="A83" workbookViewId="0">
      <selection activeCell="A23" sqref="A18:E318"/>
    </sheetView>
  </sheetViews>
  <sheetFormatPr defaultRowHeight="15" x14ac:dyDescent="0.25"/>
  <cols>
    <col min="1" max="1" width="24" bestFit="1" customWidth="1"/>
    <col min="2" max="2" width="12.5703125" bestFit="1" customWidth="1"/>
    <col min="3" max="3" width="21.85546875" bestFit="1" customWidth="1"/>
    <col min="4" max="4" width="8.28515625" bestFit="1" customWidth="1"/>
    <col min="5" max="5" width="14.140625" customWidth="1"/>
    <col min="8" max="8" width="6.7109375" customWidth="1"/>
    <col min="9" max="9" width="12.5703125" bestFit="1" customWidth="1"/>
    <col min="10" max="10" width="12.28515625" bestFit="1" customWidth="1"/>
    <col min="11" max="11" width="14.5703125" customWidth="1"/>
    <col min="15" max="15" width="12.5703125" bestFit="1" customWidth="1"/>
    <col min="16" max="17" width="12.28515625" bestFit="1" customWidth="1"/>
    <col min="18" max="18" width="11.28515625" bestFit="1" customWidth="1"/>
  </cols>
  <sheetData>
    <row r="1" spans="1:18" ht="18" thickBot="1" x14ac:dyDescent="0.35">
      <c r="A1" s="13" t="s">
        <v>62</v>
      </c>
      <c r="B1" s="13"/>
      <c r="C1" s="13"/>
      <c r="I1" s="15" t="s">
        <v>44</v>
      </c>
      <c r="J1" s="15"/>
      <c r="K1" s="15"/>
    </row>
    <row r="2" spans="1:18" ht="18.75" thickTop="1" thickBot="1" x14ac:dyDescent="0.35">
      <c r="A2" s="12"/>
      <c r="B2" s="12"/>
      <c r="C2" s="12"/>
    </row>
    <row r="3" spans="1:18" ht="16.5" thickTop="1" thickBot="1" x14ac:dyDescent="0.3">
      <c r="B3" s="14" t="s">
        <v>54</v>
      </c>
      <c r="C3" s="14" t="s">
        <v>55</v>
      </c>
      <c r="I3" s="14" t="s">
        <v>63</v>
      </c>
      <c r="J3" s="14" t="s">
        <v>54</v>
      </c>
      <c r="K3" s="14" t="s">
        <v>55</v>
      </c>
      <c r="O3" s="14" t="s">
        <v>63</v>
      </c>
      <c r="P3" s="14" t="s">
        <v>54</v>
      </c>
      <c r="R3" s="14" t="s">
        <v>55</v>
      </c>
    </row>
    <row r="4" spans="1:18" x14ac:dyDescent="0.25">
      <c r="A4" s="25" t="s">
        <v>53</v>
      </c>
      <c r="B4" s="26">
        <f>AVERAGE(Table2[Amount])</f>
        <v>4136.2299999999996</v>
      </c>
      <c r="C4" s="27">
        <f>AVERAGE(Table2[Units])</f>
        <v>152.19999999999999</v>
      </c>
      <c r="I4" t="str" cm="1">
        <f t="array" ref="I4:I9">_xlfn.UNIQUE(Table2[Geography])</f>
        <v>New Zealand</v>
      </c>
      <c r="J4" s="34">
        <f>SUMIFS(Table2[Amount],Table2[Geography], I4)</f>
        <v>218813</v>
      </c>
      <c r="K4" s="34">
        <f>SUMIFS(Table2[Units],Table2[Geography],I4)</f>
        <v>7431</v>
      </c>
      <c r="O4" t="s">
        <v>34</v>
      </c>
      <c r="P4" s="34">
        <v>252469</v>
      </c>
      <c r="Q4" s="34">
        <v>252469</v>
      </c>
      <c r="R4" s="35">
        <v>8760</v>
      </c>
    </row>
    <row r="5" spans="1:18" x14ac:dyDescent="0.25">
      <c r="A5" s="28" t="s">
        <v>56</v>
      </c>
      <c r="B5" s="29">
        <f>MEDIAN(Table2[Amount])</f>
        <v>3437</v>
      </c>
      <c r="C5" s="30">
        <f>MEDIAN(Table2[Units])</f>
        <v>124.5</v>
      </c>
      <c r="I5" t="str">
        <v>USA</v>
      </c>
      <c r="J5" s="34">
        <f>SUMIFS(Table2[Amount],Table2[Geography], I5)</f>
        <v>189434</v>
      </c>
      <c r="K5" s="34">
        <f>SUMIFS(Table2[Units],Table2[Geography],I5)</f>
        <v>10158</v>
      </c>
      <c r="O5" t="s">
        <v>36</v>
      </c>
      <c r="P5" s="34">
        <v>237944</v>
      </c>
      <c r="Q5" s="34">
        <v>237944</v>
      </c>
      <c r="R5" s="35">
        <v>7302</v>
      </c>
    </row>
    <row r="6" spans="1:18" x14ac:dyDescent="0.25">
      <c r="A6" s="28" t="s">
        <v>57</v>
      </c>
      <c r="B6" s="29">
        <f>MIN(Table2[Amount])</f>
        <v>0</v>
      </c>
      <c r="C6" s="30">
        <f>MIN(Table2[Units])</f>
        <v>0</v>
      </c>
      <c r="I6" t="str">
        <v>Canada</v>
      </c>
      <c r="J6" s="34">
        <f>SUMIFS(Table2[Amount],Table2[Geography], I6)</f>
        <v>237944</v>
      </c>
      <c r="K6" s="34">
        <f>SUMIFS(Table2[Units],Table2[Geography],I6)</f>
        <v>7302</v>
      </c>
      <c r="O6" t="s">
        <v>37</v>
      </c>
      <c r="P6" s="34">
        <v>218813</v>
      </c>
      <c r="Q6" s="34">
        <v>218813</v>
      </c>
      <c r="R6" s="35">
        <v>7431</v>
      </c>
    </row>
    <row r="7" spans="1:18" x14ac:dyDescent="0.25">
      <c r="A7" s="28" t="s">
        <v>58</v>
      </c>
      <c r="B7" s="29">
        <f>MAX(Table2[Amount])</f>
        <v>16184</v>
      </c>
      <c r="C7" s="30">
        <f>MAX(Table2[Units])</f>
        <v>525</v>
      </c>
      <c r="I7" t="str">
        <v>UK</v>
      </c>
      <c r="J7" s="34">
        <f>SUMIFS(Table2[Amount],Table2[Geography], I7)</f>
        <v>173530</v>
      </c>
      <c r="K7" s="34">
        <f>SUMIFS(Table2[Units],Table2[Geography],I7)</f>
        <v>5745</v>
      </c>
      <c r="O7" t="s">
        <v>35</v>
      </c>
      <c r="P7" s="34">
        <v>189434</v>
      </c>
      <c r="Q7" s="34">
        <v>189434</v>
      </c>
      <c r="R7" s="35">
        <v>10158</v>
      </c>
    </row>
    <row r="8" spans="1:18" x14ac:dyDescent="0.25">
      <c r="A8" s="28" t="s">
        <v>59</v>
      </c>
      <c r="B8" s="29">
        <f>B7-B6</f>
        <v>16184</v>
      </c>
      <c r="C8" s="30">
        <f>C7-C6</f>
        <v>525</v>
      </c>
      <c r="I8" t="str">
        <v>Australia</v>
      </c>
      <c r="J8" s="34">
        <f>SUMIFS(Table2[Amount],Table2[Geography], I8)</f>
        <v>168679</v>
      </c>
      <c r="K8" s="34">
        <f>SUMIFS(Table2[Units],Table2[Geography],I8)</f>
        <v>6264</v>
      </c>
      <c r="O8" t="s">
        <v>39</v>
      </c>
      <c r="P8" s="34">
        <v>173530</v>
      </c>
      <c r="Q8" s="34">
        <v>173530</v>
      </c>
      <c r="R8" s="35">
        <v>5745</v>
      </c>
    </row>
    <row r="9" spans="1:18" x14ac:dyDescent="0.25">
      <c r="A9" s="28" t="s">
        <v>60</v>
      </c>
      <c r="B9" s="29">
        <f>_xlfn.PERCENTILE.EXC(Table2[Amount],0.25)</f>
        <v>1652</v>
      </c>
      <c r="C9" s="30">
        <f>_xlfn.PERCENTILE.EXC(Table2[Units],0.25)</f>
        <v>54</v>
      </c>
      <c r="I9" t="str">
        <v>India</v>
      </c>
      <c r="J9" s="34">
        <f>SUMIFS(Table2[Amount],Table2[Geography], I9)</f>
        <v>252469</v>
      </c>
      <c r="K9" s="34">
        <f>SUMIFS(Table2[Units],Table2[Geography],I9)</f>
        <v>8760</v>
      </c>
      <c r="O9" t="s">
        <v>38</v>
      </c>
      <c r="P9" s="34">
        <v>168679</v>
      </c>
      <c r="Q9" s="34">
        <v>168679</v>
      </c>
      <c r="R9" s="35">
        <v>6264</v>
      </c>
    </row>
    <row r="10" spans="1:18" x14ac:dyDescent="0.25">
      <c r="A10" s="28" t="s">
        <v>64</v>
      </c>
      <c r="B10" s="29">
        <f>_xlfn.PERCENTILE.EXC(Table2[Amount],0.75)</f>
        <v>6245.75</v>
      </c>
      <c r="C10" s="30">
        <f>_xlfn.PERCENTILE.EXC(Table2[Units],0.75)</f>
        <v>223.5</v>
      </c>
    </row>
    <row r="11" spans="1:18" x14ac:dyDescent="0.25">
      <c r="A11" s="28"/>
      <c r="B11" s="29"/>
      <c r="C11" s="30"/>
    </row>
    <row r="12" spans="1:18" ht="15.75" thickBot="1" x14ac:dyDescent="0.3">
      <c r="A12" s="31" t="s">
        <v>61</v>
      </c>
      <c r="B12" s="32">
        <f>COUNTA(_xlfn.UNIQUE(Table2[Product]))</f>
        <v>22</v>
      </c>
      <c r="C12" s="33"/>
    </row>
    <row r="16" spans="1:18" ht="18" thickBot="1" x14ac:dyDescent="0.35">
      <c r="A16" s="15" t="s">
        <v>50</v>
      </c>
      <c r="B16" s="15"/>
      <c r="C16" s="15"/>
    </row>
    <row r="17" spans="1:5" ht="18.75" thickTop="1" thickBot="1" x14ac:dyDescent="0.35">
      <c r="A17" s="24"/>
      <c r="B17" s="24"/>
      <c r="C17" s="24"/>
    </row>
    <row r="18" spans="1:5" ht="15.75" thickTop="1" x14ac:dyDescent="0.25">
      <c r="A18" s="20" t="s">
        <v>11</v>
      </c>
      <c r="B18" s="21" t="s">
        <v>12</v>
      </c>
      <c r="C18" s="21" t="s">
        <v>0</v>
      </c>
      <c r="D18" s="22" t="s">
        <v>1</v>
      </c>
      <c r="E18" s="23" t="s">
        <v>48</v>
      </c>
    </row>
    <row r="19" spans="1:5" x14ac:dyDescent="0.25">
      <c r="A19" s="10" t="s">
        <v>10</v>
      </c>
      <c r="B19" s="11" t="s">
        <v>38</v>
      </c>
      <c r="C19" s="11" t="s">
        <v>14</v>
      </c>
      <c r="D19" s="16">
        <v>5586</v>
      </c>
      <c r="E19" s="17">
        <v>525</v>
      </c>
    </row>
    <row r="20" spans="1:5" x14ac:dyDescent="0.25">
      <c r="A20" s="8" t="s">
        <v>2</v>
      </c>
      <c r="B20" s="9" t="s">
        <v>36</v>
      </c>
      <c r="C20" s="9" t="s">
        <v>27</v>
      </c>
      <c r="D20" s="18">
        <v>798</v>
      </c>
      <c r="E20" s="19">
        <v>519</v>
      </c>
    </row>
    <row r="21" spans="1:5" x14ac:dyDescent="0.25">
      <c r="A21" s="8" t="s">
        <v>8</v>
      </c>
      <c r="B21" s="9" t="s">
        <v>38</v>
      </c>
      <c r="C21" s="9" t="s">
        <v>13</v>
      </c>
      <c r="D21" s="18">
        <v>819</v>
      </c>
      <c r="E21" s="19">
        <v>510</v>
      </c>
    </row>
    <row r="22" spans="1:5" x14ac:dyDescent="0.25">
      <c r="A22" s="8" t="s">
        <v>3</v>
      </c>
      <c r="B22" s="9" t="s">
        <v>34</v>
      </c>
      <c r="C22" s="9" t="s">
        <v>32</v>
      </c>
      <c r="D22" s="18">
        <v>7777</v>
      </c>
      <c r="E22" s="19">
        <v>504</v>
      </c>
    </row>
    <row r="23" spans="1:5" x14ac:dyDescent="0.25">
      <c r="A23" s="8" t="s">
        <v>9</v>
      </c>
      <c r="B23" s="9" t="s">
        <v>34</v>
      </c>
      <c r="C23" s="9" t="s">
        <v>20</v>
      </c>
      <c r="D23" s="18">
        <v>8463</v>
      </c>
      <c r="E23" s="19">
        <v>492</v>
      </c>
    </row>
    <row r="24" spans="1:5" x14ac:dyDescent="0.25">
      <c r="A24" s="10" t="s">
        <v>2</v>
      </c>
      <c r="B24" s="11" t="s">
        <v>39</v>
      </c>
      <c r="C24" s="11" t="s">
        <v>25</v>
      </c>
      <c r="D24" s="16">
        <v>1785</v>
      </c>
      <c r="E24" s="17">
        <v>462</v>
      </c>
    </row>
    <row r="25" spans="1:5" x14ac:dyDescent="0.25">
      <c r="A25" s="8" t="s">
        <v>8</v>
      </c>
      <c r="B25" s="9" t="s">
        <v>35</v>
      </c>
      <c r="C25" s="9" t="s">
        <v>32</v>
      </c>
      <c r="D25" s="18">
        <v>6706</v>
      </c>
      <c r="E25" s="19">
        <v>459</v>
      </c>
    </row>
    <row r="26" spans="1:5" x14ac:dyDescent="0.25">
      <c r="A26" s="8" t="s">
        <v>6</v>
      </c>
      <c r="B26" s="9" t="s">
        <v>37</v>
      </c>
      <c r="C26" s="9" t="s">
        <v>28</v>
      </c>
      <c r="D26" s="18">
        <v>3556</v>
      </c>
      <c r="E26" s="19">
        <v>459</v>
      </c>
    </row>
    <row r="27" spans="1:5" x14ac:dyDescent="0.25">
      <c r="A27" s="8" t="s">
        <v>6</v>
      </c>
      <c r="B27" s="9" t="s">
        <v>34</v>
      </c>
      <c r="C27" s="9" t="s">
        <v>26</v>
      </c>
      <c r="D27" s="18">
        <v>8008</v>
      </c>
      <c r="E27" s="19">
        <v>456</v>
      </c>
    </row>
    <row r="28" spans="1:5" x14ac:dyDescent="0.25">
      <c r="A28" s="8" t="s">
        <v>40</v>
      </c>
      <c r="B28" s="9" t="s">
        <v>35</v>
      </c>
      <c r="C28" s="9" t="s">
        <v>30</v>
      </c>
      <c r="D28" s="18">
        <v>2275</v>
      </c>
      <c r="E28" s="19">
        <v>447</v>
      </c>
    </row>
    <row r="29" spans="1:5" x14ac:dyDescent="0.25">
      <c r="A29" s="8" t="s">
        <v>40</v>
      </c>
      <c r="B29" s="9" t="s">
        <v>35</v>
      </c>
      <c r="C29" s="9" t="s">
        <v>33</v>
      </c>
      <c r="D29" s="18">
        <v>8869</v>
      </c>
      <c r="E29" s="19">
        <v>432</v>
      </c>
    </row>
    <row r="30" spans="1:5" x14ac:dyDescent="0.25">
      <c r="A30" s="10" t="s">
        <v>6</v>
      </c>
      <c r="B30" s="11" t="s">
        <v>39</v>
      </c>
      <c r="C30" s="11" t="s">
        <v>25</v>
      </c>
      <c r="D30" s="16">
        <v>2100</v>
      </c>
      <c r="E30" s="17">
        <v>414</v>
      </c>
    </row>
    <row r="31" spans="1:5" x14ac:dyDescent="0.25">
      <c r="A31" s="8" t="s">
        <v>6</v>
      </c>
      <c r="B31" s="9" t="s">
        <v>37</v>
      </c>
      <c r="C31" s="9" t="s">
        <v>16</v>
      </c>
      <c r="D31" s="18">
        <v>1904</v>
      </c>
      <c r="E31" s="19">
        <v>405</v>
      </c>
    </row>
    <row r="32" spans="1:5" x14ac:dyDescent="0.25">
      <c r="A32" s="10" t="s">
        <v>6</v>
      </c>
      <c r="B32" s="11" t="s">
        <v>35</v>
      </c>
      <c r="C32" s="11" t="s">
        <v>4</v>
      </c>
      <c r="D32" s="16">
        <v>1302</v>
      </c>
      <c r="E32" s="17">
        <v>402</v>
      </c>
    </row>
    <row r="33" spans="1:5" x14ac:dyDescent="0.25">
      <c r="A33" s="10" t="s">
        <v>6</v>
      </c>
      <c r="B33" s="11" t="s">
        <v>39</v>
      </c>
      <c r="C33" s="11" t="s">
        <v>29</v>
      </c>
      <c r="D33" s="16">
        <v>3052</v>
      </c>
      <c r="E33" s="17">
        <v>378</v>
      </c>
    </row>
    <row r="34" spans="1:5" x14ac:dyDescent="0.25">
      <c r="A34" s="10" t="s">
        <v>40</v>
      </c>
      <c r="B34" s="11" t="s">
        <v>35</v>
      </c>
      <c r="C34" s="11" t="s">
        <v>22</v>
      </c>
      <c r="D34" s="16">
        <v>6853</v>
      </c>
      <c r="E34" s="17">
        <v>372</v>
      </c>
    </row>
    <row r="35" spans="1:5" x14ac:dyDescent="0.25">
      <c r="A35" s="10" t="s">
        <v>7</v>
      </c>
      <c r="B35" s="11" t="s">
        <v>34</v>
      </c>
      <c r="C35" s="11" t="s">
        <v>14</v>
      </c>
      <c r="D35" s="16">
        <v>1932</v>
      </c>
      <c r="E35" s="17">
        <v>369</v>
      </c>
    </row>
    <row r="36" spans="1:5" x14ac:dyDescent="0.25">
      <c r="A36" s="8" t="s">
        <v>6</v>
      </c>
      <c r="B36" s="9" t="s">
        <v>34</v>
      </c>
      <c r="C36" s="9" t="s">
        <v>30</v>
      </c>
      <c r="D36" s="18">
        <v>3402</v>
      </c>
      <c r="E36" s="19">
        <v>366</v>
      </c>
    </row>
    <row r="37" spans="1:5" x14ac:dyDescent="0.25">
      <c r="A37" s="8" t="s">
        <v>3</v>
      </c>
      <c r="B37" s="9" t="s">
        <v>37</v>
      </c>
      <c r="C37" s="9" t="s">
        <v>4</v>
      </c>
      <c r="D37" s="18">
        <v>938</v>
      </c>
      <c r="E37" s="19">
        <v>366</v>
      </c>
    </row>
    <row r="38" spans="1:5" x14ac:dyDescent="0.25">
      <c r="A38" s="10" t="s">
        <v>8</v>
      </c>
      <c r="B38" s="11" t="s">
        <v>35</v>
      </c>
      <c r="C38" s="11" t="s">
        <v>20</v>
      </c>
      <c r="D38" s="16">
        <v>2702</v>
      </c>
      <c r="E38" s="17">
        <v>363</v>
      </c>
    </row>
    <row r="39" spans="1:5" x14ac:dyDescent="0.25">
      <c r="A39" s="10" t="s">
        <v>5</v>
      </c>
      <c r="B39" s="11" t="s">
        <v>35</v>
      </c>
      <c r="C39" s="11" t="s">
        <v>29</v>
      </c>
      <c r="D39" s="16">
        <v>4480</v>
      </c>
      <c r="E39" s="17">
        <v>357</v>
      </c>
    </row>
    <row r="40" spans="1:5" x14ac:dyDescent="0.25">
      <c r="A40" s="10" t="s">
        <v>2</v>
      </c>
      <c r="B40" s="11" t="s">
        <v>38</v>
      </c>
      <c r="C40" s="11" t="s">
        <v>31</v>
      </c>
      <c r="D40" s="16">
        <v>4326</v>
      </c>
      <c r="E40" s="17">
        <v>348</v>
      </c>
    </row>
    <row r="41" spans="1:5" x14ac:dyDescent="0.25">
      <c r="A41" s="10" t="s">
        <v>5</v>
      </c>
      <c r="B41" s="11" t="s">
        <v>36</v>
      </c>
      <c r="C41" s="11" t="s">
        <v>17</v>
      </c>
      <c r="D41" s="16">
        <v>3339</v>
      </c>
      <c r="E41" s="17">
        <v>348</v>
      </c>
    </row>
    <row r="42" spans="1:5" x14ac:dyDescent="0.25">
      <c r="A42" s="8" t="s">
        <v>10</v>
      </c>
      <c r="B42" s="9" t="s">
        <v>36</v>
      </c>
      <c r="C42" s="9" t="s">
        <v>29</v>
      </c>
      <c r="D42" s="18">
        <v>2471</v>
      </c>
      <c r="E42" s="19">
        <v>342</v>
      </c>
    </row>
    <row r="43" spans="1:5" x14ac:dyDescent="0.25">
      <c r="A43" s="8" t="s">
        <v>5</v>
      </c>
      <c r="B43" s="9" t="s">
        <v>34</v>
      </c>
      <c r="C43" s="9" t="s">
        <v>20</v>
      </c>
      <c r="D43" s="18">
        <v>15610</v>
      </c>
      <c r="E43" s="19">
        <v>339</v>
      </c>
    </row>
    <row r="44" spans="1:5" x14ac:dyDescent="0.25">
      <c r="A44" s="10" t="s">
        <v>7</v>
      </c>
      <c r="B44" s="11" t="s">
        <v>37</v>
      </c>
      <c r="C44" s="11" t="s">
        <v>16</v>
      </c>
      <c r="D44" s="16">
        <v>4487</v>
      </c>
      <c r="E44" s="17">
        <v>333</v>
      </c>
    </row>
    <row r="45" spans="1:5" x14ac:dyDescent="0.25">
      <c r="A45" s="8" t="s">
        <v>3</v>
      </c>
      <c r="B45" s="9" t="s">
        <v>37</v>
      </c>
      <c r="C45" s="9" t="s">
        <v>28</v>
      </c>
      <c r="D45" s="18">
        <v>7308</v>
      </c>
      <c r="E45" s="19">
        <v>327</v>
      </c>
    </row>
    <row r="46" spans="1:5" x14ac:dyDescent="0.25">
      <c r="A46" s="10" t="s">
        <v>3</v>
      </c>
      <c r="B46" s="11" t="s">
        <v>37</v>
      </c>
      <c r="C46" s="11" t="s">
        <v>29</v>
      </c>
      <c r="D46" s="16">
        <v>4592</v>
      </c>
      <c r="E46" s="17">
        <v>324</v>
      </c>
    </row>
    <row r="47" spans="1:5" x14ac:dyDescent="0.25">
      <c r="A47" s="10" t="s">
        <v>7</v>
      </c>
      <c r="B47" s="11" t="s">
        <v>38</v>
      </c>
      <c r="C47" s="11" t="s">
        <v>30</v>
      </c>
      <c r="D47" s="16">
        <v>10129</v>
      </c>
      <c r="E47" s="17">
        <v>312</v>
      </c>
    </row>
    <row r="48" spans="1:5" x14ac:dyDescent="0.25">
      <c r="A48" s="8" t="s">
        <v>3</v>
      </c>
      <c r="B48" s="9" t="s">
        <v>34</v>
      </c>
      <c r="C48" s="9" t="s">
        <v>28</v>
      </c>
      <c r="D48" s="18">
        <v>3689</v>
      </c>
      <c r="E48" s="19">
        <v>312</v>
      </c>
    </row>
    <row r="49" spans="1:5" x14ac:dyDescent="0.25">
      <c r="A49" s="10" t="s">
        <v>41</v>
      </c>
      <c r="B49" s="11" t="s">
        <v>36</v>
      </c>
      <c r="C49" s="11" t="s">
        <v>28</v>
      </c>
      <c r="D49" s="16">
        <v>854</v>
      </c>
      <c r="E49" s="17">
        <v>309</v>
      </c>
    </row>
    <row r="50" spans="1:5" x14ac:dyDescent="0.25">
      <c r="A50" s="10" t="s">
        <v>9</v>
      </c>
      <c r="B50" s="11" t="s">
        <v>39</v>
      </c>
      <c r="C50" s="11" t="s">
        <v>24</v>
      </c>
      <c r="D50" s="16">
        <v>3920</v>
      </c>
      <c r="E50" s="17">
        <v>306</v>
      </c>
    </row>
    <row r="51" spans="1:5" x14ac:dyDescent="0.25">
      <c r="A51" s="8" t="s">
        <v>40</v>
      </c>
      <c r="B51" s="9" t="s">
        <v>36</v>
      </c>
      <c r="C51" s="9" t="s">
        <v>27</v>
      </c>
      <c r="D51" s="18">
        <v>3164</v>
      </c>
      <c r="E51" s="19">
        <v>306</v>
      </c>
    </row>
    <row r="52" spans="1:5" x14ac:dyDescent="0.25">
      <c r="A52" s="10" t="s">
        <v>3</v>
      </c>
      <c r="B52" s="11" t="s">
        <v>35</v>
      </c>
      <c r="C52" s="11" t="s">
        <v>33</v>
      </c>
      <c r="D52" s="16">
        <v>819</v>
      </c>
      <c r="E52" s="17">
        <v>306</v>
      </c>
    </row>
    <row r="53" spans="1:5" x14ac:dyDescent="0.25">
      <c r="A53" s="10" t="s">
        <v>3</v>
      </c>
      <c r="B53" s="11" t="s">
        <v>38</v>
      </c>
      <c r="C53" s="11" t="s">
        <v>26</v>
      </c>
      <c r="D53" s="16">
        <v>8841</v>
      </c>
      <c r="E53" s="17">
        <v>303</v>
      </c>
    </row>
    <row r="54" spans="1:5" x14ac:dyDescent="0.25">
      <c r="A54" s="10" t="s">
        <v>10</v>
      </c>
      <c r="B54" s="11" t="s">
        <v>36</v>
      </c>
      <c r="C54" s="11" t="s">
        <v>32</v>
      </c>
      <c r="D54" s="16">
        <v>6657</v>
      </c>
      <c r="E54" s="17">
        <v>303</v>
      </c>
    </row>
    <row r="55" spans="1:5" x14ac:dyDescent="0.25">
      <c r="A55" s="8" t="s">
        <v>2</v>
      </c>
      <c r="B55" s="9" t="s">
        <v>35</v>
      </c>
      <c r="C55" s="9" t="s">
        <v>17</v>
      </c>
      <c r="D55" s="18">
        <v>1589</v>
      </c>
      <c r="E55" s="19">
        <v>303</v>
      </c>
    </row>
    <row r="56" spans="1:5" x14ac:dyDescent="0.25">
      <c r="A56" s="8" t="s">
        <v>8</v>
      </c>
      <c r="B56" s="9" t="s">
        <v>35</v>
      </c>
      <c r="C56" s="9" t="s">
        <v>27</v>
      </c>
      <c r="D56" s="18">
        <v>4753</v>
      </c>
      <c r="E56" s="19">
        <v>300</v>
      </c>
    </row>
    <row r="57" spans="1:5" x14ac:dyDescent="0.25">
      <c r="A57" s="10" t="s">
        <v>7</v>
      </c>
      <c r="B57" s="11" t="s">
        <v>36</v>
      </c>
      <c r="C57" s="11" t="s">
        <v>19</v>
      </c>
      <c r="D57" s="16">
        <v>2870</v>
      </c>
      <c r="E57" s="17">
        <v>300</v>
      </c>
    </row>
    <row r="58" spans="1:5" x14ac:dyDescent="0.25">
      <c r="A58" s="10" t="s">
        <v>40</v>
      </c>
      <c r="B58" s="11" t="s">
        <v>38</v>
      </c>
      <c r="C58" s="11" t="s">
        <v>13</v>
      </c>
      <c r="D58" s="16">
        <v>5670</v>
      </c>
      <c r="E58" s="17">
        <v>297</v>
      </c>
    </row>
    <row r="59" spans="1:5" x14ac:dyDescent="0.25">
      <c r="A59" s="8" t="s">
        <v>41</v>
      </c>
      <c r="B59" s="9" t="s">
        <v>36</v>
      </c>
      <c r="C59" s="9" t="s">
        <v>18</v>
      </c>
      <c r="D59" s="18">
        <v>9632</v>
      </c>
      <c r="E59" s="19">
        <v>288</v>
      </c>
    </row>
    <row r="60" spans="1:5" x14ac:dyDescent="0.25">
      <c r="A60" s="10" t="s">
        <v>7</v>
      </c>
      <c r="B60" s="11" t="s">
        <v>35</v>
      </c>
      <c r="C60" s="11" t="s">
        <v>28</v>
      </c>
      <c r="D60" s="16">
        <v>5194</v>
      </c>
      <c r="E60" s="17">
        <v>288</v>
      </c>
    </row>
    <row r="61" spans="1:5" x14ac:dyDescent="0.25">
      <c r="A61" s="10" t="s">
        <v>8</v>
      </c>
      <c r="B61" s="11" t="s">
        <v>34</v>
      </c>
      <c r="C61" s="11" t="s">
        <v>31</v>
      </c>
      <c r="D61" s="16">
        <v>3507</v>
      </c>
      <c r="E61" s="17">
        <v>288</v>
      </c>
    </row>
    <row r="62" spans="1:5" x14ac:dyDescent="0.25">
      <c r="A62" s="8" t="s">
        <v>10</v>
      </c>
      <c r="B62" s="9" t="s">
        <v>37</v>
      </c>
      <c r="C62" s="9" t="s">
        <v>21</v>
      </c>
      <c r="D62" s="18">
        <v>245</v>
      </c>
      <c r="E62" s="19">
        <v>288</v>
      </c>
    </row>
    <row r="63" spans="1:5" x14ac:dyDescent="0.25">
      <c r="A63" s="8" t="s">
        <v>6</v>
      </c>
      <c r="B63" s="9" t="s">
        <v>38</v>
      </c>
      <c r="C63" s="9" t="s">
        <v>27</v>
      </c>
      <c r="D63" s="18">
        <v>1134</v>
      </c>
      <c r="E63" s="19">
        <v>282</v>
      </c>
    </row>
    <row r="64" spans="1:5" x14ac:dyDescent="0.25">
      <c r="A64" s="8" t="s">
        <v>10</v>
      </c>
      <c r="B64" s="9" t="s">
        <v>39</v>
      </c>
      <c r="C64" s="9" t="s">
        <v>21</v>
      </c>
      <c r="D64" s="18">
        <v>4858</v>
      </c>
      <c r="E64" s="19">
        <v>279</v>
      </c>
    </row>
    <row r="65" spans="1:5" x14ac:dyDescent="0.25">
      <c r="A65" s="8" t="s">
        <v>10</v>
      </c>
      <c r="B65" s="9" t="s">
        <v>35</v>
      </c>
      <c r="C65" s="9" t="s">
        <v>18</v>
      </c>
      <c r="D65" s="18">
        <v>3808</v>
      </c>
      <c r="E65" s="19">
        <v>279</v>
      </c>
    </row>
    <row r="66" spans="1:5" x14ac:dyDescent="0.25">
      <c r="A66" s="8" t="s">
        <v>3</v>
      </c>
      <c r="B66" s="9" t="s">
        <v>34</v>
      </c>
      <c r="C66" s="9" t="s">
        <v>14</v>
      </c>
      <c r="D66" s="18">
        <v>7259</v>
      </c>
      <c r="E66" s="19">
        <v>276</v>
      </c>
    </row>
    <row r="67" spans="1:5" x14ac:dyDescent="0.25">
      <c r="A67" s="8" t="s">
        <v>3</v>
      </c>
      <c r="B67" s="9" t="s">
        <v>35</v>
      </c>
      <c r="C67" s="9" t="s">
        <v>15</v>
      </c>
      <c r="D67" s="18">
        <v>6657</v>
      </c>
      <c r="E67" s="19">
        <v>276</v>
      </c>
    </row>
    <row r="68" spans="1:5" x14ac:dyDescent="0.25">
      <c r="A68" s="10" t="s">
        <v>9</v>
      </c>
      <c r="B68" s="11" t="s">
        <v>37</v>
      </c>
      <c r="C68" s="11" t="s">
        <v>29</v>
      </c>
      <c r="D68" s="16">
        <v>1085</v>
      </c>
      <c r="E68" s="17">
        <v>273</v>
      </c>
    </row>
    <row r="69" spans="1:5" x14ac:dyDescent="0.25">
      <c r="A69" s="10" t="s">
        <v>7</v>
      </c>
      <c r="B69" s="11" t="s">
        <v>38</v>
      </c>
      <c r="C69" s="11" t="s">
        <v>18</v>
      </c>
      <c r="D69" s="16">
        <v>1778</v>
      </c>
      <c r="E69" s="17">
        <v>270</v>
      </c>
    </row>
    <row r="70" spans="1:5" x14ac:dyDescent="0.25">
      <c r="A70" s="10" t="s">
        <v>6</v>
      </c>
      <c r="B70" s="11" t="s">
        <v>35</v>
      </c>
      <c r="C70" s="11" t="s">
        <v>20</v>
      </c>
      <c r="D70" s="16">
        <v>1071</v>
      </c>
      <c r="E70" s="17">
        <v>270</v>
      </c>
    </row>
    <row r="71" spans="1:5" x14ac:dyDescent="0.25">
      <c r="A71" s="10" t="s">
        <v>10</v>
      </c>
      <c r="B71" s="11" t="s">
        <v>36</v>
      </c>
      <c r="C71" s="11" t="s">
        <v>23</v>
      </c>
      <c r="D71" s="16">
        <v>2317</v>
      </c>
      <c r="E71" s="17">
        <v>261</v>
      </c>
    </row>
    <row r="72" spans="1:5" x14ac:dyDescent="0.25">
      <c r="A72" s="8" t="s">
        <v>7</v>
      </c>
      <c r="B72" s="9" t="s">
        <v>38</v>
      </c>
      <c r="C72" s="9" t="s">
        <v>28</v>
      </c>
      <c r="D72" s="18">
        <v>5677</v>
      </c>
      <c r="E72" s="19">
        <v>258</v>
      </c>
    </row>
    <row r="73" spans="1:5" x14ac:dyDescent="0.25">
      <c r="A73" s="8" t="s">
        <v>3</v>
      </c>
      <c r="B73" s="9" t="s">
        <v>35</v>
      </c>
      <c r="C73" s="9" t="s">
        <v>14</v>
      </c>
      <c r="D73" s="18">
        <v>2415</v>
      </c>
      <c r="E73" s="19">
        <v>255</v>
      </c>
    </row>
    <row r="74" spans="1:5" x14ac:dyDescent="0.25">
      <c r="A74" s="8" t="s">
        <v>7</v>
      </c>
      <c r="B74" s="9" t="s">
        <v>35</v>
      </c>
      <c r="C74" s="9" t="s">
        <v>30</v>
      </c>
      <c r="D74" s="18">
        <v>6755</v>
      </c>
      <c r="E74" s="19">
        <v>252</v>
      </c>
    </row>
    <row r="75" spans="1:5" x14ac:dyDescent="0.25">
      <c r="A75" s="8" t="s">
        <v>7</v>
      </c>
      <c r="B75" s="9" t="s">
        <v>36</v>
      </c>
      <c r="C75" s="9" t="s">
        <v>29</v>
      </c>
      <c r="D75" s="18">
        <v>5551</v>
      </c>
      <c r="E75" s="19">
        <v>252</v>
      </c>
    </row>
    <row r="76" spans="1:5" x14ac:dyDescent="0.25">
      <c r="A76" s="10" t="s">
        <v>5</v>
      </c>
      <c r="B76" s="11" t="s">
        <v>39</v>
      </c>
      <c r="C76" s="11" t="s">
        <v>18</v>
      </c>
      <c r="D76" s="16">
        <v>385</v>
      </c>
      <c r="E76" s="17">
        <v>249</v>
      </c>
    </row>
    <row r="77" spans="1:5" x14ac:dyDescent="0.25">
      <c r="A77" s="10" t="s">
        <v>5</v>
      </c>
      <c r="B77" s="11" t="s">
        <v>35</v>
      </c>
      <c r="C77" s="11" t="s">
        <v>31</v>
      </c>
      <c r="D77" s="16">
        <v>4753</v>
      </c>
      <c r="E77" s="17">
        <v>246</v>
      </c>
    </row>
    <row r="78" spans="1:5" x14ac:dyDescent="0.25">
      <c r="A78" s="8" t="s">
        <v>7</v>
      </c>
      <c r="B78" s="9" t="s">
        <v>39</v>
      </c>
      <c r="C78" s="9" t="s">
        <v>17</v>
      </c>
      <c r="D78" s="18">
        <v>4438</v>
      </c>
      <c r="E78" s="19">
        <v>246</v>
      </c>
    </row>
    <row r="79" spans="1:5" x14ac:dyDescent="0.25">
      <c r="A79" s="8" t="s">
        <v>2</v>
      </c>
      <c r="B79" s="9" t="s">
        <v>36</v>
      </c>
      <c r="C79" s="9" t="s">
        <v>31</v>
      </c>
      <c r="D79" s="18">
        <v>3094</v>
      </c>
      <c r="E79" s="19">
        <v>246</v>
      </c>
    </row>
    <row r="80" spans="1:5" x14ac:dyDescent="0.25">
      <c r="A80" s="8" t="s">
        <v>9</v>
      </c>
      <c r="B80" s="9" t="s">
        <v>37</v>
      </c>
      <c r="C80" s="9" t="s">
        <v>26</v>
      </c>
      <c r="D80" s="18">
        <v>2856</v>
      </c>
      <c r="E80" s="19">
        <v>246</v>
      </c>
    </row>
    <row r="81" spans="1:5" x14ac:dyDescent="0.25">
      <c r="A81" s="8" t="s">
        <v>9</v>
      </c>
      <c r="B81" s="9" t="s">
        <v>35</v>
      </c>
      <c r="C81" s="9" t="s">
        <v>15</v>
      </c>
      <c r="D81" s="18">
        <v>7833</v>
      </c>
      <c r="E81" s="19">
        <v>243</v>
      </c>
    </row>
    <row r="82" spans="1:5" x14ac:dyDescent="0.25">
      <c r="A82" s="10" t="s">
        <v>7</v>
      </c>
      <c r="B82" s="11" t="s">
        <v>35</v>
      </c>
      <c r="C82" s="11" t="s">
        <v>19</v>
      </c>
      <c r="D82" s="16">
        <v>4585</v>
      </c>
      <c r="E82" s="17">
        <v>240</v>
      </c>
    </row>
    <row r="83" spans="1:5" x14ac:dyDescent="0.25">
      <c r="A83" s="10" t="s">
        <v>41</v>
      </c>
      <c r="B83" s="11" t="s">
        <v>37</v>
      </c>
      <c r="C83" s="11" t="s">
        <v>30</v>
      </c>
      <c r="D83" s="16">
        <v>1526</v>
      </c>
      <c r="E83" s="17">
        <v>240</v>
      </c>
    </row>
    <row r="84" spans="1:5" x14ac:dyDescent="0.25">
      <c r="A84" s="8" t="s">
        <v>5</v>
      </c>
      <c r="B84" s="9" t="s">
        <v>34</v>
      </c>
      <c r="C84" s="9" t="s">
        <v>22</v>
      </c>
      <c r="D84" s="18">
        <v>6279</v>
      </c>
      <c r="E84" s="19">
        <v>237</v>
      </c>
    </row>
    <row r="85" spans="1:5" x14ac:dyDescent="0.25">
      <c r="A85" s="10" t="s">
        <v>40</v>
      </c>
      <c r="B85" s="11" t="s">
        <v>35</v>
      </c>
      <c r="C85" s="11" t="s">
        <v>32</v>
      </c>
      <c r="D85" s="16">
        <v>12348</v>
      </c>
      <c r="E85" s="17">
        <v>234</v>
      </c>
    </row>
    <row r="86" spans="1:5" x14ac:dyDescent="0.25">
      <c r="A86" s="10" t="s">
        <v>3</v>
      </c>
      <c r="B86" s="11" t="s">
        <v>35</v>
      </c>
      <c r="C86" s="11" t="s">
        <v>25</v>
      </c>
      <c r="D86" s="16">
        <v>2464</v>
      </c>
      <c r="E86" s="17">
        <v>234</v>
      </c>
    </row>
    <row r="87" spans="1:5" x14ac:dyDescent="0.25">
      <c r="A87" s="8" t="s">
        <v>8</v>
      </c>
      <c r="B87" s="9" t="s">
        <v>38</v>
      </c>
      <c r="C87" s="9" t="s">
        <v>23</v>
      </c>
      <c r="D87" s="18">
        <v>1701</v>
      </c>
      <c r="E87" s="19">
        <v>234</v>
      </c>
    </row>
    <row r="88" spans="1:5" x14ac:dyDescent="0.25">
      <c r="A88" s="8" t="s">
        <v>41</v>
      </c>
      <c r="B88" s="9" t="s">
        <v>36</v>
      </c>
      <c r="C88" s="9" t="s">
        <v>13</v>
      </c>
      <c r="D88" s="18">
        <v>10311</v>
      </c>
      <c r="E88" s="19">
        <v>231</v>
      </c>
    </row>
    <row r="89" spans="1:5" x14ac:dyDescent="0.25">
      <c r="A89" s="10" t="s">
        <v>41</v>
      </c>
      <c r="B89" s="11" t="s">
        <v>37</v>
      </c>
      <c r="C89" s="11" t="s">
        <v>15</v>
      </c>
      <c r="D89" s="16">
        <v>714</v>
      </c>
      <c r="E89" s="17">
        <v>231</v>
      </c>
    </row>
    <row r="90" spans="1:5" x14ac:dyDescent="0.25">
      <c r="A90" s="10" t="s">
        <v>10</v>
      </c>
      <c r="B90" s="11" t="s">
        <v>35</v>
      </c>
      <c r="C90" s="11" t="s">
        <v>21</v>
      </c>
      <c r="D90" s="16">
        <v>567</v>
      </c>
      <c r="E90" s="17">
        <v>228</v>
      </c>
    </row>
    <row r="91" spans="1:5" x14ac:dyDescent="0.25">
      <c r="A91" s="10" t="s">
        <v>7</v>
      </c>
      <c r="B91" s="11" t="s">
        <v>37</v>
      </c>
      <c r="C91" s="11" t="s">
        <v>14</v>
      </c>
      <c r="D91" s="16">
        <v>6608</v>
      </c>
      <c r="E91" s="17">
        <v>225</v>
      </c>
    </row>
    <row r="92" spans="1:5" x14ac:dyDescent="0.25">
      <c r="A92" s="8" t="s">
        <v>40</v>
      </c>
      <c r="B92" s="9" t="s">
        <v>39</v>
      </c>
      <c r="C92" s="9" t="s">
        <v>28</v>
      </c>
      <c r="D92" s="18">
        <v>3101</v>
      </c>
      <c r="E92" s="19">
        <v>225</v>
      </c>
    </row>
    <row r="93" spans="1:5" x14ac:dyDescent="0.25">
      <c r="A93" s="8" t="s">
        <v>41</v>
      </c>
      <c r="B93" s="9" t="s">
        <v>34</v>
      </c>
      <c r="C93" s="9" t="s">
        <v>16</v>
      </c>
      <c r="D93" s="18">
        <v>1274</v>
      </c>
      <c r="E93" s="19">
        <v>225</v>
      </c>
    </row>
    <row r="94" spans="1:5" x14ac:dyDescent="0.25">
      <c r="A94" s="8" t="s">
        <v>8</v>
      </c>
      <c r="B94" s="9" t="s">
        <v>34</v>
      </c>
      <c r="C94" s="9" t="s">
        <v>16</v>
      </c>
      <c r="D94" s="18">
        <v>2009</v>
      </c>
      <c r="E94" s="19">
        <v>219</v>
      </c>
    </row>
    <row r="95" spans="1:5" x14ac:dyDescent="0.25">
      <c r="A95" s="8" t="s">
        <v>41</v>
      </c>
      <c r="B95" s="9" t="s">
        <v>35</v>
      </c>
      <c r="C95" s="9" t="s">
        <v>28</v>
      </c>
      <c r="D95" s="18">
        <v>7455</v>
      </c>
      <c r="E95" s="19">
        <v>216</v>
      </c>
    </row>
    <row r="96" spans="1:5" x14ac:dyDescent="0.25">
      <c r="A96" s="10" t="s">
        <v>2</v>
      </c>
      <c r="B96" s="11" t="s">
        <v>39</v>
      </c>
      <c r="C96" s="11" t="s">
        <v>21</v>
      </c>
      <c r="D96" s="16">
        <v>7651</v>
      </c>
      <c r="E96" s="17">
        <v>213</v>
      </c>
    </row>
    <row r="97" spans="1:5" x14ac:dyDescent="0.25">
      <c r="A97" s="8" t="s">
        <v>8</v>
      </c>
      <c r="B97" s="9" t="s">
        <v>38</v>
      </c>
      <c r="C97" s="9" t="s">
        <v>32</v>
      </c>
      <c r="D97" s="18">
        <v>3752</v>
      </c>
      <c r="E97" s="19">
        <v>213</v>
      </c>
    </row>
    <row r="98" spans="1:5" x14ac:dyDescent="0.25">
      <c r="A98" s="10" t="s">
        <v>8</v>
      </c>
      <c r="B98" s="11" t="s">
        <v>39</v>
      </c>
      <c r="C98" s="11" t="s">
        <v>31</v>
      </c>
      <c r="D98" s="16">
        <v>8890</v>
      </c>
      <c r="E98" s="17">
        <v>210</v>
      </c>
    </row>
    <row r="99" spans="1:5" x14ac:dyDescent="0.25">
      <c r="A99" s="8" t="s">
        <v>8</v>
      </c>
      <c r="B99" s="9" t="s">
        <v>35</v>
      </c>
      <c r="C99" s="9" t="s">
        <v>22</v>
      </c>
      <c r="D99" s="18">
        <v>5012</v>
      </c>
      <c r="E99" s="19">
        <v>210</v>
      </c>
    </row>
    <row r="100" spans="1:5" x14ac:dyDescent="0.25">
      <c r="A100" s="8" t="s">
        <v>7</v>
      </c>
      <c r="B100" s="9" t="s">
        <v>37</v>
      </c>
      <c r="C100" s="9" t="s">
        <v>22</v>
      </c>
      <c r="D100" s="18">
        <v>9835</v>
      </c>
      <c r="E100" s="19">
        <v>207</v>
      </c>
    </row>
    <row r="101" spans="1:5" x14ac:dyDescent="0.25">
      <c r="A101" s="10" t="s">
        <v>6</v>
      </c>
      <c r="B101" s="11" t="s">
        <v>34</v>
      </c>
      <c r="C101" s="11" t="s">
        <v>27</v>
      </c>
      <c r="D101" s="16">
        <v>4242</v>
      </c>
      <c r="E101" s="17">
        <v>207</v>
      </c>
    </row>
    <row r="102" spans="1:5" x14ac:dyDescent="0.25">
      <c r="A102" s="8" t="s">
        <v>9</v>
      </c>
      <c r="B102" s="9" t="s">
        <v>37</v>
      </c>
      <c r="C102" s="9" t="s">
        <v>4</v>
      </c>
      <c r="D102" s="18">
        <v>259</v>
      </c>
      <c r="E102" s="19">
        <v>207</v>
      </c>
    </row>
    <row r="103" spans="1:5" x14ac:dyDescent="0.25">
      <c r="A103" s="8" t="s">
        <v>9</v>
      </c>
      <c r="B103" s="9" t="s">
        <v>36</v>
      </c>
      <c r="C103" s="9" t="s">
        <v>27</v>
      </c>
      <c r="D103" s="18">
        <v>11522</v>
      </c>
      <c r="E103" s="19">
        <v>204</v>
      </c>
    </row>
    <row r="104" spans="1:5" x14ac:dyDescent="0.25">
      <c r="A104" s="10" t="s">
        <v>10</v>
      </c>
      <c r="B104" s="11" t="s">
        <v>34</v>
      </c>
      <c r="C104" s="11" t="s">
        <v>19</v>
      </c>
      <c r="D104" s="16">
        <v>5355</v>
      </c>
      <c r="E104" s="17">
        <v>204</v>
      </c>
    </row>
    <row r="105" spans="1:5" x14ac:dyDescent="0.25">
      <c r="A105" s="10" t="s">
        <v>9</v>
      </c>
      <c r="B105" s="11" t="s">
        <v>39</v>
      </c>
      <c r="C105" s="11" t="s">
        <v>18</v>
      </c>
      <c r="D105" s="16">
        <v>2639</v>
      </c>
      <c r="E105" s="17">
        <v>204</v>
      </c>
    </row>
    <row r="106" spans="1:5" x14ac:dyDescent="0.25">
      <c r="A106" s="8" t="s">
        <v>8</v>
      </c>
      <c r="B106" s="9" t="s">
        <v>37</v>
      </c>
      <c r="C106" s="9" t="s">
        <v>19</v>
      </c>
      <c r="D106" s="18">
        <v>1771</v>
      </c>
      <c r="E106" s="19">
        <v>204</v>
      </c>
    </row>
    <row r="107" spans="1:5" x14ac:dyDescent="0.25">
      <c r="A107" s="8" t="s">
        <v>41</v>
      </c>
      <c r="B107" s="9" t="s">
        <v>36</v>
      </c>
      <c r="C107" s="9" t="s">
        <v>26</v>
      </c>
      <c r="D107" s="18">
        <v>98</v>
      </c>
      <c r="E107" s="19">
        <v>204</v>
      </c>
    </row>
    <row r="108" spans="1:5" x14ac:dyDescent="0.25">
      <c r="A108" s="8" t="s">
        <v>5</v>
      </c>
      <c r="B108" s="9" t="s">
        <v>35</v>
      </c>
      <c r="C108" s="9" t="s">
        <v>15</v>
      </c>
      <c r="D108" s="18">
        <v>13391</v>
      </c>
      <c r="E108" s="19">
        <v>201</v>
      </c>
    </row>
    <row r="109" spans="1:5" x14ac:dyDescent="0.25">
      <c r="A109" s="10" t="s">
        <v>2</v>
      </c>
      <c r="B109" s="11" t="s">
        <v>37</v>
      </c>
      <c r="C109" s="11" t="s">
        <v>17</v>
      </c>
      <c r="D109" s="16">
        <v>9926</v>
      </c>
      <c r="E109" s="17">
        <v>201</v>
      </c>
    </row>
    <row r="110" spans="1:5" x14ac:dyDescent="0.25">
      <c r="A110" s="10" t="s">
        <v>5</v>
      </c>
      <c r="B110" s="11" t="s">
        <v>34</v>
      </c>
      <c r="C110" s="11" t="s">
        <v>15</v>
      </c>
      <c r="D110" s="16">
        <v>7280</v>
      </c>
      <c r="E110" s="17">
        <v>201</v>
      </c>
    </row>
    <row r="111" spans="1:5" x14ac:dyDescent="0.25">
      <c r="A111" s="10" t="s">
        <v>40</v>
      </c>
      <c r="B111" s="11" t="s">
        <v>36</v>
      </c>
      <c r="C111" s="11" t="s">
        <v>13</v>
      </c>
      <c r="D111" s="16">
        <v>4424</v>
      </c>
      <c r="E111" s="17">
        <v>201</v>
      </c>
    </row>
    <row r="112" spans="1:5" x14ac:dyDescent="0.25">
      <c r="A112" s="8" t="s">
        <v>7</v>
      </c>
      <c r="B112" s="9" t="s">
        <v>39</v>
      </c>
      <c r="C112" s="9" t="s">
        <v>27</v>
      </c>
      <c r="D112" s="18">
        <v>966</v>
      </c>
      <c r="E112" s="19">
        <v>198</v>
      </c>
    </row>
    <row r="113" spans="1:5" x14ac:dyDescent="0.25">
      <c r="A113" s="8" t="s">
        <v>10</v>
      </c>
      <c r="B113" s="9" t="s">
        <v>35</v>
      </c>
      <c r="C113" s="9" t="s">
        <v>20</v>
      </c>
      <c r="D113" s="18">
        <v>1974</v>
      </c>
      <c r="E113" s="19">
        <v>195</v>
      </c>
    </row>
    <row r="114" spans="1:5" x14ac:dyDescent="0.25">
      <c r="A114" s="8" t="s">
        <v>8</v>
      </c>
      <c r="B114" s="9" t="s">
        <v>37</v>
      </c>
      <c r="C114" s="9" t="s">
        <v>22</v>
      </c>
      <c r="D114" s="18">
        <v>1890</v>
      </c>
      <c r="E114" s="19">
        <v>195</v>
      </c>
    </row>
    <row r="115" spans="1:5" x14ac:dyDescent="0.25">
      <c r="A115" s="8" t="s">
        <v>5</v>
      </c>
      <c r="B115" s="9" t="s">
        <v>34</v>
      </c>
      <c r="C115" s="9" t="s">
        <v>19</v>
      </c>
      <c r="D115" s="18">
        <v>861</v>
      </c>
      <c r="E115" s="19">
        <v>195</v>
      </c>
    </row>
    <row r="116" spans="1:5" x14ac:dyDescent="0.25">
      <c r="A116" s="8" t="s">
        <v>41</v>
      </c>
      <c r="B116" s="9" t="s">
        <v>36</v>
      </c>
      <c r="C116" s="9" t="s">
        <v>19</v>
      </c>
      <c r="D116" s="18">
        <v>1925</v>
      </c>
      <c r="E116" s="19">
        <v>192</v>
      </c>
    </row>
    <row r="117" spans="1:5" x14ac:dyDescent="0.25">
      <c r="A117" s="10" t="s">
        <v>7</v>
      </c>
      <c r="B117" s="11" t="s">
        <v>34</v>
      </c>
      <c r="C117" s="11" t="s">
        <v>24</v>
      </c>
      <c r="D117" s="16">
        <v>8862</v>
      </c>
      <c r="E117" s="17">
        <v>189</v>
      </c>
    </row>
    <row r="118" spans="1:5" x14ac:dyDescent="0.25">
      <c r="A118" s="8" t="s">
        <v>6</v>
      </c>
      <c r="B118" s="9" t="s">
        <v>37</v>
      </c>
      <c r="C118" s="9" t="s">
        <v>23</v>
      </c>
      <c r="D118" s="18">
        <v>4949</v>
      </c>
      <c r="E118" s="19">
        <v>189</v>
      </c>
    </row>
    <row r="119" spans="1:5" x14ac:dyDescent="0.25">
      <c r="A119" s="10" t="s">
        <v>9</v>
      </c>
      <c r="B119" s="11" t="s">
        <v>36</v>
      </c>
      <c r="C119" s="11" t="s">
        <v>32</v>
      </c>
      <c r="D119" s="16">
        <v>2954</v>
      </c>
      <c r="E119" s="17">
        <v>189</v>
      </c>
    </row>
    <row r="120" spans="1:5" x14ac:dyDescent="0.25">
      <c r="A120" s="8" t="s">
        <v>9</v>
      </c>
      <c r="B120" s="9" t="s">
        <v>34</v>
      </c>
      <c r="C120" s="9" t="s">
        <v>16</v>
      </c>
      <c r="D120" s="18">
        <v>938</v>
      </c>
      <c r="E120" s="19">
        <v>189</v>
      </c>
    </row>
    <row r="121" spans="1:5" x14ac:dyDescent="0.25">
      <c r="A121" s="10" t="s">
        <v>41</v>
      </c>
      <c r="B121" s="11" t="s">
        <v>35</v>
      </c>
      <c r="C121" s="11" t="s">
        <v>15</v>
      </c>
      <c r="D121" s="16">
        <v>2114</v>
      </c>
      <c r="E121" s="17">
        <v>186</v>
      </c>
    </row>
    <row r="122" spans="1:5" x14ac:dyDescent="0.25">
      <c r="A122" s="10" t="s">
        <v>8</v>
      </c>
      <c r="B122" s="11" t="s">
        <v>39</v>
      </c>
      <c r="C122" s="11" t="s">
        <v>30</v>
      </c>
      <c r="D122" s="16">
        <v>7021</v>
      </c>
      <c r="E122" s="17">
        <v>183</v>
      </c>
    </row>
    <row r="123" spans="1:5" x14ac:dyDescent="0.25">
      <c r="A123" s="8" t="s">
        <v>2</v>
      </c>
      <c r="B123" s="9" t="s">
        <v>38</v>
      </c>
      <c r="C123" s="9" t="s">
        <v>28</v>
      </c>
      <c r="D123" s="18">
        <v>6580</v>
      </c>
      <c r="E123" s="19">
        <v>183</v>
      </c>
    </row>
    <row r="124" spans="1:5" x14ac:dyDescent="0.25">
      <c r="A124" s="10" t="s">
        <v>6</v>
      </c>
      <c r="B124" s="11" t="s">
        <v>35</v>
      </c>
      <c r="C124" s="11" t="s">
        <v>27</v>
      </c>
      <c r="D124" s="16">
        <v>3864</v>
      </c>
      <c r="E124" s="17">
        <v>177</v>
      </c>
    </row>
    <row r="125" spans="1:5" x14ac:dyDescent="0.25">
      <c r="A125" s="10" t="s">
        <v>7</v>
      </c>
      <c r="B125" s="11" t="s">
        <v>36</v>
      </c>
      <c r="C125" s="11" t="s">
        <v>18</v>
      </c>
      <c r="D125" s="16">
        <v>2646</v>
      </c>
      <c r="E125" s="17">
        <v>177</v>
      </c>
    </row>
    <row r="126" spans="1:5" x14ac:dyDescent="0.25">
      <c r="A126" s="10" t="s">
        <v>41</v>
      </c>
      <c r="B126" s="11" t="s">
        <v>37</v>
      </c>
      <c r="C126" s="11" t="s">
        <v>26</v>
      </c>
      <c r="D126" s="16">
        <v>2324</v>
      </c>
      <c r="E126" s="17">
        <v>177</v>
      </c>
    </row>
    <row r="127" spans="1:5" x14ac:dyDescent="0.25">
      <c r="A127" s="8" t="s">
        <v>41</v>
      </c>
      <c r="B127" s="9" t="s">
        <v>34</v>
      </c>
      <c r="C127" s="9" t="s">
        <v>33</v>
      </c>
      <c r="D127" s="18">
        <v>7847</v>
      </c>
      <c r="E127" s="19">
        <v>174</v>
      </c>
    </row>
    <row r="128" spans="1:5" x14ac:dyDescent="0.25">
      <c r="A128" s="10" t="s">
        <v>41</v>
      </c>
      <c r="B128" s="11" t="s">
        <v>36</v>
      </c>
      <c r="C128" s="11" t="s">
        <v>30</v>
      </c>
      <c r="D128" s="16">
        <v>6118</v>
      </c>
      <c r="E128" s="17">
        <v>174</v>
      </c>
    </row>
    <row r="129" spans="1:5" x14ac:dyDescent="0.25">
      <c r="A129" s="8" t="s">
        <v>40</v>
      </c>
      <c r="B129" s="9" t="s">
        <v>35</v>
      </c>
      <c r="C129" s="9" t="s">
        <v>16</v>
      </c>
      <c r="D129" s="18">
        <v>4725</v>
      </c>
      <c r="E129" s="19">
        <v>174</v>
      </c>
    </row>
    <row r="130" spans="1:5" x14ac:dyDescent="0.25">
      <c r="A130" s="10" t="s">
        <v>9</v>
      </c>
      <c r="B130" s="11" t="s">
        <v>34</v>
      </c>
      <c r="C130" s="11" t="s">
        <v>17</v>
      </c>
      <c r="D130" s="16">
        <v>707</v>
      </c>
      <c r="E130" s="17">
        <v>174</v>
      </c>
    </row>
    <row r="131" spans="1:5" x14ac:dyDescent="0.25">
      <c r="A131" s="8" t="s">
        <v>3</v>
      </c>
      <c r="B131" s="9" t="s">
        <v>39</v>
      </c>
      <c r="C131" s="9" t="s">
        <v>26</v>
      </c>
      <c r="D131" s="18">
        <v>4956</v>
      </c>
      <c r="E131" s="19">
        <v>171</v>
      </c>
    </row>
    <row r="132" spans="1:5" x14ac:dyDescent="0.25">
      <c r="A132" s="10" t="s">
        <v>5</v>
      </c>
      <c r="B132" s="11" t="s">
        <v>39</v>
      </c>
      <c r="C132" s="11" t="s">
        <v>24</v>
      </c>
      <c r="D132" s="16">
        <v>4018</v>
      </c>
      <c r="E132" s="17">
        <v>171</v>
      </c>
    </row>
    <row r="133" spans="1:5" x14ac:dyDescent="0.25">
      <c r="A133" s="10" t="s">
        <v>5</v>
      </c>
      <c r="B133" s="11" t="s">
        <v>38</v>
      </c>
      <c r="C133" s="11" t="s">
        <v>19</v>
      </c>
      <c r="D133" s="16">
        <v>5474</v>
      </c>
      <c r="E133" s="17">
        <v>168</v>
      </c>
    </row>
    <row r="134" spans="1:5" x14ac:dyDescent="0.25">
      <c r="A134" s="8" t="s">
        <v>8</v>
      </c>
      <c r="B134" s="9" t="s">
        <v>35</v>
      </c>
      <c r="C134" s="9" t="s">
        <v>29</v>
      </c>
      <c r="D134" s="18">
        <v>2023</v>
      </c>
      <c r="E134" s="19">
        <v>168</v>
      </c>
    </row>
    <row r="135" spans="1:5" x14ac:dyDescent="0.25">
      <c r="A135" s="10" t="s">
        <v>3</v>
      </c>
      <c r="B135" s="11" t="s">
        <v>39</v>
      </c>
      <c r="C135" s="11" t="s">
        <v>16</v>
      </c>
      <c r="D135" s="16">
        <v>21</v>
      </c>
      <c r="E135" s="17">
        <v>168</v>
      </c>
    </row>
    <row r="136" spans="1:5" x14ac:dyDescent="0.25">
      <c r="A136" s="8" t="s">
        <v>3</v>
      </c>
      <c r="B136" s="9" t="s">
        <v>36</v>
      </c>
      <c r="C136" s="9" t="s">
        <v>23</v>
      </c>
      <c r="D136" s="18">
        <v>3773</v>
      </c>
      <c r="E136" s="19">
        <v>165</v>
      </c>
    </row>
    <row r="137" spans="1:5" x14ac:dyDescent="0.25">
      <c r="A137" s="8" t="s">
        <v>2</v>
      </c>
      <c r="B137" s="9" t="s">
        <v>39</v>
      </c>
      <c r="C137" s="9" t="s">
        <v>20</v>
      </c>
      <c r="D137" s="18">
        <v>9443</v>
      </c>
      <c r="E137" s="19">
        <v>162</v>
      </c>
    </row>
    <row r="138" spans="1:5" x14ac:dyDescent="0.25">
      <c r="A138" s="10" t="s">
        <v>40</v>
      </c>
      <c r="B138" s="11" t="s">
        <v>34</v>
      </c>
      <c r="C138" s="11" t="s">
        <v>19</v>
      </c>
      <c r="D138" s="16">
        <v>4018</v>
      </c>
      <c r="E138" s="17">
        <v>162</v>
      </c>
    </row>
    <row r="139" spans="1:5" x14ac:dyDescent="0.25">
      <c r="A139" s="8" t="s">
        <v>3</v>
      </c>
      <c r="B139" s="9" t="s">
        <v>36</v>
      </c>
      <c r="C139" s="9" t="s">
        <v>28</v>
      </c>
      <c r="D139" s="18">
        <v>973</v>
      </c>
      <c r="E139" s="19">
        <v>162</v>
      </c>
    </row>
    <row r="140" spans="1:5" x14ac:dyDescent="0.25">
      <c r="A140" s="8" t="s">
        <v>40</v>
      </c>
      <c r="B140" s="9" t="s">
        <v>34</v>
      </c>
      <c r="C140" s="9" t="s">
        <v>33</v>
      </c>
      <c r="D140" s="18">
        <v>3794</v>
      </c>
      <c r="E140" s="19">
        <v>159</v>
      </c>
    </row>
    <row r="141" spans="1:5" x14ac:dyDescent="0.25">
      <c r="A141" s="10" t="s">
        <v>9</v>
      </c>
      <c r="B141" s="11" t="s">
        <v>35</v>
      </c>
      <c r="C141" s="11" t="s">
        <v>26</v>
      </c>
      <c r="D141" s="16">
        <v>98</v>
      </c>
      <c r="E141" s="17">
        <v>159</v>
      </c>
    </row>
    <row r="142" spans="1:5" x14ac:dyDescent="0.25">
      <c r="A142" s="8" t="s">
        <v>40</v>
      </c>
      <c r="B142" s="9" t="s">
        <v>34</v>
      </c>
      <c r="C142" s="9" t="s">
        <v>17</v>
      </c>
      <c r="D142" s="18">
        <v>5019</v>
      </c>
      <c r="E142" s="19">
        <v>156</v>
      </c>
    </row>
    <row r="143" spans="1:5" x14ac:dyDescent="0.25">
      <c r="A143" s="8" t="s">
        <v>6</v>
      </c>
      <c r="B143" s="9" t="s">
        <v>36</v>
      </c>
      <c r="C143" s="9" t="s">
        <v>17</v>
      </c>
      <c r="D143" s="18">
        <v>4970</v>
      </c>
      <c r="E143" s="19">
        <v>156</v>
      </c>
    </row>
    <row r="144" spans="1:5" x14ac:dyDescent="0.25">
      <c r="A144" s="8" t="s">
        <v>9</v>
      </c>
      <c r="B144" s="9" t="s">
        <v>37</v>
      </c>
      <c r="C144" s="9" t="s">
        <v>25</v>
      </c>
      <c r="D144" s="18">
        <v>4305</v>
      </c>
      <c r="E144" s="19">
        <v>156</v>
      </c>
    </row>
    <row r="145" spans="1:5" x14ac:dyDescent="0.25">
      <c r="A145" s="8" t="s">
        <v>2</v>
      </c>
      <c r="B145" s="9" t="s">
        <v>38</v>
      </c>
      <c r="C145" s="9" t="s">
        <v>23</v>
      </c>
      <c r="D145" s="18">
        <v>4417</v>
      </c>
      <c r="E145" s="19">
        <v>153</v>
      </c>
    </row>
    <row r="146" spans="1:5" x14ac:dyDescent="0.25">
      <c r="A146" s="10" t="s">
        <v>9</v>
      </c>
      <c r="B146" s="11" t="s">
        <v>34</v>
      </c>
      <c r="C146" s="11" t="s">
        <v>28</v>
      </c>
      <c r="D146" s="16">
        <v>14329</v>
      </c>
      <c r="E146" s="17">
        <v>150</v>
      </c>
    </row>
    <row r="147" spans="1:5" x14ac:dyDescent="0.25">
      <c r="A147" s="8" t="s">
        <v>8</v>
      </c>
      <c r="B147" s="9" t="s">
        <v>36</v>
      </c>
      <c r="C147" s="9" t="s">
        <v>23</v>
      </c>
      <c r="D147" s="18">
        <v>5019</v>
      </c>
      <c r="E147" s="19">
        <v>150</v>
      </c>
    </row>
    <row r="148" spans="1:5" x14ac:dyDescent="0.25">
      <c r="A148" s="10" t="s">
        <v>6</v>
      </c>
      <c r="B148" s="11" t="s">
        <v>34</v>
      </c>
      <c r="C148" s="11" t="s">
        <v>17</v>
      </c>
      <c r="D148" s="16">
        <v>3759</v>
      </c>
      <c r="E148" s="17">
        <v>150</v>
      </c>
    </row>
    <row r="149" spans="1:5" x14ac:dyDescent="0.25">
      <c r="A149" s="10" t="s">
        <v>8</v>
      </c>
      <c r="B149" s="11" t="s">
        <v>37</v>
      </c>
      <c r="C149" s="11" t="s">
        <v>30</v>
      </c>
      <c r="D149" s="16">
        <v>42</v>
      </c>
      <c r="E149" s="17">
        <v>150</v>
      </c>
    </row>
    <row r="150" spans="1:5" x14ac:dyDescent="0.25">
      <c r="A150" s="10" t="s">
        <v>9</v>
      </c>
      <c r="B150" s="11" t="s">
        <v>35</v>
      </c>
      <c r="C150" s="11" t="s">
        <v>4</v>
      </c>
      <c r="D150" s="16">
        <v>959</v>
      </c>
      <c r="E150" s="17">
        <v>147</v>
      </c>
    </row>
    <row r="151" spans="1:5" x14ac:dyDescent="0.25">
      <c r="A151" s="10" t="s">
        <v>2</v>
      </c>
      <c r="B151" s="11" t="s">
        <v>39</v>
      </c>
      <c r="C151" s="11" t="s">
        <v>28</v>
      </c>
      <c r="D151" s="16">
        <v>6027</v>
      </c>
      <c r="E151" s="17">
        <v>144</v>
      </c>
    </row>
    <row r="152" spans="1:5" x14ac:dyDescent="0.25">
      <c r="A152" s="8" t="s">
        <v>3</v>
      </c>
      <c r="B152" s="9" t="s">
        <v>37</v>
      </c>
      <c r="C152" s="9" t="s">
        <v>17</v>
      </c>
      <c r="D152" s="18">
        <v>3983</v>
      </c>
      <c r="E152" s="19">
        <v>144</v>
      </c>
    </row>
    <row r="153" spans="1:5" x14ac:dyDescent="0.25">
      <c r="A153" s="8" t="s">
        <v>9</v>
      </c>
      <c r="B153" s="9" t="s">
        <v>35</v>
      </c>
      <c r="C153" s="9" t="s">
        <v>27</v>
      </c>
      <c r="D153" s="18">
        <v>2429</v>
      </c>
      <c r="E153" s="19">
        <v>144</v>
      </c>
    </row>
    <row r="154" spans="1:5" x14ac:dyDescent="0.25">
      <c r="A154" s="10" t="s">
        <v>41</v>
      </c>
      <c r="B154" s="11" t="s">
        <v>34</v>
      </c>
      <c r="C154" s="11" t="s">
        <v>22</v>
      </c>
      <c r="D154" s="16">
        <v>336</v>
      </c>
      <c r="E154" s="17">
        <v>144</v>
      </c>
    </row>
    <row r="155" spans="1:5" x14ac:dyDescent="0.25">
      <c r="A155" s="10" t="s">
        <v>10</v>
      </c>
      <c r="B155" s="11" t="s">
        <v>38</v>
      </c>
      <c r="C155" s="11" t="s">
        <v>22</v>
      </c>
      <c r="D155" s="16">
        <v>2205</v>
      </c>
      <c r="E155" s="17">
        <v>141</v>
      </c>
    </row>
    <row r="156" spans="1:5" x14ac:dyDescent="0.25">
      <c r="A156" s="10" t="s">
        <v>2</v>
      </c>
      <c r="B156" s="11" t="s">
        <v>39</v>
      </c>
      <c r="C156" s="11" t="s">
        <v>22</v>
      </c>
      <c r="D156" s="16">
        <v>1568</v>
      </c>
      <c r="E156" s="17">
        <v>141</v>
      </c>
    </row>
    <row r="157" spans="1:5" x14ac:dyDescent="0.25">
      <c r="A157" s="10" t="s">
        <v>2</v>
      </c>
      <c r="B157" s="11" t="s">
        <v>37</v>
      </c>
      <c r="C157" s="11" t="s">
        <v>18</v>
      </c>
      <c r="D157" s="16">
        <v>11571</v>
      </c>
      <c r="E157" s="17">
        <v>138</v>
      </c>
    </row>
    <row r="158" spans="1:5" x14ac:dyDescent="0.25">
      <c r="A158" s="8" t="s">
        <v>7</v>
      </c>
      <c r="B158" s="9" t="s">
        <v>34</v>
      </c>
      <c r="C158" s="9" t="s">
        <v>20</v>
      </c>
      <c r="D158" s="18">
        <v>2205</v>
      </c>
      <c r="E158" s="19">
        <v>138</v>
      </c>
    </row>
    <row r="159" spans="1:5" x14ac:dyDescent="0.25">
      <c r="A159" s="8" t="s">
        <v>40</v>
      </c>
      <c r="B159" s="9" t="s">
        <v>34</v>
      </c>
      <c r="C159" s="9" t="s">
        <v>27</v>
      </c>
      <c r="D159" s="18">
        <v>2289</v>
      </c>
      <c r="E159" s="19">
        <v>135</v>
      </c>
    </row>
    <row r="160" spans="1:5" x14ac:dyDescent="0.25">
      <c r="A160" s="10" t="s">
        <v>6</v>
      </c>
      <c r="B160" s="11" t="s">
        <v>36</v>
      </c>
      <c r="C160" s="11" t="s">
        <v>29</v>
      </c>
      <c r="D160" s="16">
        <v>1400</v>
      </c>
      <c r="E160" s="17">
        <v>135</v>
      </c>
    </row>
    <row r="161" spans="1:5" x14ac:dyDescent="0.25">
      <c r="A161" s="10" t="s">
        <v>6</v>
      </c>
      <c r="B161" s="11" t="s">
        <v>38</v>
      </c>
      <c r="C161" s="11" t="s">
        <v>33</v>
      </c>
      <c r="D161" s="16">
        <v>959</v>
      </c>
      <c r="E161" s="17">
        <v>135</v>
      </c>
    </row>
    <row r="162" spans="1:5" x14ac:dyDescent="0.25">
      <c r="A162" s="8" t="s">
        <v>40</v>
      </c>
      <c r="B162" s="9" t="s">
        <v>39</v>
      </c>
      <c r="C162" s="9" t="s">
        <v>29</v>
      </c>
      <c r="D162" s="18">
        <v>0</v>
      </c>
      <c r="E162" s="19">
        <v>135</v>
      </c>
    </row>
    <row r="163" spans="1:5" x14ac:dyDescent="0.25">
      <c r="A163" s="10" t="s">
        <v>41</v>
      </c>
      <c r="B163" s="11" t="s">
        <v>35</v>
      </c>
      <c r="C163" s="11" t="s">
        <v>27</v>
      </c>
      <c r="D163" s="16">
        <v>847</v>
      </c>
      <c r="E163" s="17">
        <v>129</v>
      </c>
    </row>
    <row r="164" spans="1:5" x14ac:dyDescent="0.25">
      <c r="A164" s="10" t="s">
        <v>10</v>
      </c>
      <c r="B164" s="11" t="s">
        <v>38</v>
      </c>
      <c r="C164" s="11" t="s">
        <v>4</v>
      </c>
      <c r="D164" s="16">
        <v>6860</v>
      </c>
      <c r="E164" s="17">
        <v>126</v>
      </c>
    </row>
    <row r="165" spans="1:5" x14ac:dyDescent="0.25">
      <c r="A165" s="8" t="s">
        <v>41</v>
      </c>
      <c r="B165" s="9" t="s">
        <v>34</v>
      </c>
      <c r="C165" s="9" t="s">
        <v>23</v>
      </c>
      <c r="D165" s="18">
        <v>4935</v>
      </c>
      <c r="E165" s="19">
        <v>126</v>
      </c>
    </row>
    <row r="166" spans="1:5" x14ac:dyDescent="0.25">
      <c r="A166" s="8" t="s">
        <v>2</v>
      </c>
      <c r="B166" s="9" t="s">
        <v>39</v>
      </c>
      <c r="C166" s="9" t="s">
        <v>33</v>
      </c>
      <c r="D166" s="18">
        <v>4018</v>
      </c>
      <c r="E166" s="19">
        <v>126</v>
      </c>
    </row>
    <row r="167" spans="1:5" x14ac:dyDescent="0.25">
      <c r="A167" s="8" t="s">
        <v>40</v>
      </c>
      <c r="B167" s="9" t="s">
        <v>35</v>
      </c>
      <c r="C167" s="9" t="s">
        <v>29</v>
      </c>
      <c r="D167" s="18">
        <v>1617</v>
      </c>
      <c r="E167" s="19">
        <v>126</v>
      </c>
    </row>
    <row r="168" spans="1:5" x14ac:dyDescent="0.25">
      <c r="A168" s="10" t="s">
        <v>8</v>
      </c>
      <c r="B168" s="11" t="s">
        <v>35</v>
      </c>
      <c r="C168" s="11" t="s">
        <v>33</v>
      </c>
      <c r="D168" s="16">
        <v>357</v>
      </c>
      <c r="E168" s="17">
        <v>126</v>
      </c>
    </row>
    <row r="169" spans="1:5" x14ac:dyDescent="0.25">
      <c r="A169" s="8" t="s">
        <v>6</v>
      </c>
      <c r="B169" s="9" t="s">
        <v>34</v>
      </c>
      <c r="C169" s="9" t="s">
        <v>32</v>
      </c>
      <c r="D169" s="18">
        <v>6734</v>
      </c>
      <c r="E169" s="19">
        <v>123</v>
      </c>
    </row>
    <row r="170" spans="1:5" x14ac:dyDescent="0.25">
      <c r="A170" s="10" t="s">
        <v>6</v>
      </c>
      <c r="B170" s="11" t="s">
        <v>35</v>
      </c>
      <c r="C170" s="11" t="s">
        <v>30</v>
      </c>
      <c r="D170" s="16">
        <v>4781</v>
      </c>
      <c r="E170" s="17">
        <v>123</v>
      </c>
    </row>
    <row r="171" spans="1:5" x14ac:dyDescent="0.25">
      <c r="A171" s="8" t="s">
        <v>41</v>
      </c>
      <c r="B171" s="9" t="s">
        <v>37</v>
      </c>
      <c r="C171" s="9" t="s">
        <v>20</v>
      </c>
      <c r="D171" s="18">
        <v>3388</v>
      </c>
      <c r="E171" s="19">
        <v>123</v>
      </c>
    </row>
    <row r="172" spans="1:5" x14ac:dyDescent="0.25">
      <c r="A172" s="10" t="s">
        <v>6</v>
      </c>
      <c r="B172" s="11" t="s">
        <v>38</v>
      </c>
      <c r="C172" s="11" t="s">
        <v>13</v>
      </c>
      <c r="D172" s="16">
        <v>2317</v>
      </c>
      <c r="E172" s="17">
        <v>123</v>
      </c>
    </row>
    <row r="173" spans="1:5" x14ac:dyDescent="0.25">
      <c r="A173" s="10" t="s">
        <v>10</v>
      </c>
      <c r="B173" s="11" t="s">
        <v>38</v>
      </c>
      <c r="C173" s="11" t="s">
        <v>13</v>
      </c>
      <c r="D173" s="16">
        <v>63</v>
      </c>
      <c r="E173" s="17">
        <v>123</v>
      </c>
    </row>
    <row r="174" spans="1:5" x14ac:dyDescent="0.25">
      <c r="A174" s="8" t="s">
        <v>6</v>
      </c>
      <c r="B174" s="9" t="s">
        <v>36</v>
      </c>
      <c r="C174" s="9" t="s">
        <v>4</v>
      </c>
      <c r="D174" s="18">
        <v>10073</v>
      </c>
      <c r="E174" s="19">
        <v>120</v>
      </c>
    </row>
    <row r="175" spans="1:5" x14ac:dyDescent="0.25">
      <c r="A175" s="8" t="s">
        <v>2</v>
      </c>
      <c r="B175" s="9" t="s">
        <v>34</v>
      </c>
      <c r="C175" s="9" t="s">
        <v>19</v>
      </c>
      <c r="D175" s="18">
        <v>7511</v>
      </c>
      <c r="E175" s="19">
        <v>120</v>
      </c>
    </row>
    <row r="176" spans="1:5" x14ac:dyDescent="0.25">
      <c r="A176" s="10" t="s">
        <v>9</v>
      </c>
      <c r="B176" s="11" t="s">
        <v>38</v>
      </c>
      <c r="C176" s="11" t="s">
        <v>16</v>
      </c>
      <c r="D176" s="16">
        <v>2646</v>
      </c>
      <c r="E176" s="17">
        <v>120</v>
      </c>
    </row>
    <row r="177" spans="1:5" x14ac:dyDescent="0.25">
      <c r="A177" s="8" t="s">
        <v>3</v>
      </c>
      <c r="B177" s="9" t="s">
        <v>34</v>
      </c>
      <c r="C177" s="9" t="s">
        <v>23</v>
      </c>
      <c r="D177" s="18">
        <v>2212</v>
      </c>
      <c r="E177" s="19">
        <v>117</v>
      </c>
    </row>
    <row r="178" spans="1:5" x14ac:dyDescent="0.25">
      <c r="A178" s="10" t="s">
        <v>7</v>
      </c>
      <c r="B178" s="11" t="s">
        <v>36</v>
      </c>
      <c r="C178" s="11" t="s">
        <v>31</v>
      </c>
      <c r="D178" s="16">
        <v>2149</v>
      </c>
      <c r="E178" s="17">
        <v>117</v>
      </c>
    </row>
    <row r="179" spans="1:5" x14ac:dyDescent="0.25">
      <c r="A179" s="10" t="s">
        <v>2</v>
      </c>
      <c r="B179" s="11" t="s">
        <v>39</v>
      </c>
      <c r="C179" s="11" t="s">
        <v>16</v>
      </c>
      <c r="D179" s="16">
        <v>2016</v>
      </c>
      <c r="E179" s="17">
        <v>117</v>
      </c>
    </row>
    <row r="180" spans="1:5" x14ac:dyDescent="0.25">
      <c r="A180" s="8" t="s">
        <v>7</v>
      </c>
      <c r="B180" s="9" t="s">
        <v>35</v>
      </c>
      <c r="C180" s="9" t="s">
        <v>24</v>
      </c>
      <c r="D180" s="18">
        <v>2793</v>
      </c>
      <c r="E180" s="19">
        <v>114</v>
      </c>
    </row>
    <row r="181" spans="1:5" x14ac:dyDescent="0.25">
      <c r="A181" s="10" t="s">
        <v>9</v>
      </c>
      <c r="B181" s="11" t="s">
        <v>36</v>
      </c>
      <c r="C181" s="11" t="s">
        <v>25</v>
      </c>
      <c r="D181" s="16">
        <v>2142</v>
      </c>
      <c r="E181" s="17">
        <v>114</v>
      </c>
    </row>
    <row r="182" spans="1:5" x14ac:dyDescent="0.25">
      <c r="A182" s="10" t="s">
        <v>40</v>
      </c>
      <c r="B182" s="11" t="s">
        <v>37</v>
      </c>
      <c r="C182" s="11" t="s">
        <v>30</v>
      </c>
      <c r="D182" s="16">
        <v>1624</v>
      </c>
      <c r="E182" s="17">
        <v>114</v>
      </c>
    </row>
    <row r="183" spans="1:5" x14ac:dyDescent="0.25">
      <c r="A183" s="10" t="s">
        <v>7</v>
      </c>
      <c r="B183" s="11" t="s">
        <v>37</v>
      </c>
      <c r="C183" s="11" t="s">
        <v>17</v>
      </c>
      <c r="D183" s="16">
        <v>4487</v>
      </c>
      <c r="E183" s="17">
        <v>111</v>
      </c>
    </row>
    <row r="184" spans="1:5" x14ac:dyDescent="0.25">
      <c r="A184" s="10" t="s">
        <v>5</v>
      </c>
      <c r="B184" s="11" t="s">
        <v>36</v>
      </c>
      <c r="C184" s="11" t="s">
        <v>30</v>
      </c>
      <c r="D184" s="16">
        <v>1526</v>
      </c>
      <c r="E184" s="17">
        <v>105</v>
      </c>
    </row>
    <row r="185" spans="1:5" x14ac:dyDescent="0.25">
      <c r="A185" s="10" t="s">
        <v>41</v>
      </c>
      <c r="B185" s="11" t="s">
        <v>37</v>
      </c>
      <c r="C185" s="11" t="s">
        <v>24</v>
      </c>
      <c r="D185" s="16">
        <v>6398</v>
      </c>
      <c r="E185" s="17">
        <v>102</v>
      </c>
    </row>
    <row r="186" spans="1:5" x14ac:dyDescent="0.25">
      <c r="A186" s="8" t="s">
        <v>40</v>
      </c>
      <c r="B186" s="9" t="s">
        <v>38</v>
      </c>
      <c r="C186" s="9" t="s">
        <v>4</v>
      </c>
      <c r="D186" s="18">
        <v>6125</v>
      </c>
      <c r="E186" s="19">
        <v>102</v>
      </c>
    </row>
    <row r="187" spans="1:5" x14ac:dyDescent="0.25">
      <c r="A187" s="8" t="s">
        <v>9</v>
      </c>
      <c r="B187" s="9" t="s">
        <v>38</v>
      </c>
      <c r="C187" s="9" t="s">
        <v>25</v>
      </c>
      <c r="D187" s="18">
        <v>3850</v>
      </c>
      <c r="E187" s="19">
        <v>102</v>
      </c>
    </row>
    <row r="188" spans="1:5" x14ac:dyDescent="0.25">
      <c r="A188" s="10" t="s">
        <v>5</v>
      </c>
      <c r="B188" s="11" t="s">
        <v>34</v>
      </c>
      <c r="C188" s="11" t="s">
        <v>29</v>
      </c>
      <c r="D188" s="16">
        <v>2891</v>
      </c>
      <c r="E188" s="17">
        <v>102</v>
      </c>
    </row>
    <row r="189" spans="1:5" x14ac:dyDescent="0.25">
      <c r="A189" s="8" t="s">
        <v>3</v>
      </c>
      <c r="B189" s="9" t="s">
        <v>39</v>
      </c>
      <c r="C189" s="9" t="s">
        <v>28</v>
      </c>
      <c r="D189" s="18">
        <v>1652</v>
      </c>
      <c r="E189" s="19">
        <v>102</v>
      </c>
    </row>
    <row r="190" spans="1:5" x14ac:dyDescent="0.25">
      <c r="A190" s="10" t="s">
        <v>6</v>
      </c>
      <c r="B190" s="11" t="s">
        <v>37</v>
      </c>
      <c r="C190" s="11" t="s">
        <v>18</v>
      </c>
      <c r="D190" s="16">
        <v>1505</v>
      </c>
      <c r="E190" s="17">
        <v>102</v>
      </c>
    </row>
    <row r="191" spans="1:5" x14ac:dyDescent="0.25">
      <c r="A191" s="8" t="s">
        <v>9</v>
      </c>
      <c r="B191" s="9" t="s">
        <v>38</v>
      </c>
      <c r="C191" s="9" t="s">
        <v>26</v>
      </c>
      <c r="D191" s="18">
        <v>2436</v>
      </c>
      <c r="E191" s="19">
        <v>99</v>
      </c>
    </row>
    <row r="192" spans="1:5" x14ac:dyDescent="0.25">
      <c r="A192" s="10" t="s">
        <v>41</v>
      </c>
      <c r="B192" s="11" t="s">
        <v>35</v>
      </c>
      <c r="C192" s="11" t="s">
        <v>19</v>
      </c>
      <c r="D192" s="16">
        <v>609</v>
      </c>
      <c r="E192" s="17">
        <v>99</v>
      </c>
    </row>
    <row r="193" spans="1:5" x14ac:dyDescent="0.25">
      <c r="A193" s="10" t="s">
        <v>9</v>
      </c>
      <c r="B193" s="11" t="s">
        <v>37</v>
      </c>
      <c r="C193" s="11" t="s">
        <v>20</v>
      </c>
      <c r="D193" s="16">
        <v>7273</v>
      </c>
      <c r="E193" s="17">
        <v>96</v>
      </c>
    </row>
    <row r="194" spans="1:5" x14ac:dyDescent="0.25">
      <c r="A194" s="8" t="s">
        <v>10</v>
      </c>
      <c r="B194" s="9" t="s">
        <v>35</v>
      </c>
      <c r="C194" s="9" t="s">
        <v>14</v>
      </c>
      <c r="D194" s="18">
        <v>3472</v>
      </c>
      <c r="E194" s="19">
        <v>96</v>
      </c>
    </row>
    <row r="195" spans="1:5" x14ac:dyDescent="0.25">
      <c r="A195" s="8" t="s">
        <v>7</v>
      </c>
      <c r="B195" s="9" t="s">
        <v>34</v>
      </c>
      <c r="C195" s="9" t="s">
        <v>25</v>
      </c>
      <c r="D195" s="18">
        <v>1568</v>
      </c>
      <c r="E195" s="19">
        <v>96</v>
      </c>
    </row>
    <row r="196" spans="1:5" x14ac:dyDescent="0.25">
      <c r="A196" s="10" t="s">
        <v>40</v>
      </c>
      <c r="B196" s="11" t="s">
        <v>37</v>
      </c>
      <c r="C196" s="11" t="s">
        <v>27</v>
      </c>
      <c r="D196" s="16">
        <v>6132</v>
      </c>
      <c r="E196" s="17">
        <v>93</v>
      </c>
    </row>
    <row r="197" spans="1:5" x14ac:dyDescent="0.25">
      <c r="A197" s="10" t="s">
        <v>3</v>
      </c>
      <c r="B197" s="11" t="s">
        <v>34</v>
      </c>
      <c r="C197" s="11" t="s">
        <v>17</v>
      </c>
      <c r="D197" s="16">
        <v>2919</v>
      </c>
      <c r="E197" s="17">
        <v>93</v>
      </c>
    </row>
    <row r="198" spans="1:5" x14ac:dyDescent="0.25">
      <c r="A198" s="10" t="s">
        <v>9</v>
      </c>
      <c r="B198" s="11" t="s">
        <v>37</v>
      </c>
      <c r="C198" s="11" t="s">
        <v>23</v>
      </c>
      <c r="D198" s="16">
        <v>2737</v>
      </c>
      <c r="E198" s="17">
        <v>93</v>
      </c>
    </row>
    <row r="199" spans="1:5" x14ac:dyDescent="0.25">
      <c r="A199" s="8" t="s">
        <v>5</v>
      </c>
      <c r="B199" s="9" t="s">
        <v>34</v>
      </c>
      <c r="C199" s="9" t="s">
        <v>33</v>
      </c>
      <c r="D199" s="18">
        <v>1652</v>
      </c>
      <c r="E199" s="19">
        <v>93</v>
      </c>
    </row>
    <row r="200" spans="1:5" x14ac:dyDescent="0.25">
      <c r="A200" s="10" t="s">
        <v>10</v>
      </c>
      <c r="B200" s="11" t="s">
        <v>34</v>
      </c>
      <c r="C200" s="11" t="s">
        <v>25</v>
      </c>
      <c r="D200" s="16">
        <v>1428</v>
      </c>
      <c r="E200" s="17">
        <v>93</v>
      </c>
    </row>
    <row r="201" spans="1:5" x14ac:dyDescent="0.25">
      <c r="A201" s="10" t="s">
        <v>40</v>
      </c>
      <c r="B201" s="11" t="s">
        <v>36</v>
      </c>
      <c r="C201" s="11" t="s">
        <v>33</v>
      </c>
      <c r="D201" s="16">
        <v>9772</v>
      </c>
      <c r="E201" s="17">
        <v>90</v>
      </c>
    </row>
    <row r="202" spans="1:5" x14ac:dyDescent="0.25">
      <c r="A202" s="10" t="s">
        <v>9</v>
      </c>
      <c r="B202" s="11" t="s">
        <v>34</v>
      </c>
      <c r="C202" s="11" t="s">
        <v>23</v>
      </c>
      <c r="D202" s="16">
        <v>8155</v>
      </c>
      <c r="E202" s="17">
        <v>90</v>
      </c>
    </row>
    <row r="203" spans="1:5" x14ac:dyDescent="0.25">
      <c r="A203" s="8" t="s">
        <v>40</v>
      </c>
      <c r="B203" s="9" t="s">
        <v>38</v>
      </c>
      <c r="C203" s="9" t="s">
        <v>25</v>
      </c>
      <c r="D203" s="18">
        <v>2541</v>
      </c>
      <c r="E203" s="19">
        <v>90</v>
      </c>
    </row>
    <row r="204" spans="1:5" x14ac:dyDescent="0.25">
      <c r="A204" s="10" t="s">
        <v>9</v>
      </c>
      <c r="B204" s="11" t="s">
        <v>38</v>
      </c>
      <c r="C204" s="11" t="s">
        <v>33</v>
      </c>
      <c r="D204" s="16">
        <v>9506</v>
      </c>
      <c r="E204" s="17">
        <v>87</v>
      </c>
    </row>
    <row r="205" spans="1:5" x14ac:dyDescent="0.25">
      <c r="A205" s="10" t="s">
        <v>6</v>
      </c>
      <c r="B205" s="11" t="s">
        <v>37</v>
      </c>
      <c r="C205" s="11" t="s">
        <v>31</v>
      </c>
      <c r="D205" s="16">
        <v>7693</v>
      </c>
      <c r="E205" s="17">
        <v>87</v>
      </c>
    </row>
    <row r="206" spans="1:5" x14ac:dyDescent="0.25">
      <c r="A206" s="8" t="s">
        <v>10</v>
      </c>
      <c r="B206" s="9" t="s">
        <v>34</v>
      </c>
      <c r="C206" s="9" t="s">
        <v>17</v>
      </c>
      <c r="D206" s="18">
        <v>700</v>
      </c>
      <c r="E206" s="19">
        <v>87</v>
      </c>
    </row>
    <row r="207" spans="1:5" x14ac:dyDescent="0.25">
      <c r="A207" s="10" t="s">
        <v>40</v>
      </c>
      <c r="B207" s="11" t="s">
        <v>38</v>
      </c>
      <c r="C207" s="11" t="s">
        <v>26</v>
      </c>
      <c r="D207" s="16">
        <v>609</v>
      </c>
      <c r="E207" s="17">
        <v>87</v>
      </c>
    </row>
    <row r="208" spans="1:5" x14ac:dyDescent="0.25">
      <c r="A208" s="8" t="s">
        <v>8</v>
      </c>
      <c r="B208" s="9" t="s">
        <v>37</v>
      </c>
      <c r="C208" s="9" t="s">
        <v>21</v>
      </c>
      <c r="D208" s="18">
        <v>434</v>
      </c>
      <c r="E208" s="19">
        <v>87</v>
      </c>
    </row>
    <row r="209" spans="1:5" x14ac:dyDescent="0.25">
      <c r="A209" s="8" t="s">
        <v>7</v>
      </c>
      <c r="B209" s="9" t="s">
        <v>36</v>
      </c>
      <c r="C209" s="9" t="s">
        <v>32</v>
      </c>
      <c r="D209" s="18">
        <v>280</v>
      </c>
      <c r="E209" s="19">
        <v>87</v>
      </c>
    </row>
    <row r="210" spans="1:5" x14ac:dyDescent="0.25">
      <c r="A210" s="10" t="s">
        <v>41</v>
      </c>
      <c r="B210" s="11" t="s">
        <v>36</v>
      </c>
      <c r="C210" s="11" t="s">
        <v>32</v>
      </c>
      <c r="D210" s="16">
        <v>10304</v>
      </c>
      <c r="E210" s="17">
        <v>84</v>
      </c>
    </row>
    <row r="211" spans="1:5" x14ac:dyDescent="0.25">
      <c r="A211" s="10" t="s">
        <v>5</v>
      </c>
      <c r="B211" s="11" t="s">
        <v>35</v>
      </c>
      <c r="C211" s="11" t="s">
        <v>22</v>
      </c>
      <c r="D211" s="16">
        <v>490</v>
      </c>
      <c r="E211" s="17">
        <v>84</v>
      </c>
    </row>
    <row r="212" spans="1:5" x14ac:dyDescent="0.25">
      <c r="A212" s="10" t="s">
        <v>8</v>
      </c>
      <c r="B212" s="11" t="s">
        <v>38</v>
      </c>
      <c r="C212" s="11" t="s">
        <v>22</v>
      </c>
      <c r="D212" s="16">
        <v>168</v>
      </c>
      <c r="E212" s="17">
        <v>84</v>
      </c>
    </row>
    <row r="213" spans="1:5" x14ac:dyDescent="0.25">
      <c r="A213" s="8" t="s">
        <v>2</v>
      </c>
      <c r="B213" s="9" t="s">
        <v>39</v>
      </c>
      <c r="C213" s="9" t="s">
        <v>27</v>
      </c>
      <c r="D213" s="18">
        <v>7812</v>
      </c>
      <c r="E213" s="19">
        <v>81</v>
      </c>
    </row>
    <row r="214" spans="1:5" x14ac:dyDescent="0.25">
      <c r="A214" s="8" t="s">
        <v>5</v>
      </c>
      <c r="B214" s="9" t="s">
        <v>39</v>
      </c>
      <c r="C214" s="9" t="s">
        <v>22</v>
      </c>
      <c r="D214" s="18">
        <v>6909</v>
      </c>
      <c r="E214" s="19">
        <v>81</v>
      </c>
    </row>
    <row r="215" spans="1:5" x14ac:dyDescent="0.25">
      <c r="A215" s="8" t="s">
        <v>8</v>
      </c>
      <c r="B215" s="9" t="s">
        <v>35</v>
      </c>
      <c r="C215" s="9" t="s">
        <v>30</v>
      </c>
      <c r="D215" s="18">
        <v>3598</v>
      </c>
      <c r="E215" s="19">
        <v>81</v>
      </c>
    </row>
    <row r="216" spans="1:5" x14ac:dyDescent="0.25">
      <c r="A216" s="10" t="s">
        <v>6</v>
      </c>
      <c r="B216" s="11" t="s">
        <v>37</v>
      </c>
      <c r="C216" s="11" t="s">
        <v>30</v>
      </c>
      <c r="D216" s="16">
        <v>560</v>
      </c>
      <c r="E216" s="17">
        <v>81</v>
      </c>
    </row>
    <row r="217" spans="1:5" x14ac:dyDescent="0.25">
      <c r="A217" s="10" t="s">
        <v>8</v>
      </c>
      <c r="B217" s="11" t="s">
        <v>38</v>
      </c>
      <c r="C217" s="11" t="s">
        <v>21</v>
      </c>
      <c r="D217" s="16">
        <v>6433</v>
      </c>
      <c r="E217" s="17">
        <v>78</v>
      </c>
    </row>
    <row r="218" spans="1:5" x14ac:dyDescent="0.25">
      <c r="A218" s="8" t="s">
        <v>3</v>
      </c>
      <c r="B218" s="9" t="s">
        <v>35</v>
      </c>
      <c r="C218" s="9" t="s">
        <v>23</v>
      </c>
      <c r="D218" s="18">
        <v>2023</v>
      </c>
      <c r="E218" s="19">
        <v>78</v>
      </c>
    </row>
    <row r="219" spans="1:5" x14ac:dyDescent="0.25">
      <c r="A219" s="10" t="s">
        <v>2</v>
      </c>
      <c r="B219" s="11" t="s">
        <v>36</v>
      </c>
      <c r="C219" s="11" t="s">
        <v>29</v>
      </c>
      <c r="D219" s="16">
        <v>8211</v>
      </c>
      <c r="E219" s="17">
        <v>75</v>
      </c>
    </row>
    <row r="220" spans="1:5" x14ac:dyDescent="0.25">
      <c r="A220" s="10" t="s">
        <v>6</v>
      </c>
      <c r="B220" s="11" t="s">
        <v>34</v>
      </c>
      <c r="C220" s="11" t="s">
        <v>29</v>
      </c>
      <c r="D220" s="16">
        <v>3339</v>
      </c>
      <c r="E220" s="17">
        <v>75</v>
      </c>
    </row>
    <row r="221" spans="1:5" x14ac:dyDescent="0.25">
      <c r="A221" s="10" t="s">
        <v>7</v>
      </c>
      <c r="B221" s="11" t="s">
        <v>34</v>
      </c>
      <c r="C221" s="11" t="s">
        <v>32</v>
      </c>
      <c r="D221" s="16">
        <v>3262</v>
      </c>
      <c r="E221" s="17">
        <v>75</v>
      </c>
    </row>
    <row r="222" spans="1:5" x14ac:dyDescent="0.25">
      <c r="A222" s="10" t="s">
        <v>40</v>
      </c>
      <c r="B222" s="11" t="s">
        <v>34</v>
      </c>
      <c r="C222" s="11" t="s">
        <v>23</v>
      </c>
      <c r="D222" s="16">
        <v>2779</v>
      </c>
      <c r="E222" s="17">
        <v>75</v>
      </c>
    </row>
    <row r="223" spans="1:5" x14ac:dyDescent="0.25">
      <c r="A223" s="8" t="s">
        <v>6</v>
      </c>
      <c r="B223" s="9" t="s">
        <v>34</v>
      </c>
      <c r="C223" s="9" t="s">
        <v>16</v>
      </c>
      <c r="D223" s="18">
        <v>2219</v>
      </c>
      <c r="E223" s="19">
        <v>75</v>
      </c>
    </row>
    <row r="224" spans="1:5" x14ac:dyDescent="0.25">
      <c r="A224" s="10" t="s">
        <v>7</v>
      </c>
      <c r="B224" s="11" t="s">
        <v>38</v>
      </c>
      <c r="C224" s="11" t="s">
        <v>14</v>
      </c>
      <c r="D224" s="16">
        <v>1281</v>
      </c>
      <c r="E224" s="17">
        <v>75</v>
      </c>
    </row>
    <row r="225" spans="1:5" x14ac:dyDescent="0.25">
      <c r="A225" s="8" t="s">
        <v>10</v>
      </c>
      <c r="B225" s="9" t="s">
        <v>36</v>
      </c>
      <c r="C225" s="9" t="s">
        <v>13</v>
      </c>
      <c r="D225" s="18">
        <v>945</v>
      </c>
      <c r="E225" s="19">
        <v>75</v>
      </c>
    </row>
    <row r="226" spans="1:5" x14ac:dyDescent="0.25">
      <c r="A226" s="10" t="s">
        <v>5</v>
      </c>
      <c r="B226" s="11" t="s">
        <v>37</v>
      </c>
      <c r="C226" s="11" t="s">
        <v>22</v>
      </c>
      <c r="D226" s="16">
        <v>518</v>
      </c>
      <c r="E226" s="17">
        <v>75</v>
      </c>
    </row>
    <row r="227" spans="1:5" x14ac:dyDescent="0.25">
      <c r="A227" s="8" t="s">
        <v>6</v>
      </c>
      <c r="B227" s="9" t="s">
        <v>38</v>
      </c>
      <c r="C227" s="9" t="s">
        <v>25</v>
      </c>
      <c r="D227" s="18">
        <v>469</v>
      </c>
      <c r="E227" s="19">
        <v>75</v>
      </c>
    </row>
    <row r="228" spans="1:5" x14ac:dyDescent="0.25">
      <c r="A228" s="8" t="s">
        <v>40</v>
      </c>
      <c r="B228" s="9" t="s">
        <v>37</v>
      </c>
      <c r="C228" s="9" t="s">
        <v>29</v>
      </c>
      <c r="D228" s="18">
        <v>9002</v>
      </c>
      <c r="E228" s="19">
        <v>72</v>
      </c>
    </row>
    <row r="229" spans="1:5" x14ac:dyDescent="0.25">
      <c r="A229" s="10" t="s">
        <v>41</v>
      </c>
      <c r="B229" s="11" t="s">
        <v>39</v>
      </c>
      <c r="C229" s="11" t="s">
        <v>14</v>
      </c>
      <c r="D229" s="16">
        <v>3976</v>
      </c>
      <c r="E229" s="17">
        <v>72</v>
      </c>
    </row>
    <row r="230" spans="1:5" x14ac:dyDescent="0.25">
      <c r="A230" s="8" t="s">
        <v>9</v>
      </c>
      <c r="B230" s="9" t="s">
        <v>39</v>
      </c>
      <c r="C230" s="9" t="s">
        <v>25</v>
      </c>
      <c r="D230" s="18">
        <v>3192</v>
      </c>
      <c r="E230" s="19">
        <v>72</v>
      </c>
    </row>
    <row r="231" spans="1:5" x14ac:dyDescent="0.25">
      <c r="A231" s="10" t="s">
        <v>10</v>
      </c>
      <c r="B231" s="11" t="s">
        <v>36</v>
      </c>
      <c r="C231" s="11" t="s">
        <v>27</v>
      </c>
      <c r="D231" s="16">
        <v>1407</v>
      </c>
      <c r="E231" s="17">
        <v>72</v>
      </c>
    </row>
    <row r="232" spans="1:5" x14ac:dyDescent="0.25">
      <c r="A232" s="10" t="s">
        <v>41</v>
      </c>
      <c r="B232" s="11" t="s">
        <v>35</v>
      </c>
      <c r="C232" s="11" t="s">
        <v>13</v>
      </c>
      <c r="D232" s="16">
        <v>4760</v>
      </c>
      <c r="E232" s="17">
        <v>69</v>
      </c>
    </row>
    <row r="233" spans="1:5" x14ac:dyDescent="0.25">
      <c r="A233" s="8" t="s">
        <v>3</v>
      </c>
      <c r="B233" s="9" t="s">
        <v>35</v>
      </c>
      <c r="C233" s="9" t="s">
        <v>29</v>
      </c>
      <c r="D233" s="18">
        <v>2114</v>
      </c>
      <c r="E233" s="19">
        <v>66</v>
      </c>
    </row>
    <row r="234" spans="1:5" x14ac:dyDescent="0.25">
      <c r="A234" s="8" t="s">
        <v>5</v>
      </c>
      <c r="B234" s="9" t="s">
        <v>36</v>
      </c>
      <c r="C234" s="9" t="s">
        <v>13</v>
      </c>
      <c r="D234" s="18">
        <v>6146</v>
      </c>
      <c r="E234" s="19">
        <v>63</v>
      </c>
    </row>
    <row r="235" spans="1:5" x14ac:dyDescent="0.25">
      <c r="A235" s="10" t="s">
        <v>7</v>
      </c>
      <c r="B235" s="11" t="s">
        <v>35</v>
      </c>
      <c r="C235" s="11" t="s">
        <v>14</v>
      </c>
      <c r="D235" s="16">
        <v>4606</v>
      </c>
      <c r="E235" s="17">
        <v>63</v>
      </c>
    </row>
    <row r="236" spans="1:5" x14ac:dyDescent="0.25">
      <c r="A236" s="8" t="s">
        <v>8</v>
      </c>
      <c r="B236" s="9" t="s">
        <v>38</v>
      </c>
      <c r="C236" s="9" t="s">
        <v>27</v>
      </c>
      <c r="D236" s="18">
        <v>2268</v>
      </c>
      <c r="E236" s="19">
        <v>63</v>
      </c>
    </row>
    <row r="237" spans="1:5" x14ac:dyDescent="0.25">
      <c r="A237" s="8" t="s">
        <v>6</v>
      </c>
      <c r="B237" s="9" t="s">
        <v>39</v>
      </c>
      <c r="C237" s="9" t="s">
        <v>30</v>
      </c>
      <c r="D237" s="18">
        <v>1638</v>
      </c>
      <c r="E237" s="19">
        <v>63</v>
      </c>
    </row>
    <row r="238" spans="1:5" x14ac:dyDescent="0.25">
      <c r="A238" s="8" t="s">
        <v>6</v>
      </c>
      <c r="B238" s="9" t="s">
        <v>36</v>
      </c>
      <c r="C238" s="9" t="s">
        <v>21</v>
      </c>
      <c r="D238" s="18">
        <v>497</v>
      </c>
      <c r="E238" s="19">
        <v>63</v>
      </c>
    </row>
    <row r="239" spans="1:5" x14ac:dyDescent="0.25">
      <c r="A239" s="10" t="s">
        <v>9</v>
      </c>
      <c r="B239" s="11" t="s">
        <v>38</v>
      </c>
      <c r="C239" s="11" t="s">
        <v>24</v>
      </c>
      <c r="D239" s="16">
        <v>4137</v>
      </c>
      <c r="E239" s="17">
        <v>60</v>
      </c>
    </row>
    <row r="240" spans="1:5" x14ac:dyDescent="0.25">
      <c r="A240" s="10" t="s">
        <v>9</v>
      </c>
      <c r="B240" s="11" t="s">
        <v>36</v>
      </c>
      <c r="C240" s="11" t="s">
        <v>30</v>
      </c>
      <c r="D240" s="16">
        <v>9051</v>
      </c>
      <c r="E240" s="17">
        <v>57</v>
      </c>
    </row>
    <row r="241" spans="1:5" x14ac:dyDescent="0.25">
      <c r="A241" s="10" t="s">
        <v>5</v>
      </c>
      <c r="B241" s="11" t="s">
        <v>38</v>
      </c>
      <c r="C241" s="11" t="s">
        <v>13</v>
      </c>
      <c r="D241" s="16">
        <v>7189</v>
      </c>
      <c r="E241" s="17">
        <v>54</v>
      </c>
    </row>
    <row r="242" spans="1:5" x14ac:dyDescent="0.25">
      <c r="A242" s="8" t="s">
        <v>7</v>
      </c>
      <c r="B242" s="9" t="s">
        <v>37</v>
      </c>
      <c r="C242" s="9" t="s">
        <v>30</v>
      </c>
      <c r="D242" s="18">
        <v>6454</v>
      </c>
      <c r="E242" s="19">
        <v>54</v>
      </c>
    </row>
    <row r="243" spans="1:5" x14ac:dyDescent="0.25">
      <c r="A243" s="10" t="s">
        <v>3</v>
      </c>
      <c r="B243" s="11" t="s">
        <v>34</v>
      </c>
      <c r="C243" s="11" t="s">
        <v>26</v>
      </c>
      <c r="D243" s="16">
        <v>3108</v>
      </c>
      <c r="E243" s="17">
        <v>54</v>
      </c>
    </row>
    <row r="244" spans="1:5" x14ac:dyDescent="0.25">
      <c r="A244" s="10" t="s">
        <v>6</v>
      </c>
      <c r="B244" s="11" t="s">
        <v>38</v>
      </c>
      <c r="C244" s="11" t="s">
        <v>31</v>
      </c>
      <c r="D244" s="16">
        <v>2681</v>
      </c>
      <c r="E244" s="17">
        <v>54</v>
      </c>
    </row>
    <row r="245" spans="1:5" x14ac:dyDescent="0.25">
      <c r="A245" s="10" t="s">
        <v>2</v>
      </c>
      <c r="B245" s="11" t="s">
        <v>37</v>
      </c>
      <c r="C245" s="11" t="s">
        <v>14</v>
      </c>
      <c r="D245" s="16">
        <v>1057</v>
      </c>
      <c r="E245" s="17">
        <v>54</v>
      </c>
    </row>
    <row r="246" spans="1:5" x14ac:dyDescent="0.25">
      <c r="A246" s="8" t="s">
        <v>2</v>
      </c>
      <c r="B246" s="9" t="s">
        <v>34</v>
      </c>
      <c r="C246" s="9" t="s">
        <v>13</v>
      </c>
      <c r="D246" s="18">
        <v>252</v>
      </c>
      <c r="E246" s="19">
        <v>54</v>
      </c>
    </row>
    <row r="247" spans="1:5" x14ac:dyDescent="0.25">
      <c r="A247" s="10" t="s">
        <v>5</v>
      </c>
      <c r="B247" s="11" t="s">
        <v>39</v>
      </c>
      <c r="C247" s="11" t="s">
        <v>26</v>
      </c>
      <c r="D247" s="16">
        <v>5236</v>
      </c>
      <c r="E247" s="17">
        <v>51</v>
      </c>
    </row>
    <row r="248" spans="1:5" x14ac:dyDescent="0.25">
      <c r="A248" s="8" t="s">
        <v>3</v>
      </c>
      <c r="B248" s="9" t="s">
        <v>39</v>
      </c>
      <c r="C248" s="9" t="s">
        <v>29</v>
      </c>
      <c r="D248" s="18">
        <v>3640</v>
      </c>
      <c r="E248" s="19">
        <v>51</v>
      </c>
    </row>
    <row r="249" spans="1:5" x14ac:dyDescent="0.25">
      <c r="A249" s="10" t="s">
        <v>40</v>
      </c>
      <c r="B249" s="11" t="s">
        <v>38</v>
      </c>
      <c r="C249" s="11" t="s">
        <v>24</v>
      </c>
      <c r="D249" s="16">
        <v>623</v>
      </c>
      <c r="E249" s="17">
        <v>51</v>
      </c>
    </row>
    <row r="250" spans="1:5" x14ac:dyDescent="0.25">
      <c r="A250" s="8" t="s">
        <v>2</v>
      </c>
      <c r="B250" s="9" t="s">
        <v>38</v>
      </c>
      <c r="C250" s="9" t="s">
        <v>13</v>
      </c>
      <c r="D250" s="18">
        <v>56</v>
      </c>
      <c r="E250" s="19">
        <v>51</v>
      </c>
    </row>
    <row r="251" spans="1:5" x14ac:dyDescent="0.25">
      <c r="A251" s="8" t="s">
        <v>40</v>
      </c>
      <c r="B251" s="9" t="s">
        <v>34</v>
      </c>
      <c r="C251" s="9" t="s">
        <v>26</v>
      </c>
      <c r="D251" s="18">
        <v>6748</v>
      </c>
      <c r="E251" s="19">
        <v>48</v>
      </c>
    </row>
    <row r="252" spans="1:5" x14ac:dyDescent="0.25">
      <c r="A252" s="8" t="s">
        <v>7</v>
      </c>
      <c r="B252" s="9" t="s">
        <v>37</v>
      </c>
      <c r="C252" s="9" t="s">
        <v>33</v>
      </c>
      <c r="D252" s="18">
        <v>6391</v>
      </c>
      <c r="E252" s="19">
        <v>48</v>
      </c>
    </row>
    <row r="253" spans="1:5" x14ac:dyDescent="0.25">
      <c r="A253" s="8" t="s">
        <v>7</v>
      </c>
      <c r="B253" s="9" t="s">
        <v>34</v>
      </c>
      <c r="C253" s="9" t="s">
        <v>33</v>
      </c>
      <c r="D253" s="18">
        <v>2226</v>
      </c>
      <c r="E253" s="19">
        <v>48</v>
      </c>
    </row>
    <row r="254" spans="1:5" x14ac:dyDescent="0.25">
      <c r="A254" s="8" t="s">
        <v>40</v>
      </c>
      <c r="B254" s="9" t="s">
        <v>35</v>
      </c>
      <c r="C254" s="9" t="s">
        <v>24</v>
      </c>
      <c r="D254" s="18">
        <v>1638</v>
      </c>
      <c r="E254" s="19">
        <v>48</v>
      </c>
    </row>
    <row r="255" spans="1:5" x14ac:dyDescent="0.25">
      <c r="A255" s="8" t="s">
        <v>6</v>
      </c>
      <c r="B255" s="9" t="s">
        <v>34</v>
      </c>
      <c r="C255" s="9" t="s">
        <v>4</v>
      </c>
      <c r="D255" s="18">
        <v>525</v>
      </c>
      <c r="E255" s="19">
        <v>48</v>
      </c>
    </row>
    <row r="256" spans="1:5" x14ac:dyDescent="0.25">
      <c r="A256" s="8" t="s">
        <v>2</v>
      </c>
      <c r="B256" s="9" t="s">
        <v>36</v>
      </c>
      <c r="C256" s="9" t="s">
        <v>17</v>
      </c>
      <c r="D256" s="18">
        <v>189</v>
      </c>
      <c r="E256" s="19">
        <v>48</v>
      </c>
    </row>
    <row r="257" spans="1:5" x14ac:dyDescent="0.25">
      <c r="A257" s="8" t="s">
        <v>5</v>
      </c>
      <c r="B257" s="9" t="s">
        <v>37</v>
      </c>
      <c r="C257" s="9" t="s">
        <v>31</v>
      </c>
      <c r="D257" s="18">
        <v>182</v>
      </c>
      <c r="E257" s="19">
        <v>48</v>
      </c>
    </row>
    <row r="258" spans="1:5" x14ac:dyDescent="0.25">
      <c r="A258" s="8" t="s">
        <v>5</v>
      </c>
      <c r="B258" s="9" t="s">
        <v>38</v>
      </c>
      <c r="C258" s="9" t="s">
        <v>25</v>
      </c>
      <c r="D258" s="18">
        <v>7483</v>
      </c>
      <c r="E258" s="19">
        <v>45</v>
      </c>
    </row>
    <row r="259" spans="1:5" x14ac:dyDescent="0.25">
      <c r="A259" s="10" t="s">
        <v>8</v>
      </c>
      <c r="B259" s="11" t="s">
        <v>37</v>
      </c>
      <c r="C259" s="11" t="s">
        <v>26</v>
      </c>
      <c r="D259" s="16">
        <v>6279</v>
      </c>
      <c r="E259" s="17">
        <v>45</v>
      </c>
    </row>
    <row r="260" spans="1:5" x14ac:dyDescent="0.25">
      <c r="A260" s="8" t="s">
        <v>9</v>
      </c>
      <c r="B260" s="9" t="s">
        <v>37</v>
      </c>
      <c r="C260" s="9" t="s">
        <v>28</v>
      </c>
      <c r="D260" s="18">
        <v>2919</v>
      </c>
      <c r="E260" s="19">
        <v>45</v>
      </c>
    </row>
    <row r="261" spans="1:5" x14ac:dyDescent="0.25">
      <c r="A261" s="8" t="s">
        <v>40</v>
      </c>
      <c r="B261" s="9" t="s">
        <v>38</v>
      </c>
      <c r="C261" s="9" t="s">
        <v>29</v>
      </c>
      <c r="D261" s="18">
        <v>2541</v>
      </c>
      <c r="E261" s="19">
        <v>45</v>
      </c>
    </row>
    <row r="262" spans="1:5" x14ac:dyDescent="0.25">
      <c r="A262" s="10" t="s">
        <v>7</v>
      </c>
      <c r="B262" s="11" t="s">
        <v>36</v>
      </c>
      <c r="C262" s="11" t="s">
        <v>22</v>
      </c>
      <c r="D262" s="16">
        <v>8435</v>
      </c>
      <c r="E262" s="17">
        <v>42</v>
      </c>
    </row>
    <row r="263" spans="1:5" x14ac:dyDescent="0.25">
      <c r="A263" s="8" t="s">
        <v>3</v>
      </c>
      <c r="B263" s="9" t="s">
        <v>34</v>
      </c>
      <c r="C263" s="9" t="s">
        <v>25</v>
      </c>
      <c r="D263" s="18">
        <v>6300</v>
      </c>
      <c r="E263" s="19">
        <v>42</v>
      </c>
    </row>
    <row r="264" spans="1:5" x14ac:dyDescent="0.25">
      <c r="A264" s="8" t="s">
        <v>40</v>
      </c>
      <c r="B264" s="9" t="s">
        <v>39</v>
      </c>
      <c r="C264" s="9" t="s">
        <v>15</v>
      </c>
      <c r="D264" s="18">
        <v>5775</v>
      </c>
      <c r="E264" s="19">
        <v>42</v>
      </c>
    </row>
    <row r="265" spans="1:5" x14ac:dyDescent="0.25">
      <c r="A265" s="10" t="s">
        <v>2</v>
      </c>
      <c r="B265" s="11" t="s">
        <v>37</v>
      </c>
      <c r="C265" s="11" t="s">
        <v>15</v>
      </c>
      <c r="D265" s="16">
        <v>2863</v>
      </c>
      <c r="E265" s="17">
        <v>42</v>
      </c>
    </row>
    <row r="266" spans="1:5" x14ac:dyDescent="0.25">
      <c r="A266" s="10" t="s">
        <v>5</v>
      </c>
      <c r="B266" s="11" t="s">
        <v>36</v>
      </c>
      <c r="C266" s="11" t="s">
        <v>16</v>
      </c>
      <c r="D266" s="16">
        <v>16184</v>
      </c>
      <c r="E266" s="17">
        <v>39</v>
      </c>
    </row>
    <row r="267" spans="1:5" x14ac:dyDescent="0.25">
      <c r="A267" s="8" t="s">
        <v>7</v>
      </c>
      <c r="B267" s="9" t="s">
        <v>34</v>
      </c>
      <c r="C267" s="9" t="s">
        <v>17</v>
      </c>
      <c r="D267" s="18">
        <v>7777</v>
      </c>
      <c r="E267" s="19">
        <v>39</v>
      </c>
    </row>
    <row r="268" spans="1:5" x14ac:dyDescent="0.25">
      <c r="A268" s="10" t="s">
        <v>3</v>
      </c>
      <c r="B268" s="11" t="s">
        <v>36</v>
      </c>
      <c r="C268" s="11" t="s">
        <v>25</v>
      </c>
      <c r="D268" s="16">
        <v>3339</v>
      </c>
      <c r="E268" s="17">
        <v>39</v>
      </c>
    </row>
    <row r="269" spans="1:5" x14ac:dyDescent="0.25">
      <c r="A269" s="10" t="s">
        <v>40</v>
      </c>
      <c r="B269" s="11" t="s">
        <v>38</v>
      </c>
      <c r="C269" s="11" t="s">
        <v>31</v>
      </c>
      <c r="D269" s="16">
        <v>1988</v>
      </c>
      <c r="E269" s="17">
        <v>39</v>
      </c>
    </row>
    <row r="270" spans="1:5" x14ac:dyDescent="0.25">
      <c r="A270" s="10" t="s">
        <v>41</v>
      </c>
      <c r="B270" s="11" t="s">
        <v>34</v>
      </c>
      <c r="C270" s="11" t="s">
        <v>17</v>
      </c>
      <c r="D270" s="16">
        <v>1463</v>
      </c>
      <c r="E270" s="17">
        <v>39</v>
      </c>
    </row>
    <row r="271" spans="1:5" x14ac:dyDescent="0.25">
      <c r="A271" s="8" t="s">
        <v>3</v>
      </c>
      <c r="B271" s="9" t="s">
        <v>36</v>
      </c>
      <c r="C271" s="9" t="s">
        <v>16</v>
      </c>
      <c r="D271" s="18">
        <v>9198</v>
      </c>
      <c r="E271" s="19">
        <v>36</v>
      </c>
    </row>
    <row r="272" spans="1:5" x14ac:dyDescent="0.25">
      <c r="A272" s="8" t="s">
        <v>6</v>
      </c>
      <c r="B272" s="9" t="s">
        <v>38</v>
      </c>
      <c r="C272" s="9" t="s">
        <v>21</v>
      </c>
      <c r="D272" s="18">
        <v>7322</v>
      </c>
      <c r="E272" s="19">
        <v>36</v>
      </c>
    </row>
    <row r="273" spans="1:5" x14ac:dyDescent="0.25">
      <c r="A273" s="8" t="s">
        <v>2</v>
      </c>
      <c r="B273" s="9" t="s">
        <v>39</v>
      </c>
      <c r="C273" s="9" t="s">
        <v>15</v>
      </c>
      <c r="D273" s="18">
        <v>4802</v>
      </c>
      <c r="E273" s="19">
        <v>36</v>
      </c>
    </row>
    <row r="274" spans="1:5" x14ac:dyDescent="0.25">
      <c r="A274" s="10" t="s">
        <v>2</v>
      </c>
      <c r="B274" s="11" t="s">
        <v>39</v>
      </c>
      <c r="C274" s="11" t="s">
        <v>23</v>
      </c>
      <c r="D274" s="16">
        <v>630</v>
      </c>
      <c r="E274" s="17">
        <v>36</v>
      </c>
    </row>
    <row r="275" spans="1:5" x14ac:dyDescent="0.25">
      <c r="A275" s="10" t="s">
        <v>40</v>
      </c>
      <c r="B275" s="11" t="s">
        <v>36</v>
      </c>
      <c r="C275" s="11" t="s">
        <v>4</v>
      </c>
      <c r="D275" s="16">
        <v>217</v>
      </c>
      <c r="E275" s="17">
        <v>36</v>
      </c>
    </row>
    <row r="276" spans="1:5" x14ac:dyDescent="0.25">
      <c r="A276" s="8" t="s">
        <v>10</v>
      </c>
      <c r="B276" s="9" t="s">
        <v>39</v>
      </c>
      <c r="C276" s="9" t="s">
        <v>33</v>
      </c>
      <c r="D276" s="18">
        <v>12950</v>
      </c>
      <c r="E276" s="19">
        <v>30</v>
      </c>
    </row>
    <row r="277" spans="1:5" x14ac:dyDescent="0.25">
      <c r="A277" s="10" t="s">
        <v>8</v>
      </c>
      <c r="B277" s="11" t="s">
        <v>37</v>
      </c>
      <c r="C277" s="11" t="s">
        <v>15</v>
      </c>
      <c r="D277" s="16">
        <v>9709</v>
      </c>
      <c r="E277" s="17">
        <v>30</v>
      </c>
    </row>
    <row r="278" spans="1:5" x14ac:dyDescent="0.25">
      <c r="A278" s="8" t="s">
        <v>40</v>
      </c>
      <c r="B278" s="9" t="s">
        <v>39</v>
      </c>
      <c r="C278" s="9" t="s">
        <v>27</v>
      </c>
      <c r="D278" s="18">
        <v>6370</v>
      </c>
      <c r="E278" s="19">
        <v>30</v>
      </c>
    </row>
    <row r="279" spans="1:5" x14ac:dyDescent="0.25">
      <c r="A279" s="8" t="s">
        <v>40</v>
      </c>
      <c r="B279" s="9" t="s">
        <v>36</v>
      </c>
      <c r="C279" s="9" t="s">
        <v>25</v>
      </c>
      <c r="D279" s="18">
        <v>5439</v>
      </c>
      <c r="E279" s="19">
        <v>30</v>
      </c>
    </row>
    <row r="280" spans="1:5" x14ac:dyDescent="0.25">
      <c r="A280" s="8" t="s">
        <v>10</v>
      </c>
      <c r="B280" s="9" t="s">
        <v>37</v>
      </c>
      <c r="C280" s="9" t="s">
        <v>23</v>
      </c>
      <c r="D280" s="18">
        <v>4683</v>
      </c>
      <c r="E280" s="19">
        <v>30</v>
      </c>
    </row>
    <row r="281" spans="1:5" x14ac:dyDescent="0.25">
      <c r="A281" s="8" t="s">
        <v>6</v>
      </c>
      <c r="B281" s="9" t="s">
        <v>36</v>
      </c>
      <c r="C281" s="9" t="s">
        <v>13</v>
      </c>
      <c r="D281" s="18">
        <v>4319</v>
      </c>
      <c r="E281" s="19">
        <v>30</v>
      </c>
    </row>
    <row r="282" spans="1:5" x14ac:dyDescent="0.25">
      <c r="A282" s="10" t="s">
        <v>8</v>
      </c>
      <c r="B282" s="11" t="s">
        <v>39</v>
      </c>
      <c r="C282" s="11" t="s">
        <v>18</v>
      </c>
      <c r="D282" s="16">
        <v>9660</v>
      </c>
      <c r="E282" s="17">
        <v>27</v>
      </c>
    </row>
    <row r="283" spans="1:5" x14ac:dyDescent="0.25">
      <c r="A283" s="8" t="s">
        <v>9</v>
      </c>
      <c r="B283" s="9" t="s">
        <v>34</v>
      </c>
      <c r="C283" s="9" t="s">
        <v>21</v>
      </c>
      <c r="D283" s="18">
        <v>6832</v>
      </c>
      <c r="E283" s="19">
        <v>27</v>
      </c>
    </row>
    <row r="284" spans="1:5" x14ac:dyDescent="0.25">
      <c r="A284" s="10" t="s">
        <v>6</v>
      </c>
      <c r="B284" s="11" t="s">
        <v>39</v>
      </c>
      <c r="C284" s="11" t="s">
        <v>17</v>
      </c>
      <c r="D284" s="16">
        <v>6048</v>
      </c>
      <c r="E284" s="17">
        <v>27</v>
      </c>
    </row>
    <row r="285" spans="1:5" x14ac:dyDescent="0.25">
      <c r="A285" s="8" t="s">
        <v>10</v>
      </c>
      <c r="B285" s="9" t="s">
        <v>37</v>
      </c>
      <c r="C285" s="9" t="s">
        <v>28</v>
      </c>
      <c r="D285" s="18">
        <v>3059</v>
      </c>
      <c r="E285" s="19">
        <v>27</v>
      </c>
    </row>
    <row r="286" spans="1:5" x14ac:dyDescent="0.25">
      <c r="A286" s="8" t="s">
        <v>7</v>
      </c>
      <c r="B286" s="9" t="s">
        <v>35</v>
      </c>
      <c r="C286" s="9" t="s">
        <v>16</v>
      </c>
      <c r="D286" s="18">
        <v>2135</v>
      </c>
      <c r="E286" s="19">
        <v>27</v>
      </c>
    </row>
    <row r="287" spans="1:5" x14ac:dyDescent="0.25">
      <c r="A287" s="10" t="s">
        <v>8</v>
      </c>
      <c r="B287" s="11" t="s">
        <v>39</v>
      </c>
      <c r="C287" s="11" t="s">
        <v>26</v>
      </c>
      <c r="D287" s="16">
        <v>1561</v>
      </c>
      <c r="E287" s="17">
        <v>27</v>
      </c>
    </row>
    <row r="288" spans="1:5" x14ac:dyDescent="0.25">
      <c r="A288" s="8" t="s">
        <v>10</v>
      </c>
      <c r="B288" s="9" t="s">
        <v>34</v>
      </c>
      <c r="C288" s="9" t="s">
        <v>22</v>
      </c>
      <c r="D288" s="18">
        <v>4053</v>
      </c>
      <c r="E288" s="19">
        <v>24</v>
      </c>
    </row>
    <row r="289" spans="1:5" x14ac:dyDescent="0.25">
      <c r="A289" s="10" t="s">
        <v>7</v>
      </c>
      <c r="B289" s="11" t="s">
        <v>34</v>
      </c>
      <c r="C289" s="11" t="s">
        <v>15</v>
      </c>
      <c r="D289" s="16">
        <v>3829</v>
      </c>
      <c r="E289" s="17">
        <v>24</v>
      </c>
    </row>
    <row r="290" spans="1:5" x14ac:dyDescent="0.25">
      <c r="A290" s="10" t="s">
        <v>2</v>
      </c>
      <c r="B290" s="11" t="s">
        <v>36</v>
      </c>
      <c r="C290" s="11" t="s">
        <v>16</v>
      </c>
      <c r="D290" s="16">
        <v>11417</v>
      </c>
      <c r="E290" s="17">
        <v>21</v>
      </c>
    </row>
    <row r="291" spans="1:5" x14ac:dyDescent="0.25">
      <c r="A291" s="10" t="s">
        <v>5</v>
      </c>
      <c r="B291" s="11" t="s">
        <v>37</v>
      </c>
      <c r="C291" s="11" t="s">
        <v>25</v>
      </c>
      <c r="D291" s="16">
        <v>8813</v>
      </c>
      <c r="E291" s="17">
        <v>21</v>
      </c>
    </row>
    <row r="292" spans="1:5" x14ac:dyDescent="0.25">
      <c r="A292" s="10" t="s">
        <v>40</v>
      </c>
      <c r="B292" s="11" t="s">
        <v>37</v>
      </c>
      <c r="C292" s="11" t="s">
        <v>19</v>
      </c>
      <c r="D292" s="16">
        <v>7693</v>
      </c>
      <c r="E292" s="17">
        <v>21</v>
      </c>
    </row>
    <row r="293" spans="1:5" x14ac:dyDescent="0.25">
      <c r="A293" s="10" t="s">
        <v>5</v>
      </c>
      <c r="B293" s="11" t="s">
        <v>34</v>
      </c>
      <c r="C293" s="11" t="s">
        <v>27</v>
      </c>
      <c r="D293" s="16">
        <v>6986</v>
      </c>
      <c r="E293" s="17">
        <v>21</v>
      </c>
    </row>
    <row r="294" spans="1:5" x14ac:dyDescent="0.25">
      <c r="A294" s="10" t="s">
        <v>5</v>
      </c>
      <c r="B294" s="11" t="s">
        <v>38</v>
      </c>
      <c r="C294" s="11" t="s">
        <v>32</v>
      </c>
      <c r="D294" s="16">
        <v>5075</v>
      </c>
      <c r="E294" s="17">
        <v>21</v>
      </c>
    </row>
    <row r="295" spans="1:5" x14ac:dyDescent="0.25">
      <c r="A295" s="10" t="s">
        <v>7</v>
      </c>
      <c r="B295" s="11" t="s">
        <v>35</v>
      </c>
      <c r="C295" s="11" t="s">
        <v>27</v>
      </c>
      <c r="D295" s="16">
        <v>2478</v>
      </c>
      <c r="E295" s="17">
        <v>21</v>
      </c>
    </row>
    <row r="296" spans="1:5" x14ac:dyDescent="0.25">
      <c r="A296" s="10" t="s">
        <v>41</v>
      </c>
      <c r="B296" s="11" t="s">
        <v>38</v>
      </c>
      <c r="C296" s="11" t="s">
        <v>25</v>
      </c>
      <c r="D296" s="16">
        <v>154</v>
      </c>
      <c r="E296" s="17">
        <v>21</v>
      </c>
    </row>
    <row r="297" spans="1:5" x14ac:dyDescent="0.25">
      <c r="A297" s="8" t="s">
        <v>3</v>
      </c>
      <c r="B297" s="9" t="s">
        <v>34</v>
      </c>
      <c r="C297" s="9" t="s">
        <v>20</v>
      </c>
      <c r="D297" s="18">
        <v>2583</v>
      </c>
      <c r="E297" s="19">
        <v>18</v>
      </c>
    </row>
    <row r="298" spans="1:5" x14ac:dyDescent="0.25">
      <c r="A298" s="8" t="s">
        <v>3</v>
      </c>
      <c r="B298" s="9" t="s">
        <v>36</v>
      </c>
      <c r="C298" s="9" t="s">
        <v>19</v>
      </c>
      <c r="D298" s="18">
        <v>1281</v>
      </c>
      <c r="E298" s="19">
        <v>18</v>
      </c>
    </row>
    <row r="299" spans="1:5" x14ac:dyDescent="0.25">
      <c r="A299" s="10" t="s">
        <v>2</v>
      </c>
      <c r="B299" s="11" t="s">
        <v>37</v>
      </c>
      <c r="C299" s="11" t="s">
        <v>19</v>
      </c>
      <c r="D299" s="16">
        <v>238</v>
      </c>
      <c r="E299" s="17">
        <v>18</v>
      </c>
    </row>
    <row r="300" spans="1:5" x14ac:dyDescent="0.25">
      <c r="A300" s="10" t="s">
        <v>5</v>
      </c>
      <c r="B300" s="11" t="s">
        <v>36</v>
      </c>
      <c r="C300" s="11" t="s">
        <v>23</v>
      </c>
      <c r="D300" s="16">
        <v>6314</v>
      </c>
      <c r="E300" s="17">
        <v>15</v>
      </c>
    </row>
    <row r="301" spans="1:5" x14ac:dyDescent="0.25">
      <c r="A301" s="8" t="s">
        <v>5</v>
      </c>
      <c r="B301" s="9" t="s">
        <v>35</v>
      </c>
      <c r="C301" s="9" t="s">
        <v>18</v>
      </c>
      <c r="D301" s="18">
        <v>2415</v>
      </c>
      <c r="E301" s="19">
        <v>15</v>
      </c>
    </row>
    <row r="302" spans="1:5" x14ac:dyDescent="0.25">
      <c r="A302" s="10" t="s">
        <v>6</v>
      </c>
      <c r="B302" s="11" t="s">
        <v>34</v>
      </c>
      <c r="C302" s="11" t="s">
        <v>15</v>
      </c>
      <c r="D302" s="16">
        <v>1442</v>
      </c>
      <c r="E302" s="17">
        <v>15</v>
      </c>
    </row>
    <row r="303" spans="1:5" x14ac:dyDescent="0.25">
      <c r="A303" s="8" t="s">
        <v>2</v>
      </c>
      <c r="B303" s="9" t="s">
        <v>35</v>
      </c>
      <c r="C303" s="9" t="s">
        <v>19</v>
      </c>
      <c r="D303" s="18">
        <v>553</v>
      </c>
      <c r="E303" s="19">
        <v>15</v>
      </c>
    </row>
    <row r="304" spans="1:5" x14ac:dyDescent="0.25">
      <c r="A304" s="8" t="s">
        <v>40</v>
      </c>
      <c r="B304" s="9" t="s">
        <v>39</v>
      </c>
      <c r="C304" s="9" t="s">
        <v>22</v>
      </c>
      <c r="D304" s="18">
        <v>5817</v>
      </c>
      <c r="E304" s="19">
        <v>12</v>
      </c>
    </row>
    <row r="305" spans="1:5" x14ac:dyDescent="0.25">
      <c r="A305" s="8" t="s">
        <v>5</v>
      </c>
      <c r="B305" s="9" t="s">
        <v>37</v>
      </c>
      <c r="C305" s="9" t="s">
        <v>14</v>
      </c>
      <c r="D305" s="18">
        <v>4991</v>
      </c>
      <c r="E305" s="19">
        <v>12</v>
      </c>
    </row>
    <row r="306" spans="1:5" x14ac:dyDescent="0.25">
      <c r="A306" s="8" t="s">
        <v>6</v>
      </c>
      <c r="B306" s="9" t="s">
        <v>36</v>
      </c>
      <c r="C306" s="9" t="s">
        <v>32</v>
      </c>
      <c r="D306" s="18">
        <v>6118</v>
      </c>
      <c r="E306" s="19">
        <v>9</v>
      </c>
    </row>
    <row r="307" spans="1:5" x14ac:dyDescent="0.25">
      <c r="A307" s="10" t="s">
        <v>10</v>
      </c>
      <c r="B307" s="11" t="s">
        <v>34</v>
      </c>
      <c r="C307" s="11" t="s">
        <v>26</v>
      </c>
      <c r="D307" s="16">
        <v>4991</v>
      </c>
      <c r="E307" s="17">
        <v>9</v>
      </c>
    </row>
    <row r="308" spans="1:5" x14ac:dyDescent="0.25">
      <c r="A308" s="10" t="s">
        <v>41</v>
      </c>
      <c r="B308" s="11" t="s">
        <v>37</v>
      </c>
      <c r="C308" s="11" t="s">
        <v>21</v>
      </c>
      <c r="D308" s="16">
        <v>2933</v>
      </c>
      <c r="E308" s="17">
        <v>9</v>
      </c>
    </row>
    <row r="309" spans="1:5" x14ac:dyDescent="0.25">
      <c r="A309" s="8" t="s">
        <v>5</v>
      </c>
      <c r="B309" s="9" t="s">
        <v>35</v>
      </c>
      <c r="C309" s="9" t="s">
        <v>4</v>
      </c>
      <c r="D309" s="18">
        <v>2744</v>
      </c>
      <c r="E309" s="19">
        <v>9</v>
      </c>
    </row>
    <row r="310" spans="1:5" x14ac:dyDescent="0.25">
      <c r="A310" s="10" t="s">
        <v>9</v>
      </c>
      <c r="B310" s="11" t="s">
        <v>38</v>
      </c>
      <c r="C310" s="11" t="s">
        <v>17</v>
      </c>
      <c r="D310" s="16">
        <v>2408</v>
      </c>
      <c r="E310" s="17">
        <v>9</v>
      </c>
    </row>
    <row r="311" spans="1:5" x14ac:dyDescent="0.25">
      <c r="A311" s="10" t="s">
        <v>6</v>
      </c>
      <c r="B311" s="11" t="s">
        <v>37</v>
      </c>
      <c r="C311" s="11" t="s">
        <v>26</v>
      </c>
      <c r="D311" s="16">
        <v>6818</v>
      </c>
      <c r="E311" s="17">
        <v>6</v>
      </c>
    </row>
    <row r="312" spans="1:5" x14ac:dyDescent="0.25">
      <c r="A312" s="8" t="s">
        <v>10</v>
      </c>
      <c r="B312" s="9" t="s">
        <v>35</v>
      </c>
      <c r="C312" s="9" t="s">
        <v>15</v>
      </c>
      <c r="D312" s="18">
        <v>2562</v>
      </c>
      <c r="E312" s="19">
        <v>6</v>
      </c>
    </row>
    <row r="313" spans="1:5" x14ac:dyDescent="0.25">
      <c r="A313" s="8" t="s">
        <v>6</v>
      </c>
      <c r="B313" s="9" t="s">
        <v>38</v>
      </c>
      <c r="C313" s="9" t="s">
        <v>16</v>
      </c>
      <c r="D313" s="18">
        <v>938</v>
      </c>
      <c r="E313" s="19">
        <v>6</v>
      </c>
    </row>
    <row r="314" spans="1:5" x14ac:dyDescent="0.25">
      <c r="A314" s="8" t="s">
        <v>5</v>
      </c>
      <c r="B314" s="9" t="s">
        <v>36</v>
      </c>
      <c r="C314" s="9" t="s">
        <v>18</v>
      </c>
      <c r="D314" s="18">
        <v>6111</v>
      </c>
      <c r="E314" s="19">
        <v>3</v>
      </c>
    </row>
    <row r="315" spans="1:5" x14ac:dyDescent="0.25">
      <c r="A315" s="10" t="s">
        <v>41</v>
      </c>
      <c r="B315" s="11" t="s">
        <v>38</v>
      </c>
      <c r="C315" s="11" t="s">
        <v>22</v>
      </c>
      <c r="D315" s="16">
        <v>5915</v>
      </c>
      <c r="E315" s="17">
        <v>3</v>
      </c>
    </row>
    <row r="316" spans="1:5" x14ac:dyDescent="0.25">
      <c r="A316" s="10" t="s">
        <v>2</v>
      </c>
      <c r="B316" s="11" t="s">
        <v>38</v>
      </c>
      <c r="C316" s="11" t="s">
        <v>4</v>
      </c>
      <c r="D316" s="16">
        <v>3549</v>
      </c>
      <c r="E316" s="17">
        <v>3</v>
      </c>
    </row>
    <row r="317" spans="1:5" x14ac:dyDescent="0.25">
      <c r="A317" s="10" t="s">
        <v>6</v>
      </c>
      <c r="B317" s="11" t="s">
        <v>39</v>
      </c>
      <c r="C317" s="11" t="s">
        <v>24</v>
      </c>
      <c r="D317" s="16">
        <v>2989</v>
      </c>
      <c r="E317" s="17">
        <v>3</v>
      </c>
    </row>
    <row r="318" spans="1:5" x14ac:dyDescent="0.25">
      <c r="A318" s="8" t="s">
        <v>7</v>
      </c>
      <c r="B318" s="9" t="s">
        <v>37</v>
      </c>
      <c r="C318" s="9" t="s">
        <v>26</v>
      </c>
      <c r="D318" s="18">
        <v>5306</v>
      </c>
      <c r="E318" s="19">
        <v>0</v>
      </c>
    </row>
  </sheetData>
  <autoFilter ref="O3:Q3" xr:uid="{25594B6E-89E2-4971-8C86-BDF853E83613}">
    <sortState xmlns:xlrd2="http://schemas.microsoft.com/office/spreadsheetml/2017/richdata2" ref="O4:Q9">
      <sortCondition descending="1" ref="P3"/>
    </sortState>
  </autoFilter>
  <mergeCells count="2">
    <mergeCell ref="A16:C16"/>
    <mergeCell ref="I1:K1"/>
  </mergeCells>
  <conditionalFormatting sqref="D18">
    <cfRule type="colorScale" priority="8">
      <colorScale>
        <cfvo type="min"/>
        <cfvo type="percentile" val="50"/>
        <cfvo type="max"/>
        <color rgb="FF63BE7B"/>
        <color rgb="FFFFEB84"/>
        <color rgb="FFF8696B"/>
      </colorScale>
    </cfRule>
  </conditionalFormatting>
  <conditionalFormatting sqref="D18:D318">
    <cfRule type="colorScale" priority="6">
      <colorScale>
        <cfvo type="min"/>
        <cfvo type="percentile" val="50"/>
        <cfvo type="max"/>
        <color rgb="FFF8696B"/>
        <color rgb="FFFFEB84"/>
        <color rgb="FF63BE7B"/>
      </colorScale>
    </cfRule>
  </conditionalFormatting>
  <conditionalFormatting sqref="E18:E318">
    <cfRule type="dataBar" priority="5">
      <dataBar>
        <cfvo type="min"/>
        <cfvo type="max"/>
        <color rgb="FF638EC6"/>
      </dataBar>
      <extLst>
        <ext xmlns:x14="http://schemas.microsoft.com/office/spreadsheetml/2009/9/main" uri="{B025F937-C7B1-47D3-B67F-A62EFF666E3E}">
          <x14:id>{87CE08EE-9AA1-4C2E-A8C5-5FE5549BB404}</x14:id>
        </ext>
      </extLst>
    </cfRule>
  </conditionalFormatting>
  <conditionalFormatting sqref="Q1:Q1048576">
    <cfRule type="dataBar" priority="1">
      <dataBar showValue="0">
        <cfvo type="min"/>
        <cfvo type="max"/>
        <color theme="4" tint="0.79998168889431442"/>
      </dataBar>
      <extLst>
        <ext xmlns:x14="http://schemas.microsoft.com/office/spreadsheetml/2009/9/main" uri="{B025F937-C7B1-47D3-B67F-A62EFF666E3E}">
          <x14:id>{5A74C1F7-D91B-4F59-B35A-E02458A86357}</x14:id>
        </ext>
      </extLst>
    </cfRule>
    <cfRule type="dataBar" priority="2">
      <dataBar>
        <cfvo type="min"/>
        <cfvo type="max"/>
        <color theme="4" tint="0.79998168889431442"/>
      </dataBar>
      <extLst>
        <ext xmlns:x14="http://schemas.microsoft.com/office/spreadsheetml/2009/9/main" uri="{B025F937-C7B1-47D3-B67F-A62EFF666E3E}">
          <x14:id>{A520B437-7D98-47A2-B871-74C918D161B8}</x14:id>
        </ext>
      </extLst>
    </cfRule>
    <cfRule type="dataBar" priority="3">
      <dataBar showValue="0">
        <cfvo type="min"/>
        <cfvo type="max"/>
        <color rgb="FF638EC6"/>
      </dataBar>
      <extLst>
        <ext xmlns:x14="http://schemas.microsoft.com/office/spreadsheetml/2009/9/main" uri="{B025F937-C7B1-47D3-B67F-A62EFF666E3E}">
          <x14:id>{E6B3601C-5C62-4D9D-9D57-BB589108F041}</x14:id>
        </ext>
      </extLst>
    </cfRule>
    <cfRule type="dataBar" priority="4">
      <dataBar>
        <cfvo type="min"/>
        <cfvo type="max"/>
        <color rgb="FF638EC6"/>
      </dataBar>
      <extLst>
        <ext xmlns:x14="http://schemas.microsoft.com/office/spreadsheetml/2009/9/main" uri="{B025F937-C7B1-47D3-B67F-A62EFF666E3E}">
          <x14:id>{E0261B9C-517F-40B0-9CF9-AA3E17BCE239}</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7CE08EE-9AA1-4C2E-A8C5-5FE5549BB404}">
            <x14:dataBar minLength="0" maxLength="100" border="1" negativeBarBorderColorSameAsPositive="0">
              <x14:cfvo type="autoMin"/>
              <x14:cfvo type="autoMax"/>
              <x14:borderColor rgb="FF638EC6"/>
              <x14:negativeFillColor rgb="FFFF0000"/>
              <x14:negativeBorderColor rgb="FFFF0000"/>
              <x14:axisColor rgb="FF000000"/>
            </x14:dataBar>
          </x14:cfRule>
          <xm:sqref>E18:E318</xm:sqref>
        </x14:conditionalFormatting>
        <x14:conditionalFormatting xmlns:xm="http://schemas.microsoft.com/office/excel/2006/main">
          <x14:cfRule type="dataBar" id="{5A74C1F7-D91B-4F59-B35A-E02458A86357}">
            <x14:dataBar minLength="0" maxLength="100" gradient="0">
              <x14:cfvo type="autoMin"/>
              <x14:cfvo type="autoMax"/>
              <x14:negativeFillColor rgb="FFFF0000"/>
              <x14:axisColor rgb="FF000000"/>
            </x14:dataBar>
          </x14:cfRule>
          <x14:cfRule type="dataBar" id="{A520B437-7D98-47A2-B871-74C918D161B8}">
            <x14:dataBar minLength="0" maxLength="100" gradient="0">
              <x14:cfvo type="autoMin"/>
              <x14:cfvo type="autoMax"/>
              <x14:negativeFillColor rgb="FFFF0000"/>
              <x14:axisColor rgb="FF000000"/>
            </x14:dataBar>
          </x14:cfRule>
          <x14:cfRule type="dataBar" id="{E6B3601C-5C62-4D9D-9D57-BB589108F041}">
            <x14:dataBar minLength="0" maxLength="100" gradient="0">
              <x14:cfvo type="autoMin"/>
              <x14:cfvo type="autoMax"/>
              <x14:negativeFillColor rgb="FFFF0000"/>
              <x14:axisColor rgb="FF000000"/>
            </x14:dataBar>
          </x14:cfRule>
          <x14:cfRule type="dataBar" id="{E0261B9C-517F-40B0-9CF9-AA3E17BCE239}">
            <x14:dataBar minLength="0" maxLength="100" gradient="0">
              <x14:cfvo type="autoMin"/>
              <x14:cfvo type="autoMax"/>
              <x14:negativeFillColor rgb="FFFF0000"/>
              <x14:axisColor rgb="FF000000"/>
            </x14:dataBar>
          </x14:cfRule>
          <xm:sqref>Q1:Q1048576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pivot</vt:lpstr>
      <vt:lpstr>statistics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Dijana Jurkovic</cp:lastModifiedBy>
  <dcterms:created xsi:type="dcterms:W3CDTF">2021-03-14T20:21:32Z</dcterms:created>
  <dcterms:modified xsi:type="dcterms:W3CDTF">2024-03-01T22:00:08Z</dcterms:modified>
</cp:coreProperties>
</file>