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A" sheetId="1" r:id="rId4"/>
    <sheet state="visible" name="5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'5A'!$A$1:$AB$24</definedName>
    <definedName hidden="1" localSheetId="1" name="_xlnm._FilterDatabase">'5B'!$A$1:$AB$21</definedName>
  </definedNames>
  <calcPr/>
</workbook>
</file>

<file path=xl/sharedStrings.xml><?xml version="1.0" encoding="utf-8"?>
<sst xmlns="http://schemas.openxmlformats.org/spreadsheetml/2006/main" count="185" uniqueCount="77">
  <si>
    <t>Timestamp</t>
  </si>
  <si>
    <t>Aldur:</t>
  </si>
  <si>
    <t>Kyn:</t>
  </si>
  <si>
    <t>1. Nauðsynlegt er að tilkynna breytinguna yfirkjörstjórn innan viku.</t>
  </si>
  <si>
    <t>2. Ég þarf ekki að pæla í hvað aðrir eru að hugsa.</t>
  </si>
  <si>
    <t>3. Snjórinn tók að kyngja niður í Reykjanesbæ upp úr miðnætti.</t>
  </si>
  <si>
    <t>4. Ég myndi aldrei mæta fullur eða skrópa í vinnuna.</t>
  </si>
  <si>
    <t>5. Mig langar til þess að allir öðlist hamingju.</t>
  </si>
  <si>
    <t>6. Meirihluti borgarstjórnar samþykktu í dag fyrirkomulag næsta ársins.</t>
  </si>
  <si>
    <t>7. Valda- og æruleysið svíður greinilega.</t>
  </si>
  <si>
    <t>8. Vandamálið hjá þér er að vera of kurteis við fólk.</t>
  </si>
  <si>
    <t>9. Yfirvöld vilja ekki afhenda íbúum lóðina án þess að kanna málið.</t>
  </si>
  <si>
    <t>10. Hinrik er skemmtilegur að tala við fullan.</t>
  </si>
  <si>
    <t>11. Það hvort hann komi eða ekki skiptir engu máli.</t>
  </si>
  <si>
    <t>12. Eftir þennan atburð langar Karli ekki lengur að sækja um lán.</t>
  </si>
  <si>
    <t>13. Meiðslin angruðu hana alla síðustu leiktíð.</t>
  </si>
  <si>
    <t>14. Ég sakna að amma muni aldrei framar bjóða mér aðra kökusneið.</t>
  </si>
  <si>
    <t>15. Stór hluti barnanna í skólanum hafa smitast af flensunni.</t>
  </si>
  <si>
    <t>16. Hann segist hafa tilkynnt starfsmönnum óhappið sama dag.</t>
  </si>
  <si>
    <t>17. Margir eru meðvitaðir um það að borða hollt og reglulega yfir daginn.</t>
  </si>
  <si>
    <t>18. Ef hann sé ekki góður við þig þá rassskelli ég hann.</t>
  </si>
  <si>
    <t>19. Þetta er raunveruleikinn sem þeir ræddu við hvern annan.</t>
  </si>
  <si>
    <t>20. Fyrirtækið kannaði hagkvæmni að vöruhúsið yrði byggt við ána.</t>
  </si>
  <si>
    <t>21. Eftir athöfnina var drifið sig heim til að skipta um föt.</t>
  </si>
  <si>
    <t>22. Það var því miður rænt mig veskinu á leiðinni til þín.</t>
  </si>
  <si>
    <t>23. María er fegin því að prófin séu loksins búin.</t>
  </si>
  <si>
    <t>24. Jón ætlar að afhenda minnisblaðið blaðamönnum strax á morgun.</t>
  </si>
  <si>
    <t>25. Þetta er bara að versna og ég kvíði fyrir mánaðamótunum.</t>
  </si>
  <si>
    <t>Kona</t>
  </si>
  <si>
    <t>Karl</t>
  </si>
  <si>
    <t>Vil ekki svara</t>
  </si>
  <si>
    <t>1. Þetta er bara að versna og ég kvíði fyrir mánaðamótunum.</t>
  </si>
  <si>
    <t>2. Jón ætlar að afhenda blaðamönnum minnisblaðið strax á morgun.</t>
  </si>
  <si>
    <t>3. María er fegin að prófin séu loksins búin.</t>
  </si>
  <si>
    <t>4. Það var því miður rænt mig veskinu á leiðinni til þín.</t>
  </si>
  <si>
    <t>5. Eftir athöfnina var drifið sig heim til að skipta um föt.</t>
  </si>
  <si>
    <t>6. Fyrirtækið kannaði hagkvæmni þess að vöruhúsið yrði byggt við ána.</t>
  </si>
  <si>
    <t>7. Þetta er raunveruleikinn sem þeir ræddu við hvern annan.</t>
  </si>
  <si>
    <t>8. Ef hann sé ekki góður við þig þá rassskelli ég hann.</t>
  </si>
  <si>
    <t>9. Margir eru meðvitaðir um að borða hollt og reglulega yfir daginn.</t>
  </si>
  <si>
    <t>10. Hann segist hafa tilkynnt óhappið starfsmönnum sama dag.</t>
  </si>
  <si>
    <t>11. Stór hluti barnanna í skólanum hafa smitast af flensunni.</t>
  </si>
  <si>
    <t>12. Ég sakna þess að amma muni aldrei framar bjóða mér aðra kökusneið.</t>
  </si>
  <si>
    <t>14. Eftir þennan atburð langar Karli ekki lengur að sækja um lán.</t>
  </si>
  <si>
    <t>15. Hvort hann komi eða ekki skiptir engu máli.</t>
  </si>
  <si>
    <t>16. Hinrik er skemmtilegur að tala við fullan.</t>
  </si>
  <si>
    <t>17. Yfirvöld vilja ekki afhenda lóðina íbúum án þess að kanna málið.</t>
  </si>
  <si>
    <t>18. Vandamálið hjá þér er það að vera of kurteis við fólk.</t>
  </si>
  <si>
    <t>19. Valda- og æruleysið svíður greinilega.</t>
  </si>
  <si>
    <t>20. Meirihluti borgarstjórnar samþykktu í dag fyrirkomulag næsta ársins.</t>
  </si>
  <si>
    <t>21. Mig langar til að allir öðlist hamingju.</t>
  </si>
  <si>
    <t>22. Ég myndi aldrei mæta fullur eða skrópa í vinnuna.</t>
  </si>
  <si>
    <t>23. Snjórinn tók að kyngja niður í Reykjanesbæ upp úr miðnætti.</t>
  </si>
  <si>
    <t>24. Ég þarf ekki að pæla í því hvað aðrir eru að hugsa.</t>
  </si>
  <si>
    <t>25. Nauðsynlegt er að tilkynna yfirkjörstjórn breytinguna innan viku.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</si>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</sst>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10.75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44686.635410393515</v>
      </c>
      <c r="B2" s="3">
        <v>25.0</v>
      </c>
      <c r="C2" s="3" t="s">
        <v>28</v>
      </c>
      <c r="D2" s="3">
        <v>4.0</v>
      </c>
      <c r="E2" s="3">
        <v>5.0</v>
      </c>
      <c r="F2" s="3">
        <v>2.0</v>
      </c>
      <c r="G2" s="3">
        <v>5.0</v>
      </c>
      <c r="H2" s="3">
        <v>5.0</v>
      </c>
      <c r="I2" s="3">
        <v>1.0</v>
      </c>
      <c r="J2" s="3">
        <v>5.0</v>
      </c>
      <c r="K2" s="3">
        <v>5.0</v>
      </c>
      <c r="L2" s="3">
        <v>7.0</v>
      </c>
      <c r="M2" s="3">
        <v>3.0</v>
      </c>
      <c r="N2" s="3">
        <v>7.0</v>
      </c>
      <c r="O2" s="3">
        <v>1.0</v>
      </c>
      <c r="P2" s="3">
        <v>3.0</v>
      </c>
      <c r="Q2" s="3">
        <v>1.0</v>
      </c>
      <c r="R2" s="3">
        <v>1.0</v>
      </c>
      <c r="S2" s="3">
        <v>5.0</v>
      </c>
      <c r="T2" s="3">
        <v>2.0</v>
      </c>
      <c r="U2" s="3">
        <v>2.0</v>
      </c>
      <c r="V2" s="3">
        <v>1.0</v>
      </c>
      <c r="W2" s="3">
        <v>1.0</v>
      </c>
      <c r="X2" s="3">
        <v>1.0</v>
      </c>
      <c r="Y2" s="3">
        <v>1.0</v>
      </c>
      <c r="Z2" s="3">
        <v>7.0</v>
      </c>
      <c r="AA2" s="3">
        <v>4.0</v>
      </c>
      <c r="AB2" s="3">
        <v>6.0</v>
      </c>
    </row>
    <row r="3">
      <c r="A3" s="2">
        <v>44690.52650332176</v>
      </c>
      <c r="B3" s="3">
        <v>23.0</v>
      </c>
      <c r="C3" s="3" t="s">
        <v>28</v>
      </c>
      <c r="D3" s="3">
        <v>1.0</v>
      </c>
      <c r="E3" s="3">
        <v>5.0</v>
      </c>
      <c r="F3" s="3">
        <v>1.0</v>
      </c>
      <c r="G3" s="3">
        <v>6.0</v>
      </c>
      <c r="H3" s="3">
        <v>2.0</v>
      </c>
      <c r="I3" s="3">
        <v>3.0</v>
      </c>
      <c r="J3" s="3">
        <v>6.0</v>
      </c>
      <c r="K3" s="3">
        <v>6.0</v>
      </c>
      <c r="L3" s="3">
        <v>6.0</v>
      </c>
      <c r="M3" s="3">
        <v>1.0</v>
      </c>
      <c r="N3" s="3">
        <v>6.0</v>
      </c>
      <c r="O3" s="3">
        <v>5.0</v>
      </c>
      <c r="P3" s="3">
        <v>3.0</v>
      </c>
      <c r="Q3" s="3">
        <v>7.0</v>
      </c>
      <c r="R3" s="3">
        <v>6.0</v>
      </c>
      <c r="S3" s="3">
        <v>7.0</v>
      </c>
      <c r="T3" s="3">
        <v>7.0</v>
      </c>
      <c r="U3" s="3">
        <v>3.0</v>
      </c>
      <c r="V3" s="3">
        <v>3.0</v>
      </c>
      <c r="W3" s="3">
        <v>1.0</v>
      </c>
      <c r="X3" s="3">
        <v>7.0</v>
      </c>
      <c r="Y3" s="3">
        <v>1.0</v>
      </c>
      <c r="Z3" s="3">
        <v>6.0</v>
      </c>
      <c r="AA3" s="3">
        <v>2.0</v>
      </c>
      <c r="AB3" s="3">
        <v>6.0</v>
      </c>
    </row>
    <row r="4">
      <c r="A4" s="2">
        <v>44693.60218081019</v>
      </c>
      <c r="B4" s="3">
        <v>39.0</v>
      </c>
      <c r="C4" s="3" t="s">
        <v>28</v>
      </c>
      <c r="D4" s="3">
        <v>2.0</v>
      </c>
      <c r="E4" s="3">
        <v>5.0</v>
      </c>
      <c r="F4" s="3">
        <v>1.0</v>
      </c>
      <c r="G4" s="3">
        <v>1.0</v>
      </c>
      <c r="H4" s="3">
        <v>7.0</v>
      </c>
      <c r="I4" s="3">
        <v>1.0</v>
      </c>
      <c r="J4" s="3">
        <v>7.0</v>
      </c>
      <c r="K4" s="3">
        <v>2.0</v>
      </c>
      <c r="L4" s="3">
        <v>7.0</v>
      </c>
      <c r="M4" s="3">
        <v>2.0</v>
      </c>
      <c r="N4" s="3">
        <v>5.0</v>
      </c>
      <c r="O4" s="3">
        <v>1.0</v>
      </c>
      <c r="P4" s="3">
        <v>1.0</v>
      </c>
      <c r="Q4" s="3">
        <v>7.0</v>
      </c>
      <c r="R4" s="3">
        <v>1.0</v>
      </c>
      <c r="S4" s="3">
        <v>7.0</v>
      </c>
      <c r="T4" s="3">
        <v>7.0</v>
      </c>
      <c r="U4" s="3">
        <v>1.0</v>
      </c>
      <c r="V4" s="3">
        <v>1.0</v>
      </c>
      <c r="W4" s="3">
        <v>1.0</v>
      </c>
      <c r="X4" s="3">
        <v>1.0</v>
      </c>
      <c r="Y4" s="3">
        <v>1.0</v>
      </c>
      <c r="Z4" s="3">
        <v>7.0</v>
      </c>
      <c r="AA4" s="3">
        <v>6.0</v>
      </c>
      <c r="AB4" s="3">
        <v>7.0</v>
      </c>
    </row>
    <row r="5">
      <c r="A5" s="2">
        <v>44693.66345775463</v>
      </c>
      <c r="B5" s="3">
        <v>21.0</v>
      </c>
      <c r="C5" s="3" t="s">
        <v>28</v>
      </c>
      <c r="D5" s="3">
        <v>1.0</v>
      </c>
      <c r="E5" s="3">
        <v>5.0</v>
      </c>
      <c r="F5" s="3">
        <v>1.0</v>
      </c>
      <c r="G5" s="3">
        <v>7.0</v>
      </c>
      <c r="H5" s="3">
        <v>5.0</v>
      </c>
      <c r="I5" s="3">
        <v>3.0</v>
      </c>
      <c r="J5" s="3">
        <v>2.0</v>
      </c>
      <c r="K5" s="3">
        <v>1.0</v>
      </c>
      <c r="L5" s="3">
        <v>6.0</v>
      </c>
      <c r="M5" s="3">
        <v>3.0</v>
      </c>
      <c r="N5" s="3">
        <v>6.0</v>
      </c>
      <c r="O5" s="3">
        <v>6.0</v>
      </c>
      <c r="P5" s="3">
        <v>1.0</v>
      </c>
      <c r="Q5" s="3">
        <v>1.0</v>
      </c>
      <c r="R5" s="3">
        <v>6.0</v>
      </c>
      <c r="S5" s="3">
        <v>5.0</v>
      </c>
      <c r="T5" s="3">
        <v>7.0</v>
      </c>
      <c r="U5" s="3">
        <v>1.0</v>
      </c>
      <c r="V5" s="3">
        <v>6.0</v>
      </c>
      <c r="W5" s="3">
        <v>1.0</v>
      </c>
      <c r="X5" s="3">
        <v>4.0</v>
      </c>
      <c r="Y5" s="3">
        <v>2.0</v>
      </c>
      <c r="Z5" s="3">
        <v>5.0</v>
      </c>
      <c r="AA5" s="3">
        <v>2.0</v>
      </c>
      <c r="AB5" s="3">
        <v>6.0</v>
      </c>
    </row>
    <row r="6">
      <c r="A6" s="2">
        <v>44694.47534989583</v>
      </c>
      <c r="B6" s="3">
        <v>23.0</v>
      </c>
      <c r="C6" s="3" t="s">
        <v>28</v>
      </c>
      <c r="D6" s="3">
        <v>6.0</v>
      </c>
      <c r="E6" s="3">
        <v>6.0</v>
      </c>
      <c r="F6" s="3">
        <v>2.0</v>
      </c>
      <c r="G6" s="3">
        <v>6.0</v>
      </c>
      <c r="H6" s="3">
        <v>7.0</v>
      </c>
      <c r="I6" s="3">
        <v>2.0</v>
      </c>
      <c r="J6" s="3">
        <v>6.0</v>
      </c>
      <c r="K6" s="3">
        <v>4.0</v>
      </c>
      <c r="L6" s="3">
        <v>6.0</v>
      </c>
      <c r="M6" s="3">
        <v>3.0</v>
      </c>
      <c r="N6" s="3">
        <v>6.0</v>
      </c>
      <c r="O6" s="3">
        <v>1.0</v>
      </c>
      <c r="P6" s="3">
        <v>1.0</v>
      </c>
      <c r="Q6" s="3">
        <v>1.0</v>
      </c>
      <c r="R6" s="3">
        <v>2.0</v>
      </c>
      <c r="S6" s="3">
        <v>6.0</v>
      </c>
      <c r="T6" s="3">
        <v>6.0</v>
      </c>
      <c r="U6" s="3">
        <v>1.0</v>
      </c>
      <c r="V6" s="3">
        <v>6.0</v>
      </c>
      <c r="W6" s="3">
        <v>2.0</v>
      </c>
      <c r="X6" s="3">
        <v>4.0</v>
      </c>
      <c r="Y6" s="3">
        <v>2.0</v>
      </c>
      <c r="Z6" s="3">
        <v>6.0</v>
      </c>
      <c r="AA6" s="3">
        <v>6.0</v>
      </c>
      <c r="AB6" s="3">
        <v>3.0</v>
      </c>
    </row>
    <row r="7">
      <c r="A7" s="2">
        <v>44694.52125751157</v>
      </c>
      <c r="B7" s="3">
        <v>58.0</v>
      </c>
      <c r="C7" s="3" t="s">
        <v>28</v>
      </c>
      <c r="D7" s="3">
        <v>1.0</v>
      </c>
      <c r="E7" s="3">
        <v>7.0</v>
      </c>
      <c r="F7" s="3">
        <v>1.0</v>
      </c>
      <c r="G7" s="3">
        <v>1.0</v>
      </c>
      <c r="H7" s="3">
        <v>7.0</v>
      </c>
      <c r="I7" s="3">
        <v>1.0</v>
      </c>
      <c r="J7" s="3">
        <v>1.0</v>
      </c>
      <c r="K7" s="3">
        <v>7.0</v>
      </c>
      <c r="L7" s="3">
        <v>7.0</v>
      </c>
      <c r="M7" s="3">
        <v>1.0</v>
      </c>
      <c r="N7" s="3">
        <v>7.0</v>
      </c>
      <c r="O7" s="3">
        <v>1.0</v>
      </c>
      <c r="P7" s="3">
        <v>1.0</v>
      </c>
      <c r="Q7" s="3">
        <v>1.0</v>
      </c>
      <c r="R7" s="3">
        <v>1.0</v>
      </c>
      <c r="S7" s="3">
        <v>7.0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Y7" s="3">
        <v>1.0</v>
      </c>
      <c r="Z7" s="3">
        <v>7.0</v>
      </c>
      <c r="AA7" s="3">
        <v>4.0</v>
      </c>
      <c r="AB7" s="3">
        <v>7.0</v>
      </c>
    </row>
    <row r="8">
      <c r="A8" s="2">
        <v>44699.95295142361</v>
      </c>
      <c r="B8" s="3">
        <v>29.0</v>
      </c>
      <c r="C8" s="3" t="s">
        <v>28</v>
      </c>
      <c r="D8" s="3">
        <v>2.0</v>
      </c>
      <c r="E8" s="3">
        <v>6.0</v>
      </c>
      <c r="F8" s="3">
        <v>1.0</v>
      </c>
      <c r="G8" s="3">
        <v>7.0</v>
      </c>
      <c r="H8" s="3">
        <v>2.0</v>
      </c>
      <c r="I8" s="3">
        <v>1.0</v>
      </c>
      <c r="J8" s="3">
        <v>5.0</v>
      </c>
      <c r="K8" s="3">
        <v>2.0</v>
      </c>
      <c r="L8" s="3">
        <v>7.0</v>
      </c>
      <c r="M8" s="3">
        <v>1.0</v>
      </c>
      <c r="N8" s="3">
        <v>7.0</v>
      </c>
      <c r="O8" s="3">
        <v>7.0</v>
      </c>
      <c r="P8" s="3">
        <v>6.0</v>
      </c>
      <c r="Q8" s="3">
        <v>2.0</v>
      </c>
      <c r="R8" s="3">
        <v>7.0</v>
      </c>
      <c r="S8" s="3">
        <v>7.0</v>
      </c>
      <c r="T8" s="3">
        <v>7.0</v>
      </c>
      <c r="U8" s="3">
        <v>1.0</v>
      </c>
      <c r="V8" s="3">
        <v>1.0</v>
      </c>
      <c r="W8" s="3">
        <v>2.0</v>
      </c>
      <c r="X8" s="3">
        <v>7.0</v>
      </c>
      <c r="Y8" s="3">
        <v>1.0</v>
      </c>
      <c r="Z8" s="3">
        <v>7.0</v>
      </c>
      <c r="AA8" s="3">
        <v>2.0</v>
      </c>
      <c r="AB8" s="3">
        <v>7.0</v>
      </c>
    </row>
    <row r="9">
      <c r="A9" s="2">
        <v>44700.93195748843</v>
      </c>
      <c r="B9" s="3">
        <v>37.0</v>
      </c>
      <c r="C9" s="3" t="s">
        <v>29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4.0</v>
      </c>
      <c r="K9" s="3">
        <v>6.0</v>
      </c>
      <c r="L9" s="3">
        <v>6.0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>
        <v>6.0</v>
      </c>
      <c r="T9" s="3">
        <v>4.0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5.0</v>
      </c>
      <c r="AA9" s="3">
        <v>1.0</v>
      </c>
      <c r="AB9" s="3">
        <v>1.0</v>
      </c>
    </row>
    <row r="10">
      <c r="A10" s="2">
        <v>44705.61451753472</v>
      </c>
      <c r="B10" s="3">
        <v>29.0</v>
      </c>
      <c r="C10" s="3" t="s">
        <v>28</v>
      </c>
      <c r="D10" s="3">
        <v>5.0</v>
      </c>
      <c r="E10" s="3">
        <v>2.0</v>
      </c>
      <c r="F10" s="3">
        <v>2.0</v>
      </c>
      <c r="G10" s="3">
        <v>2.0</v>
      </c>
      <c r="H10" s="3">
        <v>2.0</v>
      </c>
      <c r="I10" s="3">
        <v>1.0</v>
      </c>
      <c r="J10" s="3">
        <v>3.0</v>
      </c>
      <c r="K10" s="3">
        <v>2.0</v>
      </c>
      <c r="L10" s="3">
        <v>6.0</v>
      </c>
      <c r="M10" s="3">
        <v>2.0</v>
      </c>
      <c r="N10" s="3">
        <v>2.0</v>
      </c>
      <c r="O10" s="3">
        <v>6.0</v>
      </c>
      <c r="P10" s="3">
        <v>2.0</v>
      </c>
      <c r="Q10" s="3">
        <v>1.0</v>
      </c>
      <c r="R10" s="3">
        <v>6.0</v>
      </c>
      <c r="S10" s="3">
        <v>4.0</v>
      </c>
      <c r="T10" s="3">
        <v>6.0</v>
      </c>
      <c r="U10" s="3">
        <v>1.0</v>
      </c>
      <c r="V10" s="3">
        <v>2.0</v>
      </c>
      <c r="W10" s="3">
        <v>2.0</v>
      </c>
      <c r="X10" s="3">
        <v>2.0</v>
      </c>
      <c r="Y10" s="3">
        <v>1.0</v>
      </c>
      <c r="Z10" s="3">
        <v>7.0</v>
      </c>
      <c r="AA10" s="3">
        <v>2.0</v>
      </c>
      <c r="AB10" s="3">
        <v>2.0</v>
      </c>
    </row>
    <row r="11">
      <c r="A11" s="2">
        <v>44711.971398368056</v>
      </c>
      <c r="B11" s="3">
        <v>53.0</v>
      </c>
      <c r="C11" s="3" t="s">
        <v>28</v>
      </c>
      <c r="D11" s="3">
        <v>1.0</v>
      </c>
      <c r="E11" s="3">
        <v>6.0</v>
      </c>
      <c r="F11" s="3">
        <v>7.0</v>
      </c>
      <c r="G11" s="3">
        <v>7.0</v>
      </c>
      <c r="H11" s="3">
        <v>7.0</v>
      </c>
      <c r="I11" s="3">
        <v>1.0</v>
      </c>
      <c r="J11" s="3">
        <v>7.0</v>
      </c>
      <c r="K11" s="3">
        <v>7.0</v>
      </c>
      <c r="L11" s="3">
        <v>7.0</v>
      </c>
      <c r="M11" s="3">
        <v>1.0</v>
      </c>
      <c r="N11" s="3">
        <v>4.0</v>
      </c>
      <c r="O11" s="3">
        <v>7.0</v>
      </c>
      <c r="P11" s="3">
        <v>7.0</v>
      </c>
      <c r="Q11" s="3">
        <v>6.0</v>
      </c>
      <c r="R11" s="3">
        <v>7.0</v>
      </c>
      <c r="S11" s="3">
        <v>7.0</v>
      </c>
      <c r="T11" s="3">
        <v>6.0</v>
      </c>
      <c r="U11" s="3">
        <v>1.0</v>
      </c>
      <c r="V11" s="3">
        <v>1.0</v>
      </c>
      <c r="W11" s="3">
        <v>6.0</v>
      </c>
      <c r="X11" s="3">
        <v>2.0</v>
      </c>
      <c r="Y11" s="3">
        <v>1.0</v>
      </c>
      <c r="Z11" s="3">
        <v>6.0</v>
      </c>
      <c r="AA11" s="3">
        <v>6.0</v>
      </c>
      <c r="AB11" s="3">
        <v>7.0</v>
      </c>
    </row>
    <row r="12">
      <c r="A12" s="2">
        <v>44719.94685158565</v>
      </c>
      <c r="B12" s="3">
        <v>39.0</v>
      </c>
      <c r="C12" s="3" t="s">
        <v>28</v>
      </c>
      <c r="D12" s="3">
        <v>7.0</v>
      </c>
      <c r="E12" s="3">
        <v>7.0</v>
      </c>
      <c r="F12" s="3">
        <v>7.0</v>
      </c>
      <c r="G12" s="3">
        <v>1.0</v>
      </c>
      <c r="H12" s="3">
        <v>7.0</v>
      </c>
      <c r="I12" s="3">
        <v>7.0</v>
      </c>
      <c r="J12" s="3">
        <v>1.0</v>
      </c>
      <c r="K12" s="3">
        <v>7.0</v>
      </c>
      <c r="L12" s="3">
        <v>5.0</v>
      </c>
      <c r="M12" s="3">
        <v>1.0</v>
      </c>
      <c r="N12" s="3">
        <v>7.0</v>
      </c>
      <c r="O12" s="3">
        <v>1.0</v>
      </c>
      <c r="P12" s="3">
        <v>1.0</v>
      </c>
      <c r="Q12" s="3">
        <v>1.0</v>
      </c>
      <c r="R12" s="3">
        <v>7.0</v>
      </c>
      <c r="S12" s="3">
        <v>1.0</v>
      </c>
      <c r="T12" s="3">
        <v>2.0</v>
      </c>
      <c r="U12" s="3">
        <v>1.0</v>
      </c>
      <c r="V12" s="3">
        <v>2.0</v>
      </c>
      <c r="W12" s="3">
        <v>6.0</v>
      </c>
      <c r="X12" s="3">
        <v>1.0</v>
      </c>
      <c r="Y12" s="3">
        <v>1.0</v>
      </c>
      <c r="Z12" s="3">
        <v>7.0</v>
      </c>
      <c r="AA12" s="3">
        <v>7.0</v>
      </c>
      <c r="AB12" s="3">
        <v>7.0</v>
      </c>
    </row>
    <row r="13">
      <c r="A13" s="2">
        <v>44726.21375221065</v>
      </c>
      <c r="B13" s="3">
        <v>55.0</v>
      </c>
      <c r="C13" s="3" t="s">
        <v>30</v>
      </c>
      <c r="D13" s="3">
        <v>1.0</v>
      </c>
      <c r="E13" s="3">
        <v>1.0</v>
      </c>
      <c r="F13" s="3">
        <v>1.0</v>
      </c>
      <c r="G13" s="3">
        <v>1.0</v>
      </c>
      <c r="H13" s="3">
        <v>7.0</v>
      </c>
      <c r="I13" s="3">
        <v>1.0</v>
      </c>
      <c r="J13" s="3">
        <v>1.0</v>
      </c>
      <c r="K13" s="3">
        <v>1.0</v>
      </c>
      <c r="L13" s="3">
        <v>7.0</v>
      </c>
      <c r="M13" s="3">
        <v>1.0</v>
      </c>
      <c r="N13" s="3">
        <v>1.0</v>
      </c>
      <c r="O13" s="3">
        <v>1.0</v>
      </c>
      <c r="P13" s="3">
        <v>6.0</v>
      </c>
      <c r="Q13" s="3">
        <v>1.0</v>
      </c>
      <c r="R13" s="3">
        <v>7.0</v>
      </c>
      <c r="S13" s="3">
        <v>7.0</v>
      </c>
      <c r="T13" s="3">
        <v>7.0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7.0</v>
      </c>
    </row>
    <row r="14">
      <c r="A14" s="2">
        <v>44734.50023780092</v>
      </c>
      <c r="B14" s="3">
        <v>49.0</v>
      </c>
      <c r="C14" s="3" t="s">
        <v>28</v>
      </c>
      <c r="D14" s="3">
        <v>3.0</v>
      </c>
      <c r="E14" s="3">
        <v>2.0</v>
      </c>
      <c r="F14" s="3">
        <v>1.0</v>
      </c>
      <c r="G14" s="3">
        <v>6.0</v>
      </c>
      <c r="H14" s="3">
        <v>7.0</v>
      </c>
      <c r="I14" s="3">
        <v>1.0</v>
      </c>
      <c r="J14" s="3">
        <v>6.0</v>
      </c>
      <c r="K14" s="3">
        <v>7.0</v>
      </c>
      <c r="L14" s="3">
        <v>7.0</v>
      </c>
      <c r="M14" s="3">
        <v>1.0</v>
      </c>
      <c r="N14" s="3">
        <v>7.0</v>
      </c>
      <c r="O14" s="3">
        <v>7.0</v>
      </c>
      <c r="P14" s="3">
        <v>6.0</v>
      </c>
      <c r="Q14" s="3">
        <v>1.0</v>
      </c>
      <c r="R14" s="3">
        <v>1.0</v>
      </c>
      <c r="S14" s="3">
        <v>7.0</v>
      </c>
      <c r="T14" s="3">
        <v>6.0</v>
      </c>
      <c r="U14" s="3">
        <v>1.0</v>
      </c>
      <c r="V14" s="3">
        <v>2.0</v>
      </c>
      <c r="W14" s="3">
        <v>1.0</v>
      </c>
      <c r="X14" s="3">
        <v>1.0</v>
      </c>
      <c r="Y14" s="3">
        <v>1.0</v>
      </c>
      <c r="Z14" s="3">
        <v>6.0</v>
      </c>
      <c r="AA14" s="3">
        <v>6.0</v>
      </c>
      <c r="AB14" s="3">
        <v>7.0</v>
      </c>
    </row>
    <row r="15">
      <c r="A15" s="2">
        <v>44740.68051020833</v>
      </c>
      <c r="B15" s="3">
        <v>43.0</v>
      </c>
      <c r="C15" s="3" t="s">
        <v>28</v>
      </c>
      <c r="D15" s="3">
        <v>1.0</v>
      </c>
      <c r="E15" s="3">
        <v>7.0</v>
      </c>
      <c r="F15" s="3">
        <v>1.0</v>
      </c>
      <c r="G15" s="3">
        <v>7.0</v>
      </c>
      <c r="H15" s="3">
        <v>7.0</v>
      </c>
      <c r="I15" s="3">
        <v>1.0</v>
      </c>
      <c r="J15" s="3">
        <v>7.0</v>
      </c>
      <c r="K15" s="3">
        <v>6.0</v>
      </c>
      <c r="L15" s="3">
        <v>7.0</v>
      </c>
      <c r="M15" s="3">
        <v>1.0</v>
      </c>
      <c r="N15" s="3">
        <v>7.0</v>
      </c>
      <c r="O15" s="3">
        <v>2.0</v>
      </c>
      <c r="P15" s="3">
        <v>2.0</v>
      </c>
      <c r="Q15" s="3">
        <v>5.0</v>
      </c>
      <c r="R15" s="3">
        <v>3.0</v>
      </c>
      <c r="S15" s="3">
        <v>7.0</v>
      </c>
      <c r="T15" s="3">
        <v>7.0</v>
      </c>
      <c r="U15" s="3">
        <v>1.0</v>
      </c>
      <c r="V15" s="3">
        <v>7.0</v>
      </c>
      <c r="W15" s="3">
        <v>1.0</v>
      </c>
      <c r="X15" s="3">
        <v>1.0</v>
      </c>
      <c r="Y15" s="3">
        <v>1.0</v>
      </c>
      <c r="Z15" s="3">
        <v>7.0</v>
      </c>
      <c r="AA15" s="3">
        <v>3.0</v>
      </c>
      <c r="AB15" s="3">
        <v>7.0</v>
      </c>
    </row>
    <row r="16">
      <c r="A16" s="2">
        <v>44757.68127726852</v>
      </c>
      <c r="B16" s="3">
        <v>37.0</v>
      </c>
      <c r="C16" s="3" t="s">
        <v>29</v>
      </c>
      <c r="D16" s="3">
        <v>4.0</v>
      </c>
      <c r="E16" s="3">
        <v>5.0</v>
      </c>
      <c r="F16" s="3">
        <v>1.0</v>
      </c>
      <c r="G16" s="3">
        <v>1.0</v>
      </c>
      <c r="H16" s="3">
        <v>5.0</v>
      </c>
      <c r="I16" s="3">
        <v>1.0</v>
      </c>
      <c r="J16" s="3">
        <v>2.0</v>
      </c>
      <c r="K16" s="3">
        <v>1.0</v>
      </c>
      <c r="L16" s="3">
        <v>5.0</v>
      </c>
      <c r="M16" s="3">
        <v>1.0</v>
      </c>
      <c r="N16" s="3">
        <v>4.0</v>
      </c>
      <c r="O16" s="3">
        <v>5.0</v>
      </c>
      <c r="P16" s="3">
        <v>5.0</v>
      </c>
      <c r="Q16" s="3">
        <v>1.0</v>
      </c>
      <c r="R16" s="3">
        <v>6.0</v>
      </c>
      <c r="S16" s="3">
        <v>7.0</v>
      </c>
      <c r="T16" s="3">
        <v>3.0</v>
      </c>
      <c r="U16" s="3">
        <v>1.0</v>
      </c>
      <c r="V16" s="3">
        <v>5.0</v>
      </c>
      <c r="W16" s="3">
        <v>1.0</v>
      </c>
      <c r="X16" s="3">
        <v>5.0</v>
      </c>
      <c r="Y16" s="3">
        <v>1.0</v>
      </c>
      <c r="Z16" s="3">
        <v>6.0</v>
      </c>
      <c r="AA16" s="3">
        <v>1.0</v>
      </c>
      <c r="AB16" s="3">
        <v>6.0</v>
      </c>
    </row>
    <row r="17">
      <c r="A17" s="2">
        <v>44758.65868774305</v>
      </c>
      <c r="B17" s="3">
        <v>19.0</v>
      </c>
      <c r="C17" s="3" t="s">
        <v>28</v>
      </c>
      <c r="D17" s="3">
        <v>1.0</v>
      </c>
      <c r="E17" s="3">
        <v>5.0</v>
      </c>
      <c r="F17" s="3">
        <v>1.0</v>
      </c>
      <c r="G17" s="3">
        <v>4.0</v>
      </c>
      <c r="H17" s="3">
        <v>1.0</v>
      </c>
      <c r="I17" s="3">
        <v>1.0</v>
      </c>
      <c r="J17" s="3">
        <v>1.0</v>
      </c>
      <c r="K17" s="3">
        <v>3.0</v>
      </c>
      <c r="L17" s="3">
        <v>3.0</v>
      </c>
      <c r="M17" s="3">
        <v>1.0</v>
      </c>
      <c r="N17" s="3">
        <v>5.0</v>
      </c>
      <c r="O17" s="3">
        <v>4.0</v>
      </c>
      <c r="P17" s="3">
        <v>1.0</v>
      </c>
      <c r="Q17" s="3">
        <v>1.0</v>
      </c>
      <c r="R17" s="3">
        <v>6.0</v>
      </c>
      <c r="S17" s="3">
        <v>5.0</v>
      </c>
      <c r="T17" s="3">
        <v>2.0</v>
      </c>
      <c r="U17" s="3">
        <v>2.0</v>
      </c>
      <c r="V17" s="3">
        <v>1.0</v>
      </c>
      <c r="W17" s="3">
        <v>1.0</v>
      </c>
      <c r="X17" s="3">
        <v>5.0</v>
      </c>
      <c r="Y17" s="3">
        <v>4.0</v>
      </c>
      <c r="Z17" s="3">
        <v>1.0</v>
      </c>
      <c r="AA17" s="3">
        <v>1.0</v>
      </c>
      <c r="AB17" s="3">
        <v>1.0</v>
      </c>
    </row>
    <row r="18">
      <c r="A18" s="2">
        <v>44778.77889591435</v>
      </c>
      <c r="B18" s="3">
        <v>55.0</v>
      </c>
      <c r="C18" s="3" t="s">
        <v>28</v>
      </c>
      <c r="D18" s="3">
        <v>2.0</v>
      </c>
      <c r="E18" s="3">
        <v>6.0</v>
      </c>
      <c r="F18" s="3">
        <v>1.0</v>
      </c>
      <c r="G18" s="3">
        <v>7.0</v>
      </c>
      <c r="H18" s="3">
        <v>3.0</v>
      </c>
      <c r="I18" s="3">
        <v>1.0</v>
      </c>
      <c r="J18" s="3">
        <v>1.0</v>
      </c>
      <c r="K18" s="3">
        <v>2.0</v>
      </c>
      <c r="L18" s="3">
        <v>4.0</v>
      </c>
      <c r="M18" s="3">
        <v>1.0</v>
      </c>
      <c r="N18" s="3">
        <v>1.0</v>
      </c>
      <c r="O18" s="3">
        <v>1.0</v>
      </c>
      <c r="P18" s="3">
        <v>1.0</v>
      </c>
      <c r="Q18" s="3">
        <v>5.0</v>
      </c>
      <c r="R18" s="3">
        <v>2.0</v>
      </c>
      <c r="S18" s="3">
        <v>1.0</v>
      </c>
      <c r="T18" s="3">
        <v>2.0</v>
      </c>
      <c r="U18" s="3">
        <v>1.0</v>
      </c>
      <c r="V18" s="3">
        <v>1.0</v>
      </c>
      <c r="W18" s="3">
        <v>1.0</v>
      </c>
      <c r="X18" s="3">
        <v>1.0</v>
      </c>
      <c r="Y18" s="3">
        <v>1.0</v>
      </c>
      <c r="Z18" s="3">
        <v>7.0</v>
      </c>
      <c r="AA18" s="3">
        <v>1.0</v>
      </c>
      <c r="AB18" s="3">
        <v>7.0</v>
      </c>
    </row>
    <row r="19">
      <c r="A19" s="2">
        <v>44779.59040339121</v>
      </c>
      <c r="B19" s="3">
        <v>49.0</v>
      </c>
      <c r="C19" s="3" t="s">
        <v>28</v>
      </c>
      <c r="D19" s="3">
        <v>1.0</v>
      </c>
      <c r="E19" s="3">
        <v>2.0</v>
      </c>
      <c r="F19" s="3">
        <v>4.0</v>
      </c>
      <c r="G19" s="3">
        <v>6.0</v>
      </c>
      <c r="H19" s="3">
        <v>4.0</v>
      </c>
      <c r="I19" s="3">
        <v>3.0</v>
      </c>
      <c r="J19" s="3">
        <v>2.0</v>
      </c>
      <c r="K19" s="3">
        <v>6.0</v>
      </c>
      <c r="L19" s="3">
        <v>4.0</v>
      </c>
      <c r="M19" s="3">
        <v>1.0</v>
      </c>
      <c r="N19" s="3">
        <v>6.0</v>
      </c>
      <c r="O19" s="3">
        <v>6.0</v>
      </c>
      <c r="P19" s="3">
        <v>1.0</v>
      </c>
      <c r="Q19" s="3">
        <v>1.0</v>
      </c>
      <c r="R19" s="3">
        <v>6.0</v>
      </c>
      <c r="S19" s="3">
        <v>5.0</v>
      </c>
      <c r="T19" s="3">
        <v>5.0</v>
      </c>
      <c r="U19" s="3">
        <v>1.0</v>
      </c>
      <c r="V19" s="3">
        <v>3.0</v>
      </c>
      <c r="W19" s="3">
        <v>2.0</v>
      </c>
      <c r="X19" s="3">
        <v>2.0</v>
      </c>
      <c r="Y19" s="3">
        <v>1.0</v>
      </c>
      <c r="Z19" s="3">
        <v>5.0</v>
      </c>
      <c r="AA19" s="3">
        <v>5.0</v>
      </c>
      <c r="AB19" s="3">
        <v>6.0</v>
      </c>
    </row>
    <row r="20">
      <c r="A20" s="2">
        <v>44781.55996586806</v>
      </c>
      <c r="B20" s="3">
        <v>25.0</v>
      </c>
      <c r="C20" s="3" t="s">
        <v>28</v>
      </c>
      <c r="D20" s="3">
        <v>1.0</v>
      </c>
      <c r="E20" s="3">
        <v>7.0</v>
      </c>
      <c r="F20" s="3">
        <v>1.0</v>
      </c>
      <c r="G20" s="3">
        <v>7.0</v>
      </c>
      <c r="H20" s="3">
        <v>7.0</v>
      </c>
      <c r="I20" s="3">
        <v>1.0</v>
      </c>
      <c r="J20" s="3">
        <v>4.0</v>
      </c>
      <c r="K20" s="3">
        <v>7.0</v>
      </c>
      <c r="L20" s="3">
        <v>7.0</v>
      </c>
      <c r="M20" s="3">
        <v>1.0</v>
      </c>
      <c r="N20" s="3">
        <v>2.0</v>
      </c>
      <c r="O20" s="3">
        <v>1.0</v>
      </c>
      <c r="P20" s="3">
        <v>3.0</v>
      </c>
      <c r="Q20" s="3">
        <v>3.0</v>
      </c>
      <c r="R20" s="3">
        <v>1.0</v>
      </c>
      <c r="S20" s="3">
        <v>7.0</v>
      </c>
      <c r="T20" s="3">
        <v>7.0</v>
      </c>
      <c r="U20" s="3">
        <v>1.0</v>
      </c>
      <c r="V20" s="3">
        <v>1.0</v>
      </c>
      <c r="W20" s="3">
        <v>1.0</v>
      </c>
      <c r="X20" s="3">
        <v>1.0</v>
      </c>
      <c r="Y20" s="3">
        <v>1.0</v>
      </c>
      <c r="Z20" s="3">
        <v>7.0</v>
      </c>
      <c r="AA20" s="3">
        <v>3.0</v>
      </c>
      <c r="AB20" s="3">
        <v>6.0</v>
      </c>
    </row>
    <row r="21">
      <c r="A21" s="2">
        <v>44785.49070548611</v>
      </c>
      <c r="B21" s="3">
        <v>59.0</v>
      </c>
      <c r="C21" s="3" t="s">
        <v>28</v>
      </c>
      <c r="D21" s="3">
        <v>6.0</v>
      </c>
      <c r="E21" s="3">
        <v>7.0</v>
      </c>
      <c r="F21" s="3">
        <v>1.0</v>
      </c>
      <c r="G21" s="3">
        <v>2.0</v>
      </c>
      <c r="H21" s="3">
        <v>6.0</v>
      </c>
      <c r="I21" s="3">
        <v>2.0</v>
      </c>
      <c r="J21" s="3">
        <v>6.0</v>
      </c>
      <c r="K21" s="3">
        <v>6.0</v>
      </c>
      <c r="L21" s="3">
        <v>6.0</v>
      </c>
      <c r="M21" s="3">
        <v>6.0</v>
      </c>
      <c r="N21" s="3">
        <v>6.0</v>
      </c>
      <c r="O21" s="3">
        <v>1.0</v>
      </c>
      <c r="P21" s="3">
        <v>6.0</v>
      </c>
      <c r="Q21" s="3">
        <v>3.0</v>
      </c>
      <c r="R21" s="3">
        <v>3.0</v>
      </c>
      <c r="S21" s="3">
        <v>7.0</v>
      </c>
      <c r="T21" s="3">
        <v>6.0</v>
      </c>
      <c r="U21" s="3">
        <v>1.0</v>
      </c>
      <c r="V21" s="3">
        <v>5.0</v>
      </c>
      <c r="W21" s="3">
        <v>1.0</v>
      </c>
      <c r="X21" s="3">
        <v>2.0</v>
      </c>
      <c r="Y21" s="3">
        <v>1.0</v>
      </c>
      <c r="Z21" s="3">
        <v>7.0</v>
      </c>
      <c r="AA21" s="3">
        <v>6.0</v>
      </c>
      <c r="AB21" s="3">
        <v>6.0</v>
      </c>
    </row>
    <row r="22">
      <c r="A22" s="2">
        <v>44788.1755543287</v>
      </c>
      <c r="B22" s="3">
        <v>21.0</v>
      </c>
      <c r="C22" s="3" t="s">
        <v>28</v>
      </c>
      <c r="D22" s="3">
        <v>1.0</v>
      </c>
      <c r="E22" s="3">
        <v>6.0</v>
      </c>
      <c r="F22" s="3">
        <v>3.0</v>
      </c>
      <c r="G22" s="3">
        <v>6.0</v>
      </c>
      <c r="H22" s="3">
        <v>7.0</v>
      </c>
      <c r="I22" s="3">
        <v>7.0</v>
      </c>
      <c r="J22" s="3">
        <v>3.0</v>
      </c>
      <c r="K22" s="3">
        <v>2.0</v>
      </c>
      <c r="L22" s="3">
        <v>7.0</v>
      </c>
      <c r="M22" s="3">
        <v>1.0</v>
      </c>
      <c r="N22" s="3">
        <v>7.0</v>
      </c>
      <c r="O22" s="3">
        <v>6.0</v>
      </c>
      <c r="P22" s="3">
        <v>5.0</v>
      </c>
      <c r="Q22" s="3">
        <v>7.0</v>
      </c>
      <c r="R22" s="3">
        <v>7.0</v>
      </c>
      <c r="S22" s="3">
        <v>7.0</v>
      </c>
      <c r="T22" s="3">
        <v>7.0</v>
      </c>
      <c r="U22" s="3">
        <v>1.0</v>
      </c>
      <c r="V22" s="3">
        <v>5.0</v>
      </c>
      <c r="W22" s="3">
        <v>1.0</v>
      </c>
      <c r="X22" s="3">
        <v>7.0</v>
      </c>
      <c r="Y22" s="3">
        <v>5.0</v>
      </c>
      <c r="Z22" s="3">
        <v>7.0</v>
      </c>
      <c r="AA22" s="3">
        <v>6.0</v>
      </c>
      <c r="AB22" s="3">
        <v>5.0</v>
      </c>
    </row>
    <row r="23">
      <c r="A23" s="2">
        <v>44788.57832053241</v>
      </c>
      <c r="B23" s="3">
        <v>56.0</v>
      </c>
      <c r="C23" s="3" t="s">
        <v>28</v>
      </c>
      <c r="D23" s="3">
        <v>6.0</v>
      </c>
      <c r="E23" s="3">
        <v>7.0</v>
      </c>
      <c r="F23" s="3">
        <v>3.0</v>
      </c>
      <c r="G23" s="3">
        <v>7.0</v>
      </c>
      <c r="H23" s="3">
        <v>6.0</v>
      </c>
      <c r="I23" s="3">
        <v>2.0</v>
      </c>
      <c r="J23" s="3">
        <v>6.0</v>
      </c>
      <c r="K23" s="3">
        <v>7.0</v>
      </c>
      <c r="L23" s="3">
        <v>6.0</v>
      </c>
      <c r="M23" s="3">
        <v>1.0</v>
      </c>
      <c r="N23" s="3">
        <v>5.0</v>
      </c>
      <c r="O23" s="3">
        <v>5.0</v>
      </c>
      <c r="P23" s="3">
        <v>6.0</v>
      </c>
      <c r="Q23" s="3">
        <v>6.0</v>
      </c>
      <c r="R23" s="3">
        <v>1.0</v>
      </c>
      <c r="S23" s="3">
        <v>7.0</v>
      </c>
      <c r="T23" s="3">
        <v>6.0</v>
      </c>
      <c r="U23" s="3">
        <v>1.0</v>
      </c>
      <c r="V23" s="3">
        <v>1.0</v>
      </c>
      <c r="W23" s="3">
        <v>1.0</v>
      </c>
      <c r="X23" s="3">
        <v>2.0</v>
      </c>
      <c r="Y23" s="3">
        <v>1.0</v>
      </c>
      <c r="Z23" s="3">
        <v>5.0</v>
      </c>
      <c r="AA23" s="3">
        <v>3.0</v>
      </c>
      <c r="AB23" s="3">
        <v>7.0</v>
      </c>
    </row>
    <row r="24">
      <c r="A24" s="2">
        <v>44790.886042557875</v>
      </c>
      <c r="B24" s="3">
        <v>45.0</v>
      </c>
      <c r="C24" s="3" t="s">
        <v>28</v>
      </c>
      <c r="D24" s="3">
        <v>1.0</v>
      </c>
      <c r="E24" s="3">
        <v>6.0</v>
      </c>
      <c r="F24" s="3">
        <v>1.0</v>
      </c>
      <c r="G24" s="3">
        <v>1.0</v>
      </c>
      <c r="H24" s="3">
        <v>5.0</v>
      </c>
      <c r="I24" s="3">
        <v>1.0</v>
      </c>
      <c r="J24" s="3">
        <v>2.0</v>
      </c>
      <c r="K24" s="3">
        <v>6.0</v>
      </c>
      <c r="L24" s="3">
        <v>7.0</v>
      </c>
      <c r="M24" s="3">
        <v>1.0</v>
      </c>
      <c r="N24" s="3">
        <v>4.0</v>
      </c>
      <c r="O24" s="3">
        <v>5.0</v>
      </c>
      <c r="P24" s="3">
        <v>3.0</v>
      </c>
      <c r="Q24" s="3">
        <v>1.0</v>
      </c>
      <c r="R24" s="3">
        <v>1.0</v>
      </c>
      <c r="S24" s="3">
        <v>2.0</v>
      </c>
      <c r="T24" s="3">
        <v>2.0</v>
      </c>
      <c r="U24" s="3">
        <v>2.0</v>
      </c>
      <c r="V24" s="3">
        <v>5.0</v>
      </c>
      <c r="W24" s="3">
        <v>2.0</v>
      </c>
      <c r="X24" s="3">
        <v>1.0</v>
      </c>
      <c r="Y24" s="3">
        <v>1.0</v>
      </c>
      <c r="Z24" s="3">
        <v>6.0</v>
      </c>
      <c r="AA24" s="3">
        <v>1.0</v>
      </c>
      <c r="AB24" s="3">
        <v>6.0</v>
      </c>
    </row>
  </sheetData>
  <autoFilter ref="$A$1:$AB$2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10.75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15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</row>
    <row r="2">
      <c r="A2" s="2">
        <v>44686.36087724537</v>
      </c>
      <c r="B2" s="3">
        <v>63.0</v>
      </c>
      <c r="C2" s="3" t="s">
        <v>28</v>
      </c>
      <c r="D2" s="3">
        <v>1.0</v>
      </c>
      <c r="E2" s="3">
        <v>2.0</v>
      </c>
      <c r="F2" s="3">
        <v>5.0</v>
      </c>
      <c r="G2" s="3">
        <v>1.0</v>
      </c>
      <c r="H2" s="3">
        <v>1.0</v>
      </c>
      <c r="I2" s="3">
        <v>6.0</v>
      </c>
      <c r="J2" s="3">
        <v>1.0</v>
      </c>
      <c r="K2" s="3">
        <v>1.0</v>
      </c>
      <c r="L2" s="3">
        <v>5.0</v>
      </c>
      <c r="M2" s="3">
        <v>1.0</v>
      </c>
      <c r="N2" s="3">
        <v>6.0</v>
      </c>
      <c r="O2" s="3">
        <v>5.0</v>
      </c>
      <c r="P2" s="3">
        <v>1.0</v>
      </c>
      <c r="Q2" s="3">
        <v>2.0</v>
      </c>
      <c r="R2" s="3">
        <v>3.0</v>
      </c>
      <c r="S2" s="3">
        <v>1.0</v>
      </c>
      <c r="T2" s="3">
        <v>5.0</v>
      </c>
      <c r="U2" s="3">
        <v>5.0</v>
      </c>
      <c r="V2" s="3">
        <v>1.0</v>
      </c>
      <c r="W2" s="3">
        <v>2.0</v>
      </c>
      <c r="X2" s="3">
        <v>3.0</v>
      </c>
      <c r="Y2" s="3">
        <v>5.0</v>
      </c>
      <c r="Z2" s="3">
        <v>1.0</v>
      </c>
      <c r="AA2" s="3">
        <v>3.0</v>
      </c>
      <c r="AB2" s="3">
        <v>3.0</v>
      </c>
    </row>
    <row r="3">
      <c r="A3" s="2">
        <v>44792.72177399306</v>
      </c>
      <c r="B3" s="3">
        <v>32.0</v>
      </c>
      <c r="C3" s="3" t="s">
        <v>29</v>
      </c>
      <c r="D3" s="3">
        <v>7.0</v>
      </c>
      <c r="E3" s="3">
        <v>7.0</v>
      </c>
      <c r="F3" s="3">
        <v>7.0</v>
      </c>
      <c r="G3" s="3">
        <v>7.0</v>
      </c>
      <c r="H3" s="3">
        <v>7.0</v>
      </c>
      <c r="I3" s="3">
        <v>7.0</v>
      </c>
      <c r="J3" s="3">
        <v>1.0</v>
      </c>
      <c r="K3" s="3">
        <v>1.0</v>
      </c>
      <c r="L3" s="3">
        <v>7.0</v>
      </c>
      <c r="M3" s="3">
        <v>7.0</v>
      </c>
      <c r="N3" s="3">
        <v>7.0</v>
      </c>
      <c r="O3" s="3">
        <v>7.0</v>
      </c>
      <c r="P3" s="3">
        <v>7.0</v>
      </c>
      <c r="Q3" s="3">
        <v>7.0</v>
      </c>
      <c r="R3" s="3">
        <v>7.0</v>
      </c>
      <c r="S3" s="3">
        <v>1.0</v>
      </c>
      <c r="T3" s="3">
        <v>7.0</v>
      </c>
      <c r="U3" s="3">
        <v>1.0</v>
      </c>
      <c r="V3" s="3">
        <v>7.0</v>
      </c>
      <c r="W3" s="3">
        <v>1.0</v>
      </c>
      <c r="X3" s="3">
        <v>1.0</v>
      </c>
      <c r="Y3" s="3">
        <v>7.0</v>
      </c>
      <c r="Z3" s="3">
        <v>1.0</v>
      </c>
      <c r="AA3" s="3">
        <v>7.0</v>
      </c>
      <c r="AB3" s="3">
        <v>7.0</v>
      </c>
    </row>
    <row r="4">
      <c r="A4" s="2">
        <v>44793.53577826389</v>
      </c>
      <c r="B4" s="3">
        <v>25.0</v>
      </c>
      <c r="C4" s="3" t="s">
        <v>28</v>
      </c>
      <c r="D4" s="3">
        <v>7.0</v>
      </c>
      <c r="E4" s="3">
        <v>7.0</v>
      </c>
      <c r="F4" s="3">
        <v>6.0</v>
      </c>
      <c r="G4" s="3">
        <v>1.0</v>
      </c>
      <c r="H4" s="3">
        <v>1.0</v>
      </c>
      <c r="I4" s="3">
        <v>7.0</v>
      </c>
      <c r="J4" s="3">
        <v>3.0</v>
      </c>
      <c r="K4" s="3">
        <v>1.0</v>
      </c>
      <c r="L4" s="3">
        <v>6.0</v>
      </c>
      <c r="M4" s="3">
        <v>6.0</v>
      </c>
      <c r="N4" s="3">
        <v>2.0</v>
      </c>
      <c r="O4" s="3">
        <v>3.0</v>
      </c>
      <c r="P4" s="3">
        <v>5.0</v>
      </c>
      <c r="Q4" s="3">
        <v>1.0</v>
      </c>
      <c r="R4" s="3">
        <v>7.0</v>
      </c>
      <c r="S4" s="3">
        <v>5.0</v>
      </c>
      <c r="T4" s="3">
        <v>7.0</v>
      </c>
      <c r="U4" s="3">
        <v>6.0</v>
      </c>
      <c r="V4" s="3">
        <v>7.0</v>
      </c>
      <c r="W4" s="3">
        <v>2.0</v>
      </c>
      <c r="X4" s="3">
        <v>7.0</v>
      </c>
      <c r="Y4" s="3">
        <v>7.0</v>
      </c>
      <c r="Z4" s="3">
        <v>2.0</v>
      </c>
      <c r="AA4" s="3">
        <v>3.0</v>
      </c>
      <c r="AB4" s="3">
        <v>7.0</v>
      </c>
    </row>
    <row r="5">
      <c r="A5" s="2">
        <v>44796.04214348379</v>
      </c>
      <c r="B5" s="3">
        <v>21.0</v>
      </c>
      <c r="C5" s="3" t="s">
        <v>29</v>
      </c>
      <c r="D5" s="3">
        <v>3.0</v>
      </c>
      <c r="E5" s="3">
        <v>2.0</v>
      </c>
      <c r="F5" s="3">
        <v>7.0</v>
      </c>
      <c r="G5" s="3">
        <v>1.0</v>
      </c>
      <c r="H5" s="3">
        <v>7.0</v>
      </c>
      <c r="I5" s="3">
        <v>2.0</v>
      </c>
      <c r="J5" s="3">
        <v>7.0</v>
      </c>
      <c r="K5" s="3">
        <v>1.0</v>
      </c>
      <c r="L5" s="3">
        <v>7.0</v>
      </c>
      <c r="M5" s="3">
        <v>7.0</v>
      </c>
      <c r="N5" s="3">
        <v>7.0</v>
      </c>
      <c r="O5" s="3">
        <v>7.0</v>
      </c>
      <c r="P5" s="3">
        <v>7.0</v>
      </c>
      <c r="Q5" s="3">
        <v>7.0</v>
      </c>
      <c r="R5" s="3">
        <v>1.0</v>
      </c>
      <c r="S5" s="3">
        <v>1.0</v>
      </c>
      <c r="T5" s="3">
        <v>7.0</v>
      </c>
      <c r="U5" s="3">
        <v>5.0</v>
      </c>
      <c r="V5" s="3">
        <v>6.0</v>
      </c>
      <c r="W5" s="3">
        <v>7.0</v>
      </c>
      <c r="X5" s="3">
        <v>7.0</v>
      </c>
      <c r="Y5" s="3">
        <v>7.0</v>
      </c>
      <c r="Z5" s="3">
        <v>4.0</v>
      </c>
      <c r="AA5" s="3">
        <v>7.0</v>
      </c>
      <c r="AB5" s="3">
        <v>7.0</v>
      </c>
    </row>
    <row r="6">
      <c r="A6" s="2">
        <v>44796.57329289352</v>
      </c>
      <c r="B6" s="3">
        <v>19.0</v>
      </c>
      <c r="C6" s="3" t="s">
        <v>28</v>
      </c>
      <c r="D6" s="3">
        <v>5.0</v>
      </c>
      <c r="E6" s="3">
        <v>3.0</v>
      </c>
      <c r="F6" s="3">
        <v>7.0</v>
      </c>
      <c r="G6" s="3">
        <v>1.0</v>
      </c>
      <c r="H6" s="3">
        <v>6.0</v>
      </c>
      <c r="I6" s="3">
        <v>6.0</v>
      </c>
      <c r="J6" s="3">
        <v>2.0</v>
      </c>
      <c r="K6" s="3">
        <v>1.0</v>
      </c>
      <c r="L6" s="3">
        <v>5.0</v>
      </c>
      <c r="M6" s="3">
        <v>2.0</v>
      </c>
      <c r="N6" s="3">
        <v>6.0</v>
      </c>
      <c r="O6" s="3">
        <v>2.0</v>
      </c>
      <c r="P6" s="3">
        <v>4.0</v>
      </c>
      <c r="Q6" s="3">
        <v>7.0</v>
      </c>
      <c r="R6" s="3">
        <v>1.0</v>
      </c>
      <c r="S6" s="3">
        <v>1.0</v>
      </c>
      <c r="T6" s="3">
        <v>3.0</v>
      </c>
      <c r="U6" s="3">
        <v>1.0</v>
      </c>
      <c r="V6" s="3">
        <v>4.0</v>
      </c>
      <c r="W6" s="3">
        <v>6.0</v>
      </c>
      <c r="X6" s="3">
        <v>5.0</v>
      </c>
      <c r="Y6" s="3">
        <v>6.0</v>
      </c>
      <c r="Z6" s="3">
        <v>4.0</v>
      </c>
      <c r="AA6" s="3">
        <v>7.0</v>
      </c>
      <c r="AB6" s="3">
        <v>4.0</v>
      </c>
    </row>
    <row r="7">
      <c r="A7" s="2">
        <v>44796.61351872685</v>
      </c>
      <c r="B7" s="3">
        <v>26.0</v>
      </c>
      <c r="C7" s="3" t="s">
        <v>28</v>
      </c>
      <c r="D7" s="3">
        <v>6.0</v>
      </c>
      <c r="E7" s="3">
        <v>6.0</v>
      </c>
      <c r="F7" s="3">
        <v>6.0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5.0</v>
      </c>
      <c r="V7" s="3">
        <v>1.0</v>
      </c>
      <c r="W7" s="3">
        <v>5.0</v>
      </c>
      <c r="X7" s="3">
        <v>2.0</v>
      </c>
      <c r="Y7" s="3">
        <v>1.0</v>
      </c>
      <c r="Z7" s="3">
        <v>1.0</v>
      </c>
      <c r="AA7" s="3">
        <v>6.0</v>
      </c>
      <c r="AB7" s="3">
        <v>1.0</v>
      </c>
    </row>
    <row r="8">
      <c r="A8" s="2">
        <v>44803.56870711806</v>
      </c>
      <c r="B8" s="3">
        <v>32.0</v>
      </c>
      <c r="C8" s="3" t="s">
        <v>28</v>
      </c>
      <c r="D8" s="3">
        <v>5.0</v>
      </c>
      <c r="E8" s="3">
        <v>7.0</v>
      </c>
      <c r="F8" s="3">
        <v>1.0</v>
      </c>
      <c r="G8" s="3">
        <v>3.0</v>
      </c>
      <c r="H8" s="3">
        <v>7.0</v>
      </c>
      <c r="I8" s="3">
        <v>7.0</v>
      </c>
      <c r="J8" s="3">
        <v>7.0</v>
      </c>
      <c r="K8" s="3">
        <v>1.0</v>
      </c>
      <c r="L8" s="3">
        <v>7.0</v>
      </c>
      <c r="M8" s="3">
        <v>1.0</v>
      </c>
      <c r="N8" s="3">
        <v>7.0</v>
      </c>
      <c r="O8" s="3">
        <v>1.0</v>
      </c>
      <c r="P8" s="3">
        <v>1.0</v>
      </c>
      <c r="Q8" s="3">
        <v>7.0</v>
      </c>
      <c r="R8" s="3">
        <v>7.0</v>
      </c>
      <c r="S8" s="3">
        <v>7.0</v>
      </c>
      <c r="T8" s="3">
        <v>7.0</v>
      </c>
      <c r="U8" s="3">
        <v>7.0</v>
      </c>
      <c r="V8" s="3">
        <v>1.0</v>
      </c>
      <c r="W8" s="3">
        <v>7.0</v>
      </c>
      <c r="X8" s="3">
        <v>4.0</v>
      </c>
      <c r="Y8" s="3">
        <v>3.0</v>
      </c>
      <c r="Z8" s="3">
        <v>5.0</v>
      </c>
      <c r="AA8" s="3">
        <v>7.0</v>
      </c>
      <c r="AB8" s="3">
        <v>4.0</v>
      </c>
    </row>
    <row r="9">
      <c r="A9" s="2">
        <v>44804.46429482639</v>
      </c>
      <c r="B9" s="3">
        <v>18.0</v>
      </c>
      <c r="C9" s="3" t="s">
        <v>28</v>
      </c>
      <c r="D9" s="3">
        <v>2.0</v>
      </c>
      <c r="E9" s="3">
        <v>4.0</v>
      </c>
      <c r="F9" s="3">
        <v>4.0</v>
      </c>
      <c r="G9" s="3">
        <v>1.0</v>
      </c>
      <c r="H9" s="3">
        <v>5.0</v>
      </c>
      <c r="I9" s="3">
        <v>5.0</v>
      </c>
      <c r="J9" s="3">
        <v>1.0</v>
      </c>
      <c r="K9" s="3">
        <v>1.0</v>
      </c>
      <c r="L9" s="3">
        <v>5.0</v>
      </c>
      <c r="M9" s="3">
        <v>1.0</v>
      </c>
      <c r="N9" s="3">
        <v>4.0</v>
      </c>
      <c r="O9" s="3">
        <v>3.0</v>
      </c>
      <c r="P9" s="3">
        <v>1.0</v>
      </c>
      <c r="Q9" s="3">
        <v>5.0</v>
      </c>
      <c r="R9" s="3">
        <v>5.0</v>
      </c>
      <c r="S9" s="3">
        <v>1.0</v>
      </c>
      <c r="T9" s="3">
        <v>3.0</v>
      </c>
      <c r="U9" s="3">
        <v>2.0</v>
      </c>
      <c r="V9" s="3">
        <v>1.0</v>
      </c>
      <c r="W9" s="3">
        <v>7.0</v>
      </c>
      <c r="X9" s="3">
        <v>4.0</v>
      </c>
      <c r="Y9" s="3">
        <v>7.0</v>
      </c>
      <c r="Z9" s="3">
        <v>1.0</v>
      </c>
      <c r="AA9" s="3">
        <v>7.0</v>
      </c>
      <c r="AB9" s="3">
        <v>1.0</v>
      </c>
    </row>
    <row r="10">
      <c r="A10" s="2">
        <v>44805.59572232639</v>
      </c>
      <c r="B10" s="3">
        <v>55.0</v>
      </c>
      <c r="C10" s="3" t="s">
        <v>28</v>
      </c>
      <c r="D10" s="3">
        <v>7.0</v>
      </c>
      <c r="E10" s="3">
        <v>7.0</v>
      </c>
      <c r="F10" s="3">
        <v>7.0</v>
      </c>
      <c r="G10" s="3">
        <v>1.0</v>
      </c>
      <c r="H10" s="3">
        <v>1.0</v>
      </c>
      <c r="I10" s="3">
        <v>7.0</v>
      </c>
      <c r="J10" s="3">
        <v>1.0</v>
      </c>
      <c r="K10" s="3">
        <v>1.0</v>
      </c>
      <c r="L10" s="3">
        <v>5.0</v>
      </c>
      <c r="M10" s="3">
        <v>5.0</v>
      </c>
      <c r="N10" s="3">
        <v>1.0</v>
      </c>
      <c r="O10" s="3">
        <v>7.0</v>
      </c>
      <c r="P10" s="3">
        <v>1.0</v>
      </c>
      <c r="Q10" s="3">
        <v>6.0</v>
      </c>
      <c r="R10" s="3">
        <v>1.0</v>
      </c>
      <c r="S10" s="3">
        <v>1.0</v>
      </c>
      <c r="T10" s="3">
        <v>1.0</v>
      </c>
      <c r="U10" s="3">
        <v>1.0</v>
      </c>
      <c r="V10" s="3">
        <v>4.0</v>
      </c>
      <c r="W10" s="3">
        <v>1.0</v>
      </c>
      <c r="X10" s="3">
        <v>7.0</v>
      </c>
      <c r="Y10" s="3">
        <v>1.0</v>
      </c>
      <c r="Z10" s="3">
        <v>1.0</v>
      </c>
      <c r="AA10" s="3">
        <v>7.0</v>
      </c>
      <c r="AB10" s="3">
        <v>7.0</v>
      </c>
    </row>
    <row r="11">
      <c r="A11" s="2">
        <v>44806.62152296296</v>
      </c>
      <c r="B11" s="3">
        <v>48.0</v>
      </c>
      <c r="C11" s="3" t="s">
        <v>30</v>
      </c>
      <c r="D11" s="3">
        <v>6.0</v>
      </c>
      <c r="E11" s="3">
        <v>6.0</v>
      </c>
      <c r="F11" s="3">
        <v>4.0</v>
      </c>
      <c r="G11" s="3">
        <v>1.0</v>
      </c>
      <c r="H11" s="3">
        <v>2.0</v>
      </c>
      <c r="I11" s="3">
        <v>6.0</v>
      </c>
      <c r="J11" s="3">
        <v>5.0</v>
      </c>
      <c r="K11" s="3">
        <v>1.0</v>
      </c>
      <c r="L11" s="3">
        <v>6.0</v>
      </c>
      <c r="M11" s="3">
        <v>5.0</v>
      </c>
      <c r="N11" s="3">
        <v>6.0</v>
      </c>
      <c r="O11" s="3">
        <v>5.0</v>
      </c>
      <c r="P11" s="3">
        <v>2.0</v>
      </c>
      <c r="Q11" s="3">
        <v>6.0</v>
      </c>
      <c r="R11" s="3">
        <v>3.0</v>
      </c>
      <c r="S11" s="3">
        <v>3.0</v>
      </c>
      <c r="T11" s="3">
        <v>6.0</v>
      </c>
      <c r="U11" s="3">
        <v>6.0</v>
      </c>
      <c r="V11" s="3">
        <v>5.0</v>
      </c>
      <c r="W11" s="3">
        <v>2.0</v>
      </c>
      <c r="X11" s="3">
        <v>3.0</v>
      </c>
      <c r="Y11" s="3">
        <v>5.0</v>
      </c>
      <c r="Z11" s="3">
        <v>2.0</v>
      </c>
      <c r="AA11" s="3">
        <v>6.0</v>
      </c>
      <c r="AB11" s="3">
        <v>6.0</v>
      </c>
    </row>
    <row r="12">
      <c r="A12" s="2">
        <v>44809.57252045139</v>
      </c>
      <c r="B12" s="3">
        <v>26.0</v>
      </c>
      <c r="C12" s="3" t="s">
        <v>28</v>
      </c>
      <c r="D12" s="3">
        <v>5.0</v>
      </c>
      <c r="E12" s="3">
        <v>7.0</v>
      </c>
      <c r="F12" s="3">
        <v>7.0</v>
      </c>
      <c r="G12" s="3">
        <v>1.0</v>
      </c>
      <c r="H12" s="3">
        <v>2.0</v>
      </c>
      <c r="I12" s="3">
        <v>7.0</v>
      </c>
      <c r="J12" s="3">
        <v>1.0</v>
      </c>
      <c r="K12" s="3">
        <v>1.0</v>
      </c>
      <c r="L12" s="3">
        <v>4.0</v>
      </c>
      <c r="M12" s="3">
        <v>6.0</v>
      </c>
      <c r="N12" s="3">
        <v>6.0</v>
      </c>
      <c r="O12" s="3">
        <v>6.0</v>
      </c>
      <c r="P12" s="3">
        <v>1.0</v>
      </c>
      <c r="Q12" s="3">
        <v>4.0</v>
      </c>
      <c r="R12" s="3">
        <v>7.0</v>
      </c>
      <c r="S12" s="3">
        <v>1.0</v>
      </c>
      <c r="T12" s="3">
        <v>5.0</v>
      </c>
      <c r="U12" s="3">
        <v>6.0</v>
      </c>
      <c r="V12" s="3">
        <v>5.0</v>
      </c>
      <c r="W12" s="3">
        <v>1.0</v>
      </c>
      <c r="X12" s="3">
        <v>6.0</v>
      </c>
      <c r="Y12" s="3">
        <v>7.0</v>
      </c>
      <c r="Z12" s="3">
        <v>3.0</v>
      </c>
      <c r="AA12" s="3">
        <v>7.0</v>
      </c>
      <c r="AB12" s="3">
        <v>6.0</v>
      </c>
    </row>
    <row r="13">
      <c r="A13" s="2">
        <v>44812.70432855324</v>
      </c>
      <c r="B13" s="3">
        <v>47.0</v>
      </c>
      <c r="C13" s="3" t="s">
        <v>28</v>
      </c>
      <c r="D13" s="3">
        <v>7.0</v>
      </c>
      <c r="E13" s="3">
        <v>7.0</v>
      </c>
      <c r="F13" s="3">
        <v>7.0</v>
      </c>
      <c r="G13" s="3">
        <v>1.0</v>
      </c>
      <c r="H13" s="3">
        <v>1.0</v>
      </c>
      <c r="I13" s="3">
        <v>7.0</v>
      </c>
      <c r="J13" s="3">
        <v>2.0</v>
      </c>
      <c r="K13" s="3">
        <v>1.0</v>
      </c>
      <c r="L13" s="3">
        <v>7.0</v>
      </c>
      <c r="M13" s="3">
        <v>2.0</v>
      </c>
      <c r="N13" s="3">
        <v>1.0</v>
      </c>
      <c r="O13" s="3">
        <v>6.0</v>
      </c>
      <c r="P13" s="3">
        <v>6.0</v>
      </c>
      <c r="Q13" s="3">
        <v>1.0</v>
      </c>
      <c r="R13" s="3">
        <v>2.0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7.0</v>
      </c>
      <c r="Y13" s="3">
        <v>7.0</v>
      </c>
      <c r="Z13" s="3">
        <v>1.0</v>
      </c>
      <c r="AA13" s="3">
        <v>7.0</v>
      </c>
      <c r="AB13" s="3">
        <v>6.0</v>
      </c>
    </row>
    <row r="14">
      <c r="A14" s="2">
        <v>44813.78595950232</v>
      </c>
      <c r="B14" s="3">
        <v>29.0</v>
      </c>
      <c r="C14" s="3" t="s">
        <v>28</v>
      </c>
      <c r="D14" s="3">
        <v>3.0</v>
      </c>
      <c r="E14" s="3">
        <v>5.0</v>
      </c>
      <c r="F14" s="3">
        <v>6.0</v>
      </c>
      <c r="G14" s="3">
        <v>1.0</v>
      </c>
      <c r="H14" s="3">
        <v>1.0</v>
      </c>
      <c r="I14" s="3">
        <v>5.0</v>
      </c>
      <c r="J14" s="3">
        <v>5.0</v>
      </c>
      <c r="K14" s="3">
        <v>1.0</v>
      </c>
      <c r="L14" s="3">
        <v>4.0</v>
      </c>
      <c r="M14" s="3">
        <v>2.0</v>
      </c>
      <c r="N14" s="3">
        <v>7.0</v>
      </c>
      <c r="O14" s="3">
        <v>1.0</v>
      </c>
      <c r="P14" s="3">
        <v>1.0</v>
      </c>
      <c r="Q14" s="3">
        <v>6.0</v>
      </c>
      <c r="R14" s="3">
        <v>5.0</v>
      </c>
      <c r="S14" s="3">
        <v>3.0</v>
      </c>
      <c r="T14" s="3">
        <v>3.0</v>
      </c>
      <c r="U14" s="3">
        <v>1.0</v>
      </c>
      <c r="V14" s="3">
        <v>2.0</v>
      </c>
      <c r="W14" s="3">
        <v>1.0</v>
      </c>
      <c r="X14" s="3">
        <v>1.0</v>
      </c>
      <c r="Y14" s="3">
        <v>6.0</v>
      </c>
      <c r="Z14" s="3">
        <v>1.0</v>
      </c>
      <c r="AA14" s="3">
        <v>4.0</v>
      </c>
      <c r="AB14" s="3">
        <v>7.0</v>
      </c>
    </row>
    <row r="15">
      <c r="A15" s="2">
        <v>44816.59970107639</v>
      </c>
      <c r="B15" s="3">
        <v>55.0</v>
      </c>
      <c r="C15" s="3" t="s">
        <v>28</v>
      </c>
      <c r="D15" s="3">
        <v>6.0</v>
      </c>
      <c r="E15" s="3">
        <v>4.0</v>
      </c>
      <c r="F15" s="3">
        <v>7.0</v>
      </c>
      <c r="G15" s="3">
        <v>1.0</v>
      </c>
      <c r="H15" s="3">
        <v>1.0</v>
      </c>
      <c r="I15" s="3">
        <v>4.0</v>
      </c>
      <c r="J15" s="3">
        <v>2.0</v>
      </c>
      <c r="K15" s="3">
        <v>1.0</v>
      </c>
      <c r="L15" s="3">
        <v>7.0</v>
      </c>
      <c r="M15" s="3">
        <v>2.0</v>
      </c>
      <c r="N15" s="3">
        <v>5.0</v>
      </c>
      <c r="O15" s="3">
        <v>3.0</v>
      </c>
      <c r="P15" s="3">
        <v>4.0</v>
      </c>
      <c r="Q15" s="3">
        <v>1.0</v>
      </c>
      <c r="R15" s="3">
        <v>7.0</v>
      </c>
      <c r="S15" s="3">
        <v>2.0</v>
      </c>
      <c r="T15" s="3">
        <v>4.0</v>
      </c>
      <c r="U15" s="3">
        <v>2.0</v>
      </c>
      <c r="V15" s="3">
        <v>1.0</v>
      </c>
      <c r="W15" s="3">
        <v>1.0</v>
      </c>
      <c r="X15" s="3">
        <v>3.0</v>
      </c>
      <c r="Y15" s="3">
        <v>1.0</v>
      </c>
      <c r="Z15" s="3">
        <v>1.0</v>
      </c>
      <c r="AA15" s="3">
        <v>4.0</v>
      </c>
      <c r="AB15" s="3">
        <v>2.0</v>
      </c>
    </row>
    <row r="16">
      <c r="A16" s="2">
        <v>44816.91605193287</v>
      </c>
      <c r="B16" s="3">
        <v>21.0</v>
      </c>
      <c r="C16" s="3" t="s">
        <v>28</v>
      </c>
      <c r="D16" s="3">
        <v>7.0</v>
      </c>
      <c r="E16" s="3">
        <v>6.0</v>
      </c>
      <c r="F16" s="3">
        <v>7.0</v>
      </c>
      <c r="G16" s="3">
        <v>1.0</v>
      </c>
      <c r="H16" s="3">
        <v>2.0</v>
      </c>
      <c r="I16" s="3">
        <v>2.0</v>
      </c>
      <c r="J16" s="3">
        <v>1.0</v>
      </c>
      <c r="K16" s="3">
        <v>1.0</v>
      </c>
      <c r="L16" s="3">
        <v>3.0</v>
      </c>
      <c r="M16" s="3">
        <v>1.0</v>
      </c>
      <c r="N16" s="3">
        <v>7.0</v>
      </c>
      <c r="O16" s="3">
        <v>1.0</v>
      </c>
      <c r="P16" s="3">
        <v>1.0</v>
      </c>
      <c r="Q16" s="3">
        <v>1.0</v>
      </c>
      <c r="R16" s="3">
        <v>5.0</v>
      </c>
      <c r="S16" s="3">
        <v>1.0</v>
      </c>
      <c r="T16" s="3">
        <v>1.0</v>
      </c>
      <c r="U16" s="3">
        <v>6.0</v>
      </c>
      <c r="V16" s="3">
        <v>5.0</v>
      </c>
      <c r="W16" s="3">
        <v>1.0</v>
      </c>
      <c r="X16" s="3">
        <v>1.0</v>
      </c>
      <c r="Y16" s="3">
        <v>1.0</v>
      </c>
      <c r="Z16" s="3">
        <v>1.0</v>
      </c>
      <c r="AA16" s="3">
        <v>7.0</v>
      </c>
      <c r="AB16" s="3">
        <v>6.0</v>
      </c>
    </row>
    <row r="17">
      <c r="A17" s="2">
        <v>44820.42827174769</v>
      </c>
      <c r="B17" s="3">
        <v>23.0</v>
      </c>
      <c r="C17" s="3" t="s">
        <v>29</v>
      </c>
      <c r="D17" s="3">
        <v>1.0</v>
      </c>
      <c r="E17" s="3">
        <v>1.0</v>
      </c>
      <c r="F17" s="3">
        <v>5.0</v>
      </c>
      <c r="G17" s="3">
        <v>1.0</v>
      </c>
      <c r="H17" s="3">
        <v>1.0</v>
      </c>
      <c r="I17" s="3">
        <v>2.0</v>
      </c>
      <c r="J17" s="3">
        <v>2.0</v>
      </c>
      <c r="K17" s="3">
        <v>1.0</v>
      </c>
      <c r="L17" s="3">
        <v>5.0</v>
      </c>
      <c r="M17" s="3">
        <v>1.0</v>
      </c>
      <c r="N17" s="3">
        <v>7.0</v>
      </c>
      <c r="O17" s="3">
        <v>1.0</v>
      </c>
      <c r="P17" s="3">
        <v>6.0</v>
      </c>
      <c r="Q17" s="3">
        <v>6.0</v>
      </c>
      <c r="R17" s="3">
        <v>5.0</v>
      </c>
      <c r="S17" s="3">
        <v>1.0</v>
      </c>
      <c r="T17" s="3">
        <v>1.0</v>
      </c>
      <c r="U17" s="3">
        <v>4.0</v>
      </c>
      <c r="V17" s="3">
        <v>5.0</v>
      </c>
      <c r="W17" s="3">
        <v>1.0</v>
      </c>
      <c r="X17" s="3">
        <v>1.0</v>
      </c>
      <c r="Y17" s="3">
        <v>7.0</v>
      </c>
      <c r="Z17" s="3">
        <v>1.0</v>
      </c>
      <c r="AA17" s="3">
        <v>6.0</v>
      </c>
      <c r="AB17" s="3">
        <v>1.0</v>
      </c>
    </row>
    <row r="18">
      <c r="A18" s="2">
        <v>44820.762994282406</v>
      </c>
      <c r="B18" s="3">
        <v>34.0</v>
      </c>
      <c r="C18" s="3" t="s">
        <v>28</v>
      </c>
      <c r="D18" s="3">
        <v>2.0</v>
      </c>
      <c r="E18" s="3">
        <v>2.0</v>
      </c>
      <c r="F18" s="3">
        <v>6.0</v>
      </c>
      <c r="G18" s="3">
        <v>1.0</v>
      </c>
      <c r="H18" s="3">
        <v>5.0</v>
      </c>
      <c r="I18" s="3">
        <v>2.0</v>
      </c>
      <c r="J18" s="3">
        <v>2.0</v>
      </c>
      <c r="K18" s="3">
        <v>1.0</v>
      </c>
      <c r="L18" s="3">
        <v>5.0</v>
      </c>
      <c r="M18" s="3">
        <v>1.0</v>
      </c>
      <c r="N18" s="3">
        <v>6.0</v>
      </c>
      <c r="O18" s="3">
        <v>6.0</v>
      </c>
      <c r="P18" s="3">
        <v>1.0</v>
      </c>
      <c r="Q18" s="3">
        <v>6.0</v>
      </c>
      <c r="R18" s="3">
        <v>6.0</v>
      </c>
      <c r="S18" s="3">
        <v>1.0</v>
      </c>
      <c r="T18" s="3">
        <v>1.0</v>
      </c>
      <c r="U18" s="3">
        <v>4.0</v>
      </c>
      <c r="V18" s="3">
        <v>5.0</v>
      </c>
      <c r="W18" s="3">
        <v>1.0</v>
      </c>
      <c r="X18" s="3">
        <v>6.0</v>
      </c>
      <c r="Y18" s="3">
        <v>1.0</v>
      </c>
      <c r="Z18" s="3">
        <v>5.0</v>
      </c>
      <c r="AA18" s="3">
        <v>7.0</v>
      </c>
      <c r="AB18" s="3">
        <v>2.0</v>
      </c>
    </row>
    <row r="19">
      <c r="A19" s="2">
        <v>44823.49365495371</v>
      </c>
      <c r="B19" s="3">
        <v>25.0</v>
      </c>
      <c r="C19" s="3" t="s">
        <v>28</v>
      </c>
      <c r="D19" s="3">
        <v>6.0</v>
      </c>
      <c r="E19" s="3">
        <v>7.0</v>
      </c>
      <c r="F19" s="3">
        <v>5.0</v>
      </c>
      <c r="G19" s="3">
        <v>1.0</v>
      </c>
      <c r="H19" s="3">
        <v>7.0</v>
      </c>
      <c r="I19" s="3">
        <v>7.0</v>
      </c>
      <c r="J19" s="3">
        <v>6.0</v>
      </c>
      <c r="K19" s="3">
        <v>5.0</v>
      </c>
      <c r="L19" s="3">
        <v>7.0</v>
      </c>
      <c r="M19" s="3">
        <v>5.0</v>
      </c>
      <c r="N19" s="3">
        <v>7.0</v>
      </c>
      <c r="O19" s="3">
        <v>1.0</v>
      </c>
      <c r="P19" s="3">
        <v>6.0</v>
      </c>
      <c r="Q19" s="3">
        <v>7.0</v>
      </c>
      <c r="R19" s="3">
        <v>7.0</v>
      </c>
      <c r="S19" s="3">
        <v>1.0</v>
      </c>
      <c r="T19" s="3">
        <v>1.0</v>
      </c>
      <c r="U19" s="3">
        <v>3.0</v>
      </c>
      <c r="V19" s="3">
        <v>3.0</v>
      </c>
      <c r="W19" s="3">
        <v>5.0</v>
      </c>
      <c r="X19" s="3">
        <v>6.0</v>
      </c>
      <c r="Y19" s="3">
        <v>6.0</v>
      </c>
      <c r="Z19" s="3">
        <v>2.0</v>
      </c>
      <c r="AA19" s="3">
        <v>7.0</v>
      </c>
      <c r="AB19" s="3">
        <v>1.0</v>
      </c>
    </row>
    <row r="20">
      <c r="A20" s="2">
        <v>44825.038283738424</v>
      </c>
      <c r="B20" s="3">
        <v>71.0</v>
      </c>
      <c r="C20" s="3" t="s">
        <v>28</v>
      </c>
      <c r="D20" s="3">
        <v>6.0</v>
      </c>
      <c r="E20" s="3">
        <v>6.0</v>
      </c>
      <c r="F20" s="3">
        <v>6.0</v>
      </c>
      <c r="G20" s="3">
        <v>1.0</v>
      </c>
      <c r="H20" s="3">
        <v>1.0</v>
      </c>
      <c r="I20" s="3">
        <v>7.0</v>
      </c>
      <c r="J20" s="3">
        <v>2.0</v>
      </c>
      <c r="K20" s="3">
        <v>2.0</v>
      </c>
      <c r="L20" s="3">
        <v>5.0</v>
      </c>
      <c r="M20" s="3">
        <v>2.0</v>
      </c>
      <c r="N20" s="3">
        <v>3.0</v>
      </c>
      <c r="O20" s="3">
        <v>3.0</v>
      </c>
      <c r="P20" s="3">
        <v>7.0</v>
      </c>
      <c r="Q20" s="3">
        <v>2.0</v>
      </c>
      <c r="R20" s="3">
        <v>2.0</v>
      </c>
      <c r="S20" s="3">
        <v>1.0</v>
      </c>
      <c r="T20" s="3">
        <v>1.0</v>
      </c>
      <c r="U20" s="3">
        <v>6.0</v>
      </c>
      <c r="V20" s="3">
        <v>6.0</v>
      </c>
      <c r="W20" s="3">
        <v>2.0</v>
      </c>
      <c r="X20" s="3">
        <v>5.0</v>
      </c>
      <c r="Y20" s="3">
        <v>2.0</v>
      </c>
      <c r="Z20" s="3">
        <v>1.0</v>
      </c>
      <c r="AA20" s="3">
        <v>3.0</v>
      </c>
      <c r="AB20" s="3">
        <v>3.0</v>
      </c>
    </row>
    <row r="21">
      <c r="A21" s="2">
        <v>44830.515192060186</v>
      </c>
      <c r="B21" s="3">
        <v>22.0</v>
      </c>
      <c r="C21" s="3" t="s">
        <v>28</v>
      </c>
      <c r="D21" s="3">
        <v>7.0</v>
      </c>
      <c r="E21" s="3">
        <v>7.0</v>
      </c>
      <c r="F21" s="3">
        <v>6.0</v>
      </c>
      <c r="G21" s="3">
        <v>1.0</v>
      </c>
      <c r="H21" s="3">
        <v>1.0</v>
      </c>
      <c r="I21" s="3">
        <v>7.0</v>
      </c>
      <c r="J21" s="3">
        <v>2.0</v>
      </c>
      <c r="K21" s="3">
        <v>1.0</v>
      </c>
      <c r="L21" s="3">
        <v>5.0</v>
      </c>
      <c r="M21" s="3">
        <v>1.0</v>
      </c>
      <c r="N21" s="3">
        <v>7.0</v>
      </c>
      <c r="O21" s="3">
        <v>1.0</v>
      </c>
      <c r="P21" s="3">
        <v>1.0</v>
      </c>
      <c r="Q21" s="3">
        <v>5.0</v>
      </c>
      <c r="R21" s="3">
        <v>2.0</v>
      </c>
      <c r="S21" s="3">
        <v>1.0</v>
      </c>
      <c r="T21" s="3">
        <v>1.0</v>
      </c>
      <c r="U21" s="3">
        <v>6.0</v>
      </c>
      <c r="V21" s="3">
        <v>4.0</v>
      </c>
      <c r="W21" s="3">
        <v>2.0</v>
      </c>
      <c r="X21" s="3">
        <v>4.0</v>
      </c>
      <c r="Y21" s="3">
        <v>3.0</v>
      </c>
      <c r="Z21" s="3">
        <v>1.0</v>
      </c>
      <c r="AA21" s="3">
        <v>7.0</v>
      </c>
      <c r="AB21" s="3">
        <v>4.0</v>
      </c>
    </row>
  </sheetData>
  <autoFilter ref="$A$1:$AB$2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5" t="s">
        <v>59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66</v>
      </c>
      <c r="AS1" s="4"/>
      <c r="AT1" s="4"/>
      <c r="AU1" s="4" t="s">
        <v>67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68</v>
      </c>
      <c r="BK1" s="4" t="s">
        <v>69</v>
      </c>
      <c r="BL1" s="4" t="s">
        <v>70</v>
      </c>
      <c r="BM1" s="4" t="s">
        <v>71</v>
      </c>
      <c r="BR1" s="4" t="s">
        <v>67</v>
      </c>
    </row>
    <row r="2">
      <c r="A2" s="3">
        <v>1.0</v>
      </c>
      <c r="B2" s="1" t="s">
        <v>3</v>
      </c>
      <c r="C2" s="1">
        <f>countif('5A'!$D$2:$D$522, C$1)</f>
        <v>12</v>
      </c>
      <c r="D2" s="1">
        <f>countif('5A'!$D$2:$D$522, D$1)</f>
        <v>3</v>
      </c>
      <c r="E2" s="1">
        <f>countif('5A'!$D$2:$D$522, E$1)</f>
        <v>1</v>
      </c>
      <c r="F2" s="1">
        <f>countif('5A'!$D$2:$D$522, F$1)</f>
        <v>2</v>
      </c>
      <c r="G2" s="1">
        <f>countif('5A'!$D$2:$D$522, G$1)</f>
        <v>1</v>
      </c>
      <c r="H2" s="1">
        <f>countif('5A'!$D$2:$D$522, H$1)</f>
        <v>3</v>
      </c>
      <c r="I2" s="1">
        <f>countif('5A'!$D$2:$D$522, I$1)</f>
        <v>1</v>
      </c>
      <c r="J2" s="1">
        <f t="shared" ref="J2:J3" si="5">SUM(C2:I2)</f>
        <v>23</v>
      </c>
      <c r="K2" s="6">
        <f t="shared" ref="K2:K26" si="6">((C2*1)+(D2*2)+(E2*3)+(F2*4)+(G2*5)+(H2*6)+(I2*7))/J2</f>
        <v>2.565217391</v>
      </c>
      <c r="L2" s="1" t="str">
        <f t="shared" ref="L2:M2" si="1">'Average comparison (age groups)'!L2</f>
        <v>#REF!</v>
      </c>
      <c r="M2" s="1" t="str">
        <f t="shared" si="1"/>
        <v>#REF!</v>
      </c>
      <c r="N2" s="1">
        <f>countifs('5A'!$D$2:$D$522, N$1, '5A'!$B$2:$B$522, "&gt;"&amp;$L$2, '5A'!$B$2:$B$522, "&lt;"&amp;$M$2)</f>
        <v>0</v>
      </c>
      <c r="O2" s="1">
        <f>countifs('5A'!$D$2:$D$522, O$1, '5A'!$B$2:$B$522, "&gt;"&amp;$L$2, '5A'!$B$2:$B$522, "&lt;"&amp;$M$2)</f>
        <v>0</v>
      </c>
      <c r="P2" s="1">
        <f>countifs('5A'!$D$2:$D$522, P$1, '5A'!$B$2:$B$522, "&gt;"&amp;$L$2, '5A'!$B$2:$B$522, "&lt;"&amp;$M$2)</f>
        <v>0</v>
      </c>
      <c r="Q2" s="1">
        <f>countifs('5A'!$D$2:$D$522, Q$1, '5A'!$B$2:$B$522, "&gt;"&amp;$L$2, '5A'!$B$2:$B$522, "&lt;"&amp;$M$2)</f>
        <v>0</v>
      </c>
      <c r="R2" s="1">
        <f>countifs('5A'!$D$2:$D$522, R$1, '5A'!$B$2:$B$522, "&gt;"&amp;$L$2, '5A'!$B$2:$B$522, "&lt;"&amp;$M$2)</f>
        <v>0</v>
      </c>
      <c r="S2" s="1">
        <f>countifs('5A'!$D$2:$D$522, S$1, '5A'!$B$2:$B$522, "&gt;"&amp;$L$2, '5A'!$B$2:$B$522, "&lt;"&amp;$M$2)</f>
        <v>0</v>
      </c>
      <c r="T2" s="1">
        <f>countifs('5A'!$D$2:$D$522, T$1, '5A'!$B$2:$B$522, "&gt;"&amp;$L$2, '5A'!$B$2:$B$522, "&lt;"&amp;$M$2)</f>
        <v>0</v>
      </c>
      <c r="U2" s="1">
        <f>countifs('5A'!$D$2:$D$522, U$1, '5A'!$B$2:$B$522, "&gt;"&amp;$L$3, '5A'!$B$2:$B$522, "&lt;"&amp;$M$3)</f>
        <v>0</v>
      </c>
      <c r="V2" s="1">
        <f>countifs('5A'!$D$2:$D$522, V$1, '5A'!$B$2:$B$522, "&gt;"&amp;$L$3, '5A'!$B$2:$B$522, "&lt;"&amp;$M$3)</f>
        <v>0</v>
      </c>
      <c r="W2" s="1">
        <f>countifs('5A'!$D$2:$D$522, W$1, '5A'!$B$2:$B$522, "&gt;"&amp;$L$3, '5A'!$B$2:$B$522, "&lt;"&amp;$M$3)</f>
        <v>0</v>
      </c>
      <c r="X2" s="1">
        <f>countifs('5A'!$D$2:$D$522, X$1, '5A'!$B$2:$B$522, "&gt;"&amp;$L$3, '5A'!$B$2:$B$522, "&lt;"&amp;$M$3)</f>
        <v>0</v>
      </c>
      <c r="Y2" s="1">
        <f>countifs('5A'!$D$2:$D$522, Y$1, '5A'!$B$2:$B$522, "&gt;"&amp;$L$3, '5A'!$B$2:$B$522, "&lt;"&amp;$M$3)</f>
        <v>0</v>
      </c>
      <c r="Z2" s="1">
        <f>countifs('5A'!$D$2:$D$522, Z$1, '5A'!$B$2:$B$522, "&gt;"&amp;$L$3, '5A'!$B$2:$B$522, "&lt;"&amp;$M$3)</f>
        <v>0</v>
      </c>
      <c r="AA2" s="1">
        <f>countifs('5A'!$D$2:$D$522, AA$1, '5A'!$B$2:$B$522, "&gt;"&amp;$L$3, '5A'!$B$2:$B$522, "&lt;"&amp;$M$3)</f>
        <v>0</v>
      </c>
      <c r="AB2" s="1">
        <f>countifs('5A'!$D$2:$D$522, AB$1, '5A'!$B$2:$B$522, "&gt;"&amp;$L$4, '5A'!$B$2:$B$522, "&lt;"&amp;$M$4)</f>
        <v>0</v>
      </c>
      <c r="AC2" s="1">
        <f>countifs('5A'!$D$2:$D$522, AC$1, '5A'!$B$2:$B$522, "&gt;"&amp;$L$4, '5A'!$B$2:$B$522, "&lt;"&amp;$M$4)</f>
        <v>0</v>
      </c>
      <c r="AD2" s="1">
        <f>countifs('5A'!$D$2:$D$522, AD$1, '5A'!$B$2:$B$522, "&gt;"&amp;$L$4, '5A'!$B$2:$B$522, "&lt;"&amp;$M$4)</f>
        <v>0</v>
      </c>
      <c r="AE2" s="1">
        <f>countifs('5A'!$D$2:$D$522, AE$1, '5A'!$B$2:$B$522, "&gt;"&amp;$L$4, '5A'!$B$2:$B$522, "&lt;"&amp;$M$4)</f>
        <v>0</v>
      </c>
      <c r="AF2" s="1">
        <f>countifs('5A'!$D$2:$D$522, AF$1, '5A'!$B$2:$B$522, "&gt;"&amp;$L$4, '5A'!$B$2:$B$522, "&lt;"&amp;$M$4)</f>
        <v>0</v>
      </c>
      <c r="AG2" s="1">
        <f>countifs('5A'!$D$2:$D$522, AG$1, '5A'!$B$2:$B$522, "&gt;"&amp;$L$4, '5A'!$B$2:$B$522, "&lt;"&amp;$M$4)</f>
        <v>0</v>
      </c>
      <c r="AH2" s="1">
        <f>countifs('5A'!$D$2:$D$522, AH$1, '5A'!$B$2:$B$522, "&gt;"&amp;$L$4, '5A'!$B$2:$B$522, "&lt;"&amp;$M$4)</f>
        <v>0</v>
      </c>
      <c r="AI2" s="3">
        <v>8.0</v>
      </c>
      <c r="AJ2" s="3">
        <v>4.0</v>
      </c>
      <c r="AK2" s="3">
        <v>0.0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6" t="str">
        <f>IFERROR(__xludf.DUMMYFUNCTION("AVERAGE.WEIGHTED($AB$1:$AH$1, AB2:AH2)"),"#DIV/0!")</f>
        <v>#DIV/0!</v>
      </c>
      <c r="AO2" s="6" t="str">
        <f t="shared" ref="AO2:AQ2" si="2">(AL2-1)*100/6</f>
        <v>#DIV/0!</v>
      </c>
      <c r="AP2" s="6" t="str">
        <f t="shared" si="2"/>
        <v>#DIV/0!</v>
      </c>
      <c r="AQ2" s="6" t="str">
        <f t="shared" si="2"/>
        <v>#DIV/0!</v>
      </c>
      <c r="AR2" s="7" t="str">
        <f t="shared" ref="AR2:AT2" si="3">average($AO2:$AQ2)</f>
        <v>#DIV/0!</v>
      </c>
      <c r="AS2" s="7" t="str">
        <f t="shared" si="3"/>
        <v>#DIV/0!</v>
      </c>
      <c r="AT2" s="7" t="str">
        <f t="shared" si="3"/>
        <v>#DIV/0!</v>
      </c>
      <c r="AU2" s="7" t="str">
        <f t="shared" ref="AU2:AU26" si="10">_xlfn.CHISQ.TEST(AO2:AQ2,AR2:AT2)</f>
        <v>#DIV/0!</v>
      </c>
      <c r="AV2" s="1">
        <f>countifs('5A'!$D$2:$D$522, AV$1, '5A'!$C$2:$C$522, "Karl")</f>
        <v>1</v>
      </c>
      <c r="AW2" s="1">
        <f>countifs('5A'!$D$2:$D$522, AW$1, '5A'!$C$2:$C$522, "Karl")</f>
        <v>0</v>
      </c>
      <c r="AX2" s="1">
        <f>countifs('5A'!$D$2:$D$522, AX$1, '5A'!$C$2:$C$522, "Karl")</f>
        <v>0</v>
      </c>
      <c r="AY2" s="1">
        <f>countifs('5A'!$D$2:$D$522, AY$1, '5A'!$C$2:$C$522, "Karl")</f>
        <v>1</v>
      </c>
      <c r="AZ2" s="1">
        <f>countifs('5A'!$D$2:$D$522, AZ$1, '5A'!$C$2:$C$522, "Karl")</f>
        <v>0</v>
      </c>
      <c r="BA2" s="1">
        <f>countifs('5A'!$D$2:$D$522, BA$1, '5A'!$C$2:$C$522, "Karl")</f>
        <v>0</v>
      </c>
      <c r="BB2" s="1">
        <f>countifs('5A'!$D$2:$D$522, BB$1, '5A'!$C$2:$C$522, "Karl")</f>
        <v>0</v>
      </c>
      <c r="BC2" s="1">
        <f>countifs('5A'!$D$2:$D$522, BC$1, '5A'!$C$2:$C$522, "Kona")</f>
        <v>10</v>
      </c>
      <c r="BD2" s="1">
        <f>countifs('5A'!$D$2:$D$522, BD$1, '5A'!$C$2:$C$522, "Kona")</f>
        <v>3</v>
      </c>
      <c r="BE2" s="1">
        <f>countifs('5A'!$D$2:$D$522, BE$1, '5A'!$C$2:$C$522, "Kona")</f>
        <v>1</v>
      </c>
      <c r="BF2" s="1">
        <f>countifs('5A'!$D$2:$D$522, BF$1, '5A'!$C$2:$C$522, "Kona")</f>
        <v>1</v>
      </c>
      <c r="BG2" s="1">
        <f>countifs('5A'!$D$2:$D$522, BG$1, '5A'!$C$2:$C$522, "Kona")</f>
        <v>1</v>
      </c>
      <c r="BH2" s="1">
        <f>countifs('5A'!$D$2:$D$522, BH$1, '5A'!$C$2:$C$522, "Kona")</f>
        <v>3</v>
      </c>
      <c r="BI2" s="1">
        <f>countifs('5A'!$D$2:$D$522, BI$1, '5A'!$C$2:$C$522, "Kona")</f>
        <v>1</v>
      </c>
      <c r="BJ2" s="8">
        <f t="shared" ref="BJ2:BJ26" si="11">sum(AV2:BB2)</f>
        <v>2</v>
      </c>
      <c r="BK2" s="8">
        <f t="shared" ref="BK2:BK26" si="12">sum(BC2:BI2)</f>
        <v>20</v>
      </c>
      <c r="BL2" s="6">
        <f>IFERROR(__xludf.DUMMYFUNCTION("AVERAGE.WEIGHTED($AV$1:$BB$1,AV2:BB2)"),2.5)</f>
        <v>2.5</v>
      </c>
      <c r="BM2" s="6">
        <f>IFERROR(__xludf.DUMMYFUNCTION("AVERAGE.WEIGHTED($BC$1:$BI$1,BC2:BI2)"),2.65)</f>
        <v>2.65</v>
      </c>
      <c r="BN2" s="6">
        <f t="shared" ref="BN2:BO2" si="4">(BL2-1)*100/6</f>
        <v>25</v>
      </c>
      <c r="BO2" s="6">
        <f t="shared" si="4"/>
        <v>27.5</v>
      </c>
      <c r="BP2" s="6">
        <f t="shared" ref="BP2:BP26" si="14">AVERAGE(BN2:BO2)</f>
        <v>26.25</v>
      </c>
      <c r="BQ2" s="6">
        <f t="shared" ref="BQ2:BQ26" si="15">AVERAGE(BN2:BO2)</f>
        <v>26.25</v>
      </c>
      <c r="BR2" s="7">
        <f t="shared" ref="BR2:BR26" si="16">_xlfn.CHISQ.TEST(BN2:BO2,BP2:BQ2)</f>
        <v>0.7300697276</v>
      </c>
    </row>
    <row r="3">
      <c r="A3" s="3">
        <v>2.0</v>
      </c>
      <c r="B3" s="1" t="s">
        <v>4</v>
      </c>
      <c r="C3" s="1">
        <f>countif('5A'!$E$2:$E$522, C$1)</f>
        <v>2</v>
      </c>
      <c r="D3" s="1">
        <f>countif('5A'!$E$2:$E$522, D$1)</f>
        <v>3</v>
      </c>
      <c r="E3" s="1">
        <f>countif('5A'!$E$2:$E$522, E$1)</f>
        <v>0</v>
      </c>
      <c r="F3" s="1">
        <f>countif('5A'!$E$2:$E$522, F$1)</f>
        <v>0</v>
      </c>
      <c r="G3" s="1">
        <f>countif('5A'!$E$2:$E$522, G$1)</f>
        <v>6</v>
      </c>
      <c r="H3" s="1">
        <f>countif('5A'!$E$2:$E$522, H$1)</f>
        <v>6</v>
      </c>
      <c r="I3" s="1">
        <f>countif('5A'!$E$2:$E$522, I$1)</f>
        <v>6</v>
      </c>
      <c r="J3" s="1">
        <f t="shared" si="5"/>
        <v>23</v>
      </c>
      <c r="K3" s="6">
        <f t="shared" si="6"/>
        <v>5.043478261</v>
      </c>
      <c r="L3" s="1" t="str">
        <f t="shared" ref="L3:M3" si="7">'Average comparison (age groups)'!L3</f>
        <v>#REF!</v>
      </c>
      <c r="M3" s="1" t="str">
        <f t="shared" si="7"/>
        <v>#REF!</v>
      </c>
      <c r="N3" s="1">
        <f>countifs('5A'!$E$2:$E$522, N$1, '5A'!$B$2:$B$522, "&gt;"&amp;$L$2, '5A'!$B$2:$B$522, "&lt;"&amp;$M$2)</f>
        <v>0</v>
      </c>
      <c r="O3" s="1">
        <f>countifs('5A'!$E$2:$E$522, O$1, '5A'!$B$2:$B$522, "&gt;"&amp;$L$2, '5A'!$B$2:$B$522, "&lt;"&amp;$M$2)</f>
        <v>0</v>
      </c>
      <c r="P3" s="1">
        <f>countifs('5A'!$E$2:$E$522, P$1, '5A'!$B$2:$B$522, "&gt;"&amp;$L$2, '5A'!$B$2:$B$522, "&lt;"&amp;$M$2)</f>
        <v>0</v>
      </c>
      <c r="Q3" s="1">
        <f>countifs('5A'!$E$2:$E$522, Q$1, '5A'!$B$2:$B$522, "&gt;"&amp;$L$2, '5A'!$B$2:$B$522, "&lt;"&amp;$M$2)</f>
        <v>0</v>
      </c>
      <c r="R3" s="1">
        <f>countifs('5A'!$E$2:$E$522, R$1, '5A'!$B$2:$B$522, "&gt;"&amp;$L$2, '5A'!$B$2:$B$522, "&lt;"&amp;$M$2)</f>
        <v>0</v>
      </c>
      <c r="S3" s="1">
        <f>countifs('5A'!$E$2:$E$522, S$1, '5A'!$B$2:$B$522, "&gt;"&amp;$L$2, '5A'!$B$2:$B$522, "&lt;"&amp;$M$2)</f>
        <v>0</v>
      </c>
      <c r="T3" s="1">
        <f>countifs('5A'!$E$2:$E$522, T$1, '5A'!$B$2:$B$522, "&gt;"&amp;$L$2, '5A'!$B$2:$B$522, "&lt;"&amp;$M$2)</f>
        <v>0</v>
      </c>
      <c r="U3" s="1">
        <f>countifs('5A'!$E$2:$E$522, U$1, '5A'!$B$2:$B$522, "&gt;"&amp;$L$3, '5A'!$B$2:$B$522, "&lt;"&amp;$M$3)</f>
        <v>0</v>
      </c>
      <c r="V3" s="1">
        <f>countifs('5A'!$E$2:$E$522, V$1, '5A'!$B$2:$B$522, "&gt;"&amp;$L$3, '5A'!$B$2:$B$522, "&lt;"&amp;$M$3)</f>
        <v>0</v>
      </c>
      <c r="W3" s="1">
        <f>countifs('5A'!$E$2:$E$522, W$1, '5A'!$B$2:$B$522, "&gt;"&amp;$L$3, '5A'!$B$2:$B$522, "&lt;"&amp;$M$3)</f>
        <v>0</v>
      </c>
      <c r="X3" s="1">
        <f>countifs('5A'!$E$2:$E$522, X$1, '5A'!$B$2:$B$522, "&gt;"&amp;$L$3, '5A'!$B$2:$B$522, "&lt;"&amp;$M$3)</f>
        <v>0</v>
      </c>
      <c r="Y3" s="1">
        <f>countifs('5A'!$E$2:$E$522, Y$1, '5A'!$B$2:$B$522, "&gt;"&amp;$L$3, '5A'!$B$2:$B$522, "&lt;"&amp;$M$3)</f>
        <v>0</v>
      </c>
      <c r="Z3" s="1">
        <f>countifs('5A'!$E$2:$E$522, Z$1, '5A'!$B$2:$B$522, "&gt;"&amp;$L$3, '5A'!$B$2:$B$522, "&lt;"&amp;$M$3)</f>
        <v>0</v>
      </c>
      <c r="AA3" s="1">
        <f>countifs('5A'!$E$2:$E$522, AA$1, '5A'!$B$2:$B$522, "&gt;"&amp;$L$3, '5A'!$B$2:$B$522, "&lt;"&amp;$M$3)</f>
        <v>0</v>
      </c>
      <c r="AB3" s="1">
        <f>countifs('5A'!$E$2:$E$522, AB$1, '5A'!$B$2:$B$522, "&gt;"&amp;$L$4, '5A'!$B$2:$B$522, "&lt;"&amp;$M$4)</f>
        <v>0</v>
      </c>
      <c r="AC3" s="1">
        <f>countifs('5A'!$E$2:$E$522, AC$1, '5A'!$B$2:$B$522, "&gt;"&amp;$L$4, '5A'!$B$2:$B$522, "&lt;"&amp;$M$4)</f>
        <v>0</v>
      </c>
      <c r="AD3" s="1">
        <f>countifs('5A'!$E$2:$E$522, AD$1, '5A'!$B$2:$B$522, "&gt;"&amp;$L$4, '5A'!$B$2:$B$522, "&lt;"&amp;$M$4)</f>
        <v>0</v>
      </c>
      <c r="AE3" s="1">
        <f>countifs('5A'!$E$2:$E$522, AE$1, '5A'!$B$2:$B$522, "&gt;"&amp;$L$4, '5A'!$B$2:$B$522, "&lt;"&amp;$M$4)</f>
        <v>0</v>
      </c>
      <c r="AF3" s="1">
        <f>countifs('5A'!$E$2:$E$522, AF$1, '5A'!$B$2:$B$522, "&gt;"&amp;$L$4, '5A'!$B$2:$B$522, "&lt;"&amp;$M$4)</f>
        <v>0</v>
      </c>
      <c r="AG3" s="1">
        <f>countifs('5A'!$E$2:$E$522, AG$1, '5A'!$B$2:$B$522, "&gt;"&amp;$L$4, '5A'!$B$2:$B$522, "&lt;"&amp;$M$4)</f>
        <v>0</v>
      </c>
      <c r="AH3" s="1">
        <f>countifs('5A'!$E$2:$E$522, AH$1, '5A'!$B$2:$B$522, "&gt;"&amp;$L$4, '5A'!$B$2:$B$522, "&lt;"&amp;$M$4)</f>
        <v>0</v>
      </c>
      <c r="AI3" s="3">
        <v>8.0</v>
      </c>
      <c r="AJ3" s="3">
        <v>4.0</v>
      </c>
      <c r="AK3" s="3">
        <v>0.0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6" t="str">
        <f>IFERROR(__xludf.DUMMYFUNCTION("AVERAGE.WEIGHTED($AB$1:$AH$1, AB3:AH3)"),"#DIV/0!")</f>
        <v>#DIV/0!</v>
      </c>
      <c r="AO3" s="6" t="str">
        <f t="shared" ref="AO3:AQ3" si="8">(AL3-1)*100/6</f>
        <v>#DIV/0!</v>
      </c>
      <c r="AP3" s="6" t="str">
        <f t="shared" si="8"/>
        <v>#DIV/0!</v>
      </c>
      <c r="AQ3" s="6" t="str">
        <f t="shared" si="8"/>
        <v>#DIV/0!</v>
      </c>
      <c r="AR3" s="7" t="str">
        <f t="shared" ref="AR3:AT3" si="9">average($AO3:$AQ3)</f>
        <v>#DIV/0!</v>
      </c>
      <c r="AS3" s="7" t="str">
        <f t="shared" si="9"/>
        <v>#DIV/0!</v>
      </c>
      <c r="AT3" s="7" t="str">
        <f t="shared" si="9"/>
        <v>#DIV/0!</v>
      </c>
      <c r="AU3" s="7" t="str">
        <f t="shared" si="10"/>
        <v>#DIV/0!</v>
      </c>
      <c r="AV3" s="1">
        <f>countifs('5A'!$E$2:$E$522, AV$1, '5A'!$C$2:$C$522, "Karl")</f>
        <v>1</v>
      </c>
      <c r="AW3" s="1">
        <f>countifs('5A'!$E$2:$E$522, AW$1, '5A'!$C$2:$C$522, "Karl")</f>
        <v>0</v>
      </c>
      <c r="AX3" s="1">
        <f>countifs('5A'!$E$2:$E$522, AX$1, '5A'!$C$2:$C$522, "Karl")</f>
        <v>0</v>
      </c>
      <c r="AY3" s="1">
        <f>countifs('5A'!$E$2:$E$522, AY$1, '5A'!$C$2:$C$522, "Karl")</f>
        <v>0</v>
      </c>
      <c r="AZ3" s="1">
        <f>countifs('5A'!$E$2:$E$522, AZ$1, '5A'!$C$2:$C$522, "Karl")</f>
        <v>1</v>
      </c>
      <c r="BA3" s="1">
        <f>countifs('5A'!$E$2:$E$522, BA$1, '5A'!$C$2:$C$522, "Karl")</f>
        <v>0</v>
      </c>
      <c r="BB3" s="1">
        <f>countifs('5A'!$E$2:$E$522, BB$1, '5A'!$C$2:$C$522, "Karl")</f>
        <v>0</v>
      </c>
      <c r="BC3" s="1">
        <f>countifs('5A'!$E$2:$E$522, BC$1, '5A'!$C$2:$C$522, "Kona")</f>
        <v>0</v>
      </c>
      <c r="BD3" s="1">
        <f>countifs('5A'!$E$2:$E$522, BD$1, '5A'!$C$2:$C$522, "Kona")</f>
        <v>3</v>
      </c>
      <c r="BE3" s="1">
        <f>countifs('5A'!$E$2:$E$522, BE$1, '5A'!$C$2:$C$522, "Kona")</f>
        <v>0</v>
      </c>
      <c r="BF3" s="1">
        <f>countifs('5A'!$E$2:$E$522, BF$1, '5A'!$C$2:$C$522, "Kona")</f>
        <v>0</v>
      </c>
      <c r="BG3" s="1">
        <f>countifs('5A'!$E$2:$E$522, BG$1, '5A'!$C$2:$C$522, "Kona")</f>
        <v>5</v>
      </c>
      <c r="BH3" s="1">
        <f>countifs('5A'!$E$2:$E$522, BH$1, '5A'!$C$2:$C$522, "Kona")</f>
        <v>6</v>
      </c>
      <c r="BI3" s="1">
        <f>countifs('5A'!$E$2:$E$522, BI$1, '5A'!$C$2:$C$522, "Kona")</f>
        <v>6</v>
      </c>
      <c r="BJ3" s="8">
        <f t="shared" si="11"/>
        <v>2</v>
      </c>
      <c r="BK3" s="8">
        <f t="shared" si="12"/>
        <v>20</v>
      </c>
      <c r="BL3" s="6">
        <f>IFERROR(__xludf.DUMMYFUNCTION("AVERAGE.WEIGHTED($AV$1:$BB$1,AV3:BB3)"),3.0)</f>
        <v>3</v>
      </c>
      <c r="BM3" s="6">
        <f>IFERROR(__xludf.DUMMYFUNCTION("AVERAGE.WEIGHTED($BC$1:$BI$1,BC3:BI3)"),5.45)</f>
        <v>5.45</v>
      </c>
      <c r="BN3" s="6">
        <f t="shared" ref="BN3:BO3" si="13">(BL3-1)*100/6</f>
        <v>33.33333333</v>
      </c>
      <c r="BO3" s="6">
        <f t="shared" si="13"/>
        <v>74.16666667</v>
      </c>
      <c r="BP3" s="6">
        <f t="shared" si="14"/>
        <v>53.75</v>
      </c>
      <c r="BQ3" s="6">
        <f t="shared" si="15"/>
        <v>53.75</v>
      </c>
      <c r="BR3" s="7">
        <f t="shared" si="16"/>
        <v>0.00008205535289</v>
      </c>
    </row>
    <row r="4">
      <c r="A4" s="3">
        <v>3.0</v>
      </c>
      <c r="B4" s="1" t="s">
        <v>5</v>
      </c>
      <c r="C4" s="1">
        <f>countif('5A'!$F$2:$F$522, C$1)</f>
        <v>15</v>
      </c>
      <c r="D4" s="1">
        <f>countif('5A'!$F$2:$F$522, D$1)</f>
        <v>3</v>
      </c>
      <c r="E4" s="1">
        <f>countif('5A'!$F$2:$F$522, E$1)</f>
        <v>2</v>
      </c>
      <c r="F4" s="1">
        <f>countif('5A'!$F$2:$F$522, F$1)</f>
        <v>1</v>
      </c>
      <c r="G4" s="1">
        <f>countif('5A'!$F$2:$F$522, G$1)</f>
        <v>0</v>
      </c>
      <c r="H4" s="1">
        <f>countif('5A'!$F$2:$F$522, H$1)</f>
        <v>0</v>
      </c>
      <c r="I4" s="1">
        <f>countif('5A'!$F$2:$F$522, I$1)</f>
        <v>2</v>
      </c>
      <c r="J4" s="1">
        <f t="shared" ref="J4:J16" si="21">SUM(C3:I3)</f>
        <v>23</v>
      </c>
      <c r="K4" s="6">
        <f t="shared" si="6"/>
        <v>1.956521739</v>
      </c>
      <c r="L4" s="1" t="str">
        <f t="shared" ref="L4:M4" si="17">'Average comparison (age groups)'!L4</f>
        <v>#REF!</v>
      </c>
      <c r="M4" s="1" t="str">
        <f t="shared" si="17"/>
        <v>#REF!</v>
      </c>
      <c r="N4" s="1">
        <f>countifs('5A'!$F$2:$F$522, N$1, '5A'!$B$2:$B$522, "&gt;"&amp;$L$2, '5A'!$B$2:$B$522, "&lt;"&amp;$M$2)</f>
        <v>0</v>
      </c>
      <c r="O4" s="1">
        <f>countifs('5A'!$F$2:$F$522, O$1, '5A'!$B$2:$B$522, "&gt;"&amp;$L$2, '5A'!$B$2:$B$522, "&lt;"&amp;$M$2)</f>
        <v>0</v>
      </c>
      <c r="P4" s="1">
        <f>countifs('5A'!$F$2:$F$522, P$1, '5A'!$B$2:$B$522, "&gt;"&amp;$L$2, '5A'!$B$2:$B$522, "&lt;"&amp;$M$2)</f>
        <v>0</v>
      </c>
      <c r="Q4" s="1">
        <f>countifs('5A'!$F$2:$F$522, Q$1, '5A'!$B$2:$B$522, "&gt;"&amp;$L$2, '5A'!$B$2:$B$522, "&lt;"&amp;$M$2)</f>
        <v>0</v>
      </c>
      <c r="R4" s="1">
        <f>countifs('5A'!$F$2:$F$522, R$1, '5A'!$B$2:$B$522, "&gt;"&amp;$L$2, '5A'!$B$2:$B$522, "&lt;"&amp;$M$2)</f>
        <v>0</v>
      </c>
      <c r="S4" s="1">
        <f>countifs('5A'!$F$2:$F$522, S$1, '5A'!$B$2:$B$522, "&gt;"&amp;$L$2, '5A'!$B$2:$B$522, "&lt;"&amp;$M$2)</f>
        <v>0</v>
      </c>
      <c r="T4" s="1">
        <f>countifs('5A'!$F$2:$F$522, T$1, '5A'!$B$2:$B$522, "&gt;"&amp;$L$2, '5A'!$B$2:$B$522, "&lt;"&amp;$M$2)</f>
        <v>0</v>
      </c>
      <c r="U4" s="1">
        <f>countifs('5A'!$F$2:$F$522, U$1, '5A'!$B$2:$B$522, "&gt;"&amp;$L$3, '5A'!$B$2:$B$522, "&lt;"&amp;$M$3)</f>
        <v>0</v>
      </c>
      <c r="V4" s="1">
        <f>countifs('5A'!$F$2:$F$522, V$1, '5A'!$B$2:$B$522, "&gt;"&amp;$L$3, '5A'!$B$2:$B$522, "&lt;"&amp;$M$3)</f>
        <v>0</v>
      </c>
      <c r="W4" s="1">
        <f>countifs('5A'!$F$2:$F$522, W$1, '5A'!$B$2:$B$522, "&gt;"&amp;$L$3, '5A'!$B$2:$B$522, "&lt;"&amp;$M$3)</f>
        <v>0</v>
      </c>
      <c r="X4" s="1">
        <f>countifs('5A'!$F$2:$F$522, X$1, '5A'!$B$2:$B$522, "&gt;"&amp;$L$3, '5A'!$B$2:$B$522, "&lt;"&amp;$M$3)</f>
        <v>0</v>
      </c>
      <c r="Y4" s="1">
        <f>countifs('5A'!$F$2:$F$522, Y$1, '5A'!$B$2:$B$522, "&gt;"&amp;$L$3, '5A'!$B$2:$B$522, "&lt;"&amp;$M$3)</f>
        <v>0</v>
      </c>
      <c r="Z4" s="1">
        <f>countifs('5A'!$F$2:$F$522, Z$1, '5A'!$B$2:$B$522, "&gt;"&amp;$L$3, '5A'!$B$2:$B$522, "&lt;"&amp;$M$3)</f>
        <v>0</v>
      </c>
      <c r="AA4" s="1">
        <f>countifs('5A'!$F$2:$F$522, AA$1, '5A'!$B$2:$B$522, "&gt;"&amp;$L$3, '5A'!$B$2:$B$522, "&lt;"&amp;$M$3)</f>
        <v>0</v>
      </c>
      <c r="AB4" s="1">
        <f>countifs('5A'!$F$2:$F$522, AB$1, '5A'!$B$2:$B$522, "&gt;"&amp;$L$4, '5A'!$B$2:$B$522, "&lt;"&amp;$M$4)</f>
        <v>0</v>
      </c>
      <c r="AC4" s="1">
        <f>countifs('5A'!$F$2:$F$522, AC$1, '5A'!$B$2:$B$522, "&gt;"&amp;$L$4, '5A'!$B$2:$B$522, "&lt;"&amp;$M$4)</f>
        <v>0</v>
      </c>
      <c r="AD4" s="1">
        <f>countifs('5A'!$F$2:$F$522, AD$1, '5A'!$B$2:$B$522, "&gt;"&amp;$L$4, '5A'!$B$2:$B$522, "&lt;"&amp;$M$4)</f>
        <v>0</v>
      </c>
      <c r="AE4" s="1">
        <f>countifs('5A'!$F$2:$F$522, AE$1, '5A'!$B$2:$B$522, "&gt;"&amp;$L$4, '5A'!$B$2:$B$522, "&lt;"&amp;$M$4)</f>
        <v>0</v>
      </c>
      <c r="AF4" s="1">
        <f>countifs('5A'!$F$2:$F$522, AF$1, '5A'!$B$2:$B$522, "&gt;"&amp;$L$4, '5A'!$B$2:$B$522, "&lt;"&amp;$M$4)</f>
        <v>0</v>
      </c>
      <c r="AG4" s="1">
        <f>countifs('5A'!$F$2:$F$522, AG$1, '5A'!$B$2:$B$522, "&gt;"&amp;$L$4, '5A'!$B$2:$B$522, "&lt;"&amp;$M$4)</f>
        <v>0</v>
      </c>
      <c r="AH4" s="1">
        <f>countifs('5A'!$F$2:$F$522, AH$1, '5A'!$B$2:$B$522, "&gt;"&amp;$L$4, '5A'!$B$2:$B$522, "&lt;"&amp;$M$4)</f>
        <v>0</v>
      </c>
      <c r="AI4" s="3">
        <v>8.0</v>
      </c>
      <c r="AJ4" s="3">
        <v>4.0</v>
      </c>
      <c r="AK4" s="3">
        <v>0.0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6" t="str">
        <f>IFERROR(__xludf.DUMMYFUNCTION("AVERAGE.WEIGHTED($AB$1:$AH$1, AB4:AH4)"),"#DIV/0!")</f>
        <v>#DIV/0!</v>
      </c>
      <c r="AO4" s="6" t="str">
        <f t="shared" ref="AO4:AQ4" si="18">(AL4-1)*100/6</f>
        <v>#DIV/0!</v>
      </c>
      <c r="AP4" s="6" t="str">
        <f t="shared" si="18"/>
        <v>#DIV/0!</v>
      </c>
      <c r="AQ4" s="6" t="str">
        <f t="shared" si="18"/>
        <v>#DIV/0!</v>
      </c>
      <c r="AR4" s="7" t="str">
        <f t="shared" ref="AR4:AT4" si="19">average($AO4:$AQ4)</f>
        <v>#DIV/0!</v>
      </c>
      <c r="AS4" s="7" t="str">
        <f t="shared" si="19"/>
        <v>#DIV/0!</v>
      </c>
      <c r="AT4" s="7" t="str">
        <f t="shared" si="19"/>
        <v>#DIV/0!</v>
      </c>
      <c r="AU4" s="7" t="str">
        <f t="shared" si="10"/>
        <v>#DIV/0!</v>
      </c>
      <c r="AV4" s="1">
        <f>countifs('5A'!$F$2:$F$522, AV$1, '5A'!$C$2:$C$522, "Karl")</f>
        <v>2</v>
      </c>
      <c r="AW4" s="1">
        <f>countifs('5A'!$F$2:$F$522, AW$1, '5A'!$C$2:$C$522, "Karl")</f>
        <v>0</v>
      </c>
      <c r="AX4" s="1">
        <f>countifs('5A'!$F$2:$F$522, AX$1, '5A'!$C$2:$C$522, "Karl")</f>
        <v>0</v>
      </c>
      <c r="AY4" s="1">
        <f>countifs('5A'!$F$2:$F$522, AY$1, '5A'!$C$2:$C$522, "Karl")</f>
        <v>0</v>
      </c>
      <c r="AZ4" s="1">
        <f>countifs('5A'!$F$2:$F$522, AZ$1, '5A'!$C$2:$C$522, "Karl")</f>
        <v>0</v>
      </c>
      <c r="BA4" s="1">
        <f>countifs('5A'!$F$2:$F$522, BA$1, '5A'!$C$2:$C$522, "Karl")</f>
        <v>0</v>
      </c>
      <c r="BB4" s="1">
        <f>countifs('5A'!$F$2:$F$522, BB$1, '5A'!$C$2:$C$522, "Karl")</f>
        <v>0</v>
      </c>
      <c r="BC4" s="1">
        <f>countifs('5A'!$F$2:$F$522, BC$1, '5A'!$C$2:$C$522, "Kona")</f>
        <v>12</v>
      </c>
      <c r="BD4" s="1">
        <f>countifs('5A'!$F$2:$F$522, BD$1, '5A'!$C$2:$C$522, "Kona")</f>
        <v>3</v>
      </c>
      <c r="BE4" s="1">
        <f>countifs('5A'!$F$2:$F$522, BE$1, '5A'!$C$2:$C$522, "Kona")</f>
        <v>2</v>
      </c>
      <c r="BF4" s="1">
        <f>countifs('5A'!$F$2:$F$522, BF$1, '5A'!$C$2:$C$522, "Kona")</f>
        <v>1</v>
      </c>
      <c r="BG4" s="1">
        <f>countifs('5A'!$F$2:$F$522, BG$1, '5A'!$C$2:$C$522, "Kona")</f>
        <v>0</v>
      </c>
      <c r="BH4" s="1">
        <f>countifs('5A'!$F$2:$F$522, BH$1, '5A'!$C$2:$C$522, "Kona")</f>
        <v>0</v>
      </c>
      <c r="BI4" s="1">
        <f>countifs('5A'!$F$2:$F$522, BI$1, '5A'!$C$2:$C$522, "Kona")</f>
        <v>2</v>
      </c>
      <c r="BJ4" s="8">
        <f t="shared" si="11"/>
        <v>2</v>
      </c>
      <c r="BK4" s="8">
        <f t="shared" si="12"/>
        <v>20</v>
      </c>
      <c r="BL4" s="6">
        <f>IFERROR(__xludf.DUMMYFUNCTION("AVERAGE.WEIGHTED($AV$1:$BB$1,AV4:BB4)"),1.0)</f>
        <v>1</v>
      </c>
      <c r="BM4" s="6">
        <f>IFERROR(__xludf.DUMMYFUNCTION("AVERAGE.WEIGHTED($BC$1:$BI$1,BC4:BI4)"),2.1)</f>
        <v>2.1</v>
      </c>
      <c r="BN4" s="6">
        <f t="shared" ref="BN4:BO4" si="20">(BL4-1)*100/6</f>
        <v>0</v>
      </c>
      <c r="BO4" s="6">
        <f t="shared" si="20"/>
        <v>18.33333333</v>
      </c>
      <c r="BP4" s="6">
        <f t="shared" si="14"/>
        <v>9.166666667</v>
      </c>
      <c r="BQ4" s="6">
        <f t="shared" si="15"/>
        <v>9.166666667</v>
      </c>
      <c r="BR4" s="7">
        <f t="shared" si="16"/>
        <v>0.00001854340815</v>
      </c>
    </row>
    <row r="5">
      <c r="A5" s="3">
        <v>4.0</v>
      </c>
      <c r="B5" s="1" t="s">
        <v>6</v>
      </c>
      <c r="C5" s="1">
        <f>countif('5A'!$G$2:$G$522, C$1)</f>
        <v>7</v>
      </c>
      <c r="D5" s="1">
        <f>countif('5A'!$G$2:$G$522, D$1)</f>
        <v>2</v>
      </c>
      <c r="E5" s="1">
        <f>countif('5A'!$G$2:$G$522, E$1)</f>
        <v>0</v>
      </c>
      <c r="F5" s="1">
        <f>countif('5A'!$G$2:$G$522, F$1)</f>
        <v>1</v>
      </c>
      <c r="G5" s="1">
        <f>countif('5A'!$G$2:$G$522, G$1)</f>
        <v>1</v>
      </c>
      <c r="H5" s="1">
        <f>countif('5A'!$G$2:$G$522, H$1)</f>
        <v>5</v>
      </c>
      <c r="I5" s="1">
        <f>countif('5A'!$G$2:$G$522, I$1)</f>
        <v>7</v>
      </c>
      <c r="J5" s="1">
        <f t="shared" si="21"/>
        <v>23</v>
      </c>
      <c r="K5" s="6">
        <f t="shared" si="6"/>
        <v>4.304347826</v>
      </c>
      <c r="N5" s="1">
        <f>countifs('5A'!$G$2:$G$522, N$1, '5A'!$B$2:$B$522, "&gt;"&amp;$L$2, '5A'!$B$2:$B$522, "&lt;"&amp;$M$2)</f>
        <v>0</v>
      </c>
      <c r="O5" s="1">
        <f>countifs('5A'!$G$2:$G$522, O$1, '5A'!$B$2:$B$522, "&gt;"&amp;$L$2, '5A'!$B$2:$B$522, "&lt;"&amp;$M$2)</f>
        <v>0</v>
      </c>
      <c r="P5" s="1">
        <f>countifs('5A'!$G$2:$G$522, P$1, '5A'!$B$2:$B$522, "&gt;"&amp;$L$2, '5A'!$B$2:$B$522, "&lt;"&amp;$M$2)</f>
        <v>0</v>
      </c>
      <c r="Q5" s="1">
        <f>countifs('5A'!$G$2:$G$522, Q$1, '5A'!$B$2:$B$522, "&gt;"&amp;$L$2, '5A'!$B$2:$B$522, "&lt;"&amp;$M$2)</f>
        <v>0</v>
      </c>
      <c r="R5" s="1">
        <f>countifs('5A'!$G$2:$G$522, R$1, '5A'!$B$2:$B$522, "&gt;"&amp;$L$2, '5A'!$B$2:$B$522, "&lt;"&amp;$M$2)</f>
        <v>0</v>
      </c>
      <c r="S5" s="1">
        <f>countifs('5A'!$G$2:$G$522, S$1, '5A'!$B$2:$B$522, "&gt;"&amp;$L$2, '5A'!$B$2:$B$522, "&lt;"&amp;$M$2)</f>
        <v>0</v>
      </c>
      <c r="T5" s="1">
        <f>countifs('5A'!$G$2:$G$522, T$1, '5A'!$B$2:$B$522, "&gt;"&amp;$L$2, '5A'!$B$2:$B$522, "&lt;"&amp;$M$2)</f>
        <v>0</v>
      </c>
      <c r="U5" s="1">
        <f>countifs('5A'!$G$2:$G$522, U$1, '5A'!$B$2:$B$522, "&gt;"&amp;$L$3, '5A'!$B$2:$B$522, "&lt;"&amp;$M$3)</f>
        <v>0</v>
      </c>
      <c r="V5" s="1">
        <f>countifs('5A'!$G$2:$G$522, V$1, '5A'!$B$2:$B$522, "&gt;"&amp;$L$3, '5A'!$B$2:$B$522, "&lt;"&amp;$M$3)</f>
        <v>0</v>
      </c>
      <c r="W5" s="1">
        <f>countifs('5A'!$G$2:$G$522, W$1, '5A'!$B$2:$B$522, "&gt;"&amp;$L$3, '5A'!$B$2:$B$522, "&lt;"&amp;$M$3)</f>
        <v>0</v>
      </c>
      <c r="X5" s="1">
        <f>countifs('5A'!$G$2:$G$522, X$1, '5A'!$B$2:$B$522, "&gt;"&amp;$L$3, '5A'!$B$2:$B$522, "&lt;"&amp;$M$3)</f>
        <v>0</v>
      </c>
      <c r="Y5" s="1">
        <f>countifs('5A'!$G$2:$G$522, Y$1, '5A'!$B$2:$B$522, "&gt;"&amp;$L$3, '5A'!$B$2:$B$522, "&lt;"&amp;$M$3)</f>
        <v>0</v>
      </c>
      <c r="Z5" s="1">
        <f>countifs('5A'!$G$2:$G$522, Z$1, '5A'!$B$2:$B$522, "&gt;"&amp;$L$3, '5A'!$B$2:$B$522, "&lt;"&amp;$M$3)</f>
        <v>0</v>
      </c>
      <c r="AA5" s="1">
        <f>countifs('5A'!$G$2:$G$522, AA$1, '5A'!$B$2:$B$522, "&gt;"&amp;$L$3, '5A'!$B$2:$B$522, "&lt;"&amp;$M$3)</f>
        <v>0</v>
      </c>
      <c r="AB5" s="1">
        <f>countifs('5A'!$G$2:$G$522, AB$1, '5A'!$B$2:$B$522, "&gt;"&amp;$L$4, '5A'!$B$2:$B$522, "&lt;"&amp;$M$4)</f>
        <v>0</v>
      </c>
      <c r="AC5" s="1">
        <f>countifs('5A'!$G$2:$G$522, AC$1, '5A'!$B$2:$B$522, "&gt;"&amp;$L$4, '5A'!$B$2:$B$522, "&lt;"&amp;$M$4)</f>
        <v>0</v>
      </c>
      <c r="AD5" s="1">
        <f>countifs('5A'!$G$2:$G$522, AD$1, '5A'!$B$2:$B$522, "&gt;"&amp;$L$4, '5A'!$B$2:$B$522, "&lt;"&amp;$M$4)</f>
        <v>0</v>
      </c>
      <c r="AE5" s="1">
        <f>countifs('5A'!$G$2:$G$522, AE$1, '5A'!$B$2:$B$522, "&gt;"&amp;$L$4, '5A'!$B$2:$B$522, "&lt;"&amp;$M$4)</f>
        <v>0</v>
      </c>
      <c r="AF5" s="1">
        <f>countifs('5A'!$G$2:$G$522, AF$1, '5A'!$B$2:$B$522, "&gt;"&amp;$L$4, '5A'!$B$2:$B$522, "&lt;"&amp;$M$4)</f>
        <v>0</v>
      </c>
      <c r="AG5" s="1">
        <f>countifs('5A'!$G$2:$G$522, AG$1, '5A'!$B$2:$B$522, "&gt;"&amp;$L$4, '5A'!$B$2:$B$522, "&lt;"&amp;$M$4)</f>
        <v>0</v>
      </c>
      <c r="AH5" s="1">
        <f>countifs('5A'!$G$2:$G$522, AH$1, '5A'!$B$2:$B$522, "&gt;"&amp;$L$4, '5A'!$B$2:$B$522, "&lt;"&amp;$M$4)</f>
        <v>0</v>
      </c>
      <c r="AI5" s="3">
        <v>8.0</v>
      </c>
      <c r="AJ5" s="3">
        <v>4.0</v>
      </c>
      <c r="AK5" s="3">
        <v>0.0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6" t="str">
        <f>IFERROR(__xludf.DUMMYFUNCTION("AVERAGE.WEIGHTED($AB$1:$AH$1, AB5:AH5)"),"#DIV/0!")</f>
        <v>#DIV/0!</v>
      </c>
      <c r="AO5" s="6" t="str">
        <f t="shared" ref="AO5:AQ5" si="22">(AL5-1)*100/6</f>
        <v>#DIV/0!</v>
      </c>
      <c r="AP5" s="6" t="str">
        <f t="shared" si="22"/>
        <v>#DIV/0!</v>
      </c>
      <c r="AQ5" s="6" t="str">
        <f t="shared" si="22"/>
        <v>#DIV/0!</v>
      </c>
      <c r="AR5" s="7" t="str">
        <f t="shared" ref="AR5:AT5" si="23">average($AO5:$AQ5)</f>
        <v>#DIV/0!</v>
      </c>
      <c r="AS5" s="7" t="str">
        <f t="shared" si="23"/>
        <v>#DIV/0!</v>
      </c>
      <c r="AT5" s="7" t="str">
        <f t="shared" si="23"/>
        <v>#DIV/0!</v>
      </c>
      <c r="AU5" s="7" t="str">
        <f t="shared" si="10"/>
        <v>#DIV/0!</v>
      </c>
      <c r="AV5" s="1">
        <f>countifs('5A'!$G$2:$G$522, AV$1, '5A'!$C$2:$C$522, "Karl")</f>
        <v>2</v>
      </c>
      <c r="AW5" s="1">
        <f>countifs('5A'!$G$2:$G$522, AW$1, '5A'!$C$2:$C$522, "Karl")</f>
        <v>0</v>
      </c>
      <c r="AX5" s="1">
        <f>countifs('5A'!$G$2:$G$522, AX$1, '5A'!$C$2:$C$522, "Karl")</f>
        <v>0</v>
      </c>
      <c r="AY5" s="1">
        <f>countifs('5A'!$G$2:$G$522, AY$1, '5A'!$C$2:$C$522, "Karl")</f>
        <v>0</v>
      </c>
      <c r="AZ5" s="1">
        <f>countifs('5A'!$G$2:$G$522, AZ$1, '5A'!$C$2:$C$522, "Karl")</f>
        <v>0</v>
      </c>
      <c r="BA5" s="1">
        <f>countifs('5A'!$G$2:$G$522, BA$1, '5A'!$C$2:$C$522, "Karl")</f>
        <v>0</v>
      </c>
      <c r="BB5" s="1">
        <f>countifs('5A'!$G$2:$G$522, BB$1, '5A'!$C$2:$C$522, "Karl")</f>
        <v>0</v>
      </c>
      <c r="BC5" s="1">
        <f>countifs('5A'!$G$2:$G$522, BC$1, '5A'!$C$2:$C$522, "Kona")</f>
        <v>4</v>
      </c>
      <c r="BD5" s="1">
        <f>countifs('5A'!$G$2:$G$522, BD$1, '5A'!$C$2:$C$522, "Kona")</f>
        <v>2</v>
      </c>
      <c r="BE5" s="1">
        <f>countifs('5A'!$G$2:$G$522, BE$1, '5A'!$C$2:$C$522, "Kona")</f>
        <v>0</v>
      </c>
      <c r="BF5" s="1">
        <f>countifs('5A'!$G$2:$G$522, BF$1, '5A'!$C$2:$C$522, "Kona")</f>
        <v>1</v>
      </c>
      <c r="BG5" s="1">
        <f>countifs('5A'!$G$2:$G$522, BG$1, '5A'!$C$2:$C$522, "Kona")</f>
        <v>1</v>
      </c>
      <c r="BH5" s="1">
        <f>countifs('5A'!$G$2:$G$522, BH$1, '5A'!$C$2:$C$522, "Kona")</f>
        <v>5</v>
      </c>
      <c r="BI5" s="1">
        <f>countifs('5A'!$G$2:$G$522, BI$1, '5A'!$C$2:$C$522, "Kona")</f>
        <v>7</v>
      </c>
      <c r="BJ5" s="8">
        <f t="shared" si="11"/>
        <v>2</v>
      </c>
      <c r="BK5" s="8">
        <f t="shared" si="12"/>
        <v>20</v>
      </c>
      <c r="BL5" s="6">
        <f>IFERROR(__xludf.DUMMYFUNCTION("AVERAGE.WEIGHTED($AV$1:$BB$1,AV5:BB5)"),1.0)</f>
        <v>1</v>
      </c>
      <c r="BM5" s="6">
        <f>IFERROR(__xludf.DUMMYFUNCTION("AVERAGE.WEIGHTED($BC$1:$BI$1,BC5:BI5)"),4.8)</f>
        <v>4.8</v>
      </c>
      <c r="BN5" s="6">
        <f t="shared" ref="BN5:BO5" si="24">(BL5-1)*100/6</f>
        <v>0</v>
      </c>
      <c r="BO5" s="6">
        <f t="shared" si="24"/>
        <v>63.33333333</v>
      </c>
      <c r="BP5" s="6">
        <f t="shared" si="14"/>
        <v>31.66666667</v>
      </c>
      <c r="BQ5" s="6">
        <f t="shared" si="15"/>
        <v>31.66666667</v>
      </c>
      <c r="BR5" s="7">
        <f t="shared" si="16"/>
        <v>0</v>
      </c>
    </row>
    <row r="6">
      <c r="A6" s="3">
        <v>5.0</v>
      </c>
      <c r="B6" s="1" t="s">
        <v>7</v>
      </c>
      <c r="C6" s="1">
        <f>countif('5A'!$H$2:$H$522, C$1)</f>
        <v>2</v>
      </c>
      <c r="D6" s="1">
        <f>countif('5A'!$H$2:$H$522, D$1)</f>
        <v>3</v>
      </c>
      <c r="E6" s="1">
        <f>countif('5A'!$H$2:$H$522, E$1)</f>
        <v>1</v>
      </c>
      <c r="F6" s="1">
        <f>countif('5A'!$H$2:$H$522, F$1)</f>
        <v>1</v>
      </c>
      <c r="G6" s="1">
        <f>countif('5A'!$H$2:$H$522, G$1)</f>
        <v>4</v>
      </c>
      <c r="H6" s="1">
        <f>countif('5A'!$H$2:$H$522, H$1)</f>
        <v>2</v>
      </c>
      <c r="I6" s="1">
        <f>countif('5A'!$H$2:$H$522, I$1)</f>
        <v>10</v>
      </c>
      <c r="J6" s="1">
        <f t="shared" si="21"/>
        <v>23</v>
      </c>
      <c r="K6" s="6">
        <f t="shared" si="6"/>
        <v>5.086956522</v>
      </c>
      <c r="N6" s="1">
        <f>countifs('5A'!$H$2:$H$522, N$1, '5A'!$B$2:$B$522, "&gt;"&amp;$L$2, '5A'!$B$2:$B$522, "&lt;"&amp;$M$2)</f>
        <v>0</v>
      </c>
      <c r="O6" s="1">
        <f>countifs('5A'!$H$2:$H$522, O$1, '5A'!$B$2:$B$522, "&gt;"&amp;$L$2, '5A'!$B$2:$B$522, "&lt;"&amp;$M$2)</f>
        <v>0</v>
      </c>
      <c r="P6" s="1">
        <f>countifs('5A'!$H$2:$H$522, P$1, '5A'!$B$2:$B$522, "&gt;"&amp;$L$2, '5A'!$B$2:$B$522, "&lt;"&amp;$M$2)</f>
        <v>0</v>
      </c>
      <c r="Q6" s="1">
        <f>countifs('5A'!$H$2:$H$522, Q$1, '5A'!$B$2:$B$522, "&gt;"&amp;$L$2, '5A'!$B$2:$B$522, "&lt;"&amp;$M$2)</f>
        <v>0</v>
      </c>
      <c r="R6" s="1">
        <f>countifs('5A'!$H$2:$H$522, R$1, '5A'!$B$2:$B$522, "&gt;"&amp;$L$2, '5A'!$B$2:$B$522, "&lt;"&amp;$M$2)</f>
        <v>0</v>
      </c>
      <c r="S6" s="1">
        <f>countifs('5A'!$H$2:$H$522, S$1, '5A'!$B$2:$B$522, "&gt;"&amp;$L$2, '5A'!$B$2:$B$522, "&lt;"&amp;$M$2)</f>
        <v>0</v>
      </c>
      <c r="T6" s="1">
        <f>countifs('5A'!$H$2:$H$522, T$1, '5A'!$B$2:$B$522, "&gt;"&amp;$L$2, '5A'!$B$2:$B$522, "&lt;"&amp;$M$2)</f>
        <v>0</v>
      </c>
      <c r="U6" s="1">
        <f>countifs('5A'!$H$2:$H$522, U$1, '5A'!$B$2:$B$522, "&gt;"&amp;$L$3, '5A'!$B$2:$B$522, "&lt;"&amp;$M$3)</f>
        <v>0</v>
      </c>
      <c r="V6" s="1">
        <f>countifs('5A'!$H$2:$H$522, V$1, '5A'!$B$2:$B$522, "&gt;"&amp;$L$3, '5A'!$B$2:$B$522, "&lt;"&amp;$M$3)</f>
        <v>0</v>
      </c>
      <c r="W6" s="1">
        <f>countifs('5A'!$H$2:$H$522, W$1, '5A'!$B$2:$B$522, "&gt;"&amp;$L$3, '5A'!$B$2:$B$522, "&lt;"&amp;$M$3)</f>
        <v>0</v>
      </c>
      <c r="X6" s="1">
        <f>countifs('5A'!$H$2:$H$522, X$1, '5A'!$B$2:$B$522, "&gt;"&amp;$L$3, '5A'!$B$2:$B$522, "&lt;"&amp;$M$3)</f>
        <v>0</v>
      </c>
      <c r="Y6" s="1">
        <f>countifs('5A'!$H$2:$H$522, Y$1, '5A'!$B$2:$B$522, "&gt;"&amp;$L$3, '5A'!$B$2:$B$522, "&lt;"&amp;$M$3)</f>
        <v>0</v>
      </c>
      <c r="Z6" s="1">
        <f>countifs('5A'!$H$2:$H$522, Z$1, '5A'!$B$2:$B$522, "&gt;"&amp;$L$3, '5A'!$B$2:$B$522, "&lt;"&amp;$M$3)</f>
        <v>0</v>
      </c>
      <c r="AA6" s="1">
        <f>countifs('5A'!$H$2:$H$522, AA$1, '5A'!$B$2:$B$522, "&gt;"&amp;$L$3, '5A'!$B$2:$B$522, "&lt;"&amp;$M$3)</f>
        <v>0</v>
      </c>
      <c r="AB6" s="1">
        <f>countifs('5A'!$H$2:$H$522, AB$1, '5A'!$B$2:$B$522, "&gt;"&amp;$L$4, '5A'!$B$2:$B$522, "&lt;"&amp;$M$4)</f>
        <v>0</v>
      </c>
      <c r="AC6" s="1">
        <f>countifs('5A'!$H$2:$H$522, AC$1, '5A'!$B$2:$B$522, "&gt;"&amp;$L$4, '5A'!$B$2:$B$522, "&lt;"&amp;$M$4)</f>
        <v>0</v>
      </c>
      <c r="AD6" s="1">
        <f>countifs('5A'!$H$2:$H$522, AD$1, '5A'!$B$2:$B$522, "&gt;"&amp;$L$4, '5A'!$B$2:$B$522, "&lt;"&amp;$M$4)</f>
        <v>0</v>
      </c>
      <c r="AE6" s="1">
        <f>countifs('5A'!$H$2:$H$522, AE$1, '5A'!$B$2:$B$522, "&gt;"&amp;$L$4, '5A'!$B$2:$B$522, "&lt;"&amp;$M$4)</f>
        <v>0</v>
      </c>
      <c r="AF6" s="1">
        <f>countifs('5A'!$H$2:$H$522, AF$1, '5A'!$B$2:$B$522, "&gt;"&amp;$L$4, '5A'!$B$2:$B$522, "&lt;"&amp;$M$4)</f>
        <v>0</v>
      </c>
      <c r="AG6" s="1">
        <f>countifs('5A'!$H$2:$H$522, AG$1, '5A'!$B$2:$B$522, "&gt;"&amp;$L$4, '5A'!$B$2:$B$522, "&lt;"&amp;$M$4)</f>
        <v>0</v>
      </c>
      <c r="AH6" s="1">
        <f>countifs('5A'!$H$2:$H$522, AH$1, '5A'!$B$2:$B$522, "&gt;"&amp;$L$4, '5A'!$B$2:$B$522, "&lt;"&amp;$M$4)</f>
        <v>0</v>
      </c>
      <c r="AI6" s="3">
        <v>8.0</v>
      </c>
      <c r="AJ6" s="3">
        <v>4.0</v>
      </c>
      <c r="AK6" s="3">
        <v>0.0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6" t="str">
        <f>IFERROR(__xludf.DUMMYFUNCTION("AVERAGE.WEIGHTED($AB$1:$AH$1, AB6:AH6)"),"#DIV/0!")</f>
        <v>#DIV/0!</v>
      </c>
      <c r="AO6" s="6" t="str">
        <f t="shared" ref="AO6:AQ6" si="25">(AL6-1)*100/6</f>
        <v>#DIV/0!</v>
      </c>
      <c r="AP6" s="6" t="str">
        <f t="shared" si="25"/>
        <v>#DIV/0!</v>
      </c>
      <c r="AQ6" s="6" t="str">
        <f t="shared" si="25"/>
        <v>#DIV/0!</v>
      </c>
      <c r="AR6" s="7" t="str">
        <f t="shared" ref="AR6:AT6" si="26">average($AO6:$AQ6)</f>
        <v>#DIV/0!</v>
      </c>
      <c r="AS6" s="7" t="str">
        <f t="shared" si="26"/>
        <v>#DIV/0!</v>
      </c>
      <c r="AT6" s="7" t="str">
        <f t="shared" si="26"/>
        <v>#DIV/0!</v>
      </c>
      <c r="AU6" s="7" t="str">
        <f t="shared" si="10"/>
        <v>#DIV/0!</v>
      </c>
      <c r="AV6" s="1">
        <f>countifs('5A'!$H$2:$H$522, AV$1, '5A'!$C$2:$C$522, "Karl")</f>
        <v>1</v>
      </c>
      <c r="AW6" s="1">
        <f>countifs('5A'!$H$2:$H$522, AW$1, '5A'!$C$2:$C$522, "Karl")</f>
        <v>0</v>
      </c>
      <c r="AX6" s="1">
        <f>countifs('5A'!$H$2:$H$522, AX$1, '5A'!$C$2:$C$522, "Karl")</f>
        <v>0</v>
      </c>
      <c r="AY6" s="1">
        <f>countifs('5A'!$H$2:$H$522, AY$1, '5A'!$C$2:$C$522, "Karl")</f>
        <v>0</v>
      </c>
      <c r="AZ6" s="1">
        <f>countifs('5A'!$H$2:$H$522, AZ$1, '5A'!$C$2:$C$522, "Karl")</f>
        <v>1</v>
      </c>
      <c r="BA6" s="1">
        <f>countifs('5A'!$H$2:$H$522, BA$1, '5A'!$C$2:$C$522, "Karl")</f>
        <v>0</v>
      </c>
      <c r="BB6" s="1">
        <f>countifs('5A'!$H$2:$H$522, BB$1, '5A'!$C$2:$C$522, "Karl")</f>
        <v>0</v>
      </c>
      <c r="BC6" s="1">
        <f>countifs('5A'!$H$2:$H$522, BC$1, '5A'!$C$2:$C$522, "Kona")</f>
        <v>1</v>
      </c>
      <c r="BD6" s="1">
        <f>countifs('5A'!$H$2:$H$522, BD$1, '5A'!$C$2:$C$522, "Kona")</f>
        <v>3</v>
      </c>
      <c r="BE6" s="1">
        <f>countifs('5A'!$H$2:$H$522, BE$1, '5A'!$C$2:$C$522, "Kona")</f>
        <v>1</v>
      </c>
      <c r="BF6" s="1">
        <f>countifs('5A'!$H$2:$H$522, BF$1, '5A'!$C$2:$C$522, "Kona")</f>
        <v>1</v>
      </c>
      <c r="BG6" s="1">
        <f>countifs('5A'!$H$2:$H$522, BG$1, '5A'!$C$2:$C$522, "Kona")</f>
        <v>3</v>
      </c>
      <c r="BH6" s="1">
        <f>countifs('5A'!$H$2:$H$522, BH$1, '5A'!$C$2:$C$522, "Kona")</f>
        <v>2</v>
      </c>
      <c r="BI6" s="1">
        <f>countifs('5A'!$H$2:$H$522, BI$1, '5A'!$C$2:$C$522, "Kona")</f>
        <v>9</v>
      </c>
      <c r="BJ6" s="8">
        <f t="shared" si="11"/>
        <v>2</v>
      </c>
      <c r="BK6" s="8">
        <f t="shared" si="12"/>
        <v>20</v>
      </c>
      <c r="BL6" s="6">
        <f>IFERROR(__xludf.DUMMYFUNCTION("AVERAGE.WEIGHTED($AV$1:$BB$1,AV6:BB6)"),3.0)</f>
        <v>3</v>
      </c>
      <c r="BM6" s="6">
        <f>IFERROR(__xludf.DUMMYFUNCTION("AVERAGE.WEIGHTED($BC$1:$BI$1,BC6:BI6)"),5.2)</f>
        <v>5.2</v>
      </c>
      <c r="BN6" s="6">
        <f t="shared" ref="BN6:BO6" si="27">(BL6-1)*100/6</f>
        <v>33.33333333</v>
      </c>
      <c r="BO6" s="6">
        <f t="shared" si="27"/>
        <v>70</v>
      </c>
      <c r="BP6" s="6">
        <f t="shared" si="14"/>
        <v>51.66666667</v>
      </c>
      <c r="BQ6" s="6">
        <f t="shared" si="15"/>
        <v>51.66666667</v>
      </c>
      <c r="BR6" s="7">
        <f t="shared" si="16"/>
        <v>0.0003097074293</v>
      </c>
    </row>
    <row r="7">
      <c r="A7" s="3">
        <v>6.0</v>
      </c>
      <c r="B7" s="1" t="s">
        <v>8</v>
      </c>
      <c r="C7" s="1">
        <f>countif('5A'!$I$2:$I$522, C$1)</f>
        <v>15</v>
      </c>
      <c r="D7" s="1">
        <f>countif('5A'!$I$2:$I$522, D$1)</f>
        <v>3</v>
      </c>
      <c r="E7" s="1">
        <f>countif('5A'!$I$2:$I$522, E$1)</f>
        <v>3</v>
      </c>
      <c r="F7" s="1">
        <f>countif('5A'!$I$2:$I$522, F$1)</f>
        <v>0</v>
      </c>
      <c r="G7" s="1">
        <f>countif('5A'!$I$2:$I$522, G$1)</f>
        <v>0</v>
      </c>
      <c r="H7" s="1">
        <f>countif('5A'!$I$2:$I$522, H$1)</f>
        <v>0</v>
      </c>
      <c r="I7" s="1">
        <f>countif('5A'!$I$2:$I$522, I$1)</f>
        <v>2</v>
      </c>
      <c r="J7" s="1">
        <f t="shared" si="21"/>
        <v>23</v>
      </c>
      <c r="K7" s="6">
        <f t="shared" si="6"/>
        <v>1.913043478</v>
      </c>
      <c r="N7" s="1">
        <f>countifs('5A'!$I$2:$I$522, N$1, '5A'!$B$2:$B$522, "&gt;"&amp;$L$2, '5A'!$B$2:$B$522, "&lt;"&amp;$M$2)</f>
        <v>0</v>
      </c>
      <c r="O7" s="1">
        <f>countifs('5A'!$I$2:$I$522, O$1, '5A'!$B$2:$B$522, "&gt;"&amp;$L$2, '5A'!$B$2:$B$522, "&lt;"&amp;$M$2)</f>
        <v>0</v>
      </c>
      <c r="P7" s="1">
        <f>countifs('5A'!$I$2:$I$522, P$1, '5A'!$B$2:$B$522, "&gt;"&amp;$L$2, '5A'!$B$2:$B$522, "&lt;"&amp;$M$2)</f>
        <v>0</v>
      </c>
      <c r="Q7" s="1">
        <f>countifs('5A'!$I$2:$I$522, Q$1, '5A'!$B$2:$B$522, "&gt;"&amp;$L$2, '5A'!$B$2:$B$522, "&lt;"&amp;$M$2)</f>
        <v>0</v>
      </c>
      <c r="R7" s="1">
        <f>countifs('5A'!$I$2:$I$522, R$1, '5A'!$B$2:$B$522, "&gt;"&amp;$L$2, '5A'!$B$2:$B$522, "&lt;"&amp;$M$2)</f>
        <v>0</v>
      </c>
      <c r="S7" s="1">
        <f>countifs('5A'!$I$2:$I$522, S$1, '5A'!$B$2:$B$522, "&gt;"&amp;$L$2, '5A'!$B$2:$B$522, "&lt;"&amp;$M$2)</f>
        <v>0</v>
      </c>
      <c r="T7" s="1">
        <f>countifs('5A'!$I$2:$I$522, T$1, '5A'!$B$2:$B$522, "&gt;"&amp;$L$2, '5A'!$B$2:$B$522, "&lt;"&amp;$M$2)</f>
        <v>0</v>
      </c>
      <c r="U7" s="1">
        <f>countifs('5A'!$I$2:$I$522, U$1, '5A'!$B$2:$B$522, "&gt;"&amp;$L$3, '5A'!$B$2:$B$522, "&lt;"&amp;$M$3)</f>
        <v>0</v>
      </c>
      <c r="V7" s="1">
        <f>countifs('5A'!$I$2:$I$522, V$1, '5A'!$B$2:$B$522, "&gt;"&amp;$L$3, '5A'!$B$2:$B$522, "&lt;"&amp;$M$3)</f>
        <v>0</v>
      </c>
      <c r="W7" s="1">
        <f>countifs('5A'!$I$2:$I$522, W$1, '5A'!$B$2:$B$522, "&gt;"&amp;$L$3, '5A'!$B$2:$B$522, "&lt;"&amp;$M$3)</f>
        <v>0</v>
      </c>
      <c r="X7" s="1">
        <f>countifs('5A'!$I$2:$I$522, X$1, '5A'!$B$2:$B$522, "&gt;"&amp;$L$3, '5A'!$B$2:$B$522, "&lt;"&amp;$M$3)</f>
        <v>0</v>
      </c>
      <c r="Y7" s="1">
        <f>countifs('5A'!$I$2:$I$522, Y$1, '5A'!$B$2:$B$522, "&gt;"&amp;$L$3, '5A'!$B$2:$B$522, "&lt;"&amp;$M$3)</f>
        <v>0</v>
      </c>
      <c r="Z7" s="1">
        <f>countifs('5A'!$I$2:$I$522, Z$1, '5A'!$B$2:$B$522, "&gt;"&amp;$L$3, '5A'!$B$2:$B$522, "&lt;"&amp;$M$3)</f>
        <v>0</v>
      </c>
      <c r="AA7" s="1">
        <f>countifs('5A'!$I$2:$I$522, AA$1, '5A'!$B$2:$B$522, "&gt;"&amp;$L$3, '5A'!$B$2:$B$522, "&lt;"&amp;$M$3)</f>
        <v>0</v>
      </c>
      <c r="AB7" s="1">
        <f>countifs('5A'!$I$2:$I$522, AB$1, '5A'!$B$2:$B$522, "&gt;"&amp;$L$4, '5A'!$B$2:$B$522, "&lt;"&amp;$M$4)</f>
        <v>0</v>
      </c>
      <c r="AC7" s="1">
        <f>countifs('5A'!$I$2:$I$522, AC$1, '5A'!$B$2:$B$522, "&gt;"&amp;$L$4, '5A'!$B$2:$B$522, "&lt;"&amp;$M$4)</f>
        <v>0</v>
      </c>
      <c r="AD7" s="1">
        <f>countifs('5A'!$I$2:$I$522, AD$1, '5A'!$B$2:$B$522, "&gt;"&amp;$L$4, '5A'!$B$2:$B$522, "&lt;"&amp;$M$4)</f>
        <v>0</v>
      </c>
      <c r="AE7" s="1">
        <f>countifs('5A'!$I$2:$I$522, AE$1, '5A'!$B$2:$B$522, "&gt;"&amp;$L$4, '5A'!$B$2:$B$522, "&lt;"&amp;$M$4)</f>
        <v>0</v>
      </c>
      <c r="AF7" s="1">
        <f>countifs('5A'!$I$2:$I$522, AF$1, '5A'!$B$2:$B$522, "&gt;"&amp;$L$4, '5A'!$B$2:$B$522, "&lt;"&amp;$M$4)</f>
        <v>0</v>
      </c>
      <c r="AG7" s="1">
        <f>countifs('5A'!$I$2:$I$522, AG$1, '5A'!$B$2:$B$522, "&gt;"&amp;$L$4, '5A'!$B$2:$B$522, "&lt;"&amp;$M$4)</f>
        <v>0</v>
      </c>
      <c r="AH7" s="1">
        <f>countifs('5A'!$I$2:$I$522, AH$1, '5A'!$B$2:$B$522, "&gt;"&amp;$L$4, '5A'!$B$2:$B$522, "&lt;"&amp;$M$4)</f>
        <v>0</v>
      </c>
      <c r="AI7" s="3">
        <v>8.0</v>
      </c>
      <c r="AJ7" s="3">
        <v>4.0</v>
      </c>
      <c r="AK7" s="3">
        <v>0.0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6" t="str">
        <f>IFERROR(__xludf.DUMMYFUNCTION("AVERAGE.WEIGHTED($AB$1:$AH$1, AB7:AH7)"),"#DIV/0!")</f>
        <v>#DIV/0!</v>
      </c>
      <c r="AO7" s="6" t="str">
        <f t="shared" ref="AO7:AQ7" si="28">(AL7-1)*100/6</f>
        <v>#DIV/0!</v>
      </c>
      <c r="AP7" s="6" t="str">
        <f t="shared" si="28"/>
        <v>#DIV/0!</v>
      </c>
      <c r="AQ7" s="6" t="str">
        <f t="shared" si="28"/>
        <v>#DIV/0!</v>
      </c>
      <c r="AR7" s="7" t="str">
        <f t="shared" ref="AR7:AT7" si="29">average($AO7:$AQ7)</f>
        <v>#DIV/0!</v>
      </c>
      <c r="AS7" s="7" t="str">
        <f t="shared" si="29"/>
        <v>#DIV/0!</v>
      </c>
      <c r="AT7" s="7" t="str">
        <f t="shared" si="29"/>
        <v>#DIV/0!</v>
      </c>
      <c r="AU7" s="7" t="str">
        <f t="shared" si="10"/>
        <v>#DIV/0!</v>
      </c>
      <c r="AV7" s="1">
        <f>countifs('5A'!$I$2:$I$522, AV$1, '5A'!$C$2:$C$522, "Karl")</f>
        <v>2</v>
      </c>
      <c r="AW7" s="1">
        <f>countifs('5A'!$I$2:$I$522, AW$1, '5A'!$C$2:$C$522, "Karl")</f>
        <v>0</v>
      </c>
      <c r="AX7" s="1">
        <f>countifs('5A'!$I$2:$I$522, AX$1, '5A'!$C$2:$C$522, "Karl")</f>
        <v>0</v>
      </c>
      <c r="AY7" s="1">
        <f>countifs('5A'!$I$2:$I$522, AY$1, '5A'!$C$2:$C$522, "Karl")</f>
        <v>0</v>
      </c>
      <c r="AZ7" s="1">
        <f>countifs('5A'!$I$2:$I$522, AZ$1, '5A'!$C$2:$C$522, "Karl")</f>
        <v>0</v>
      </c>
      <c r="BA7" s="1">
        <f>countifs('5A'!$I$2:$I$522, BA$1, '5A'!$C$2:$C$522, "Karl")</f>
        <v>0</v>
      </c>
      <c r="BB7" s="1">
        <f>countifs('5A'!$I$2:$I$522, BB$1, '5A'!$C$2:$C$522, "Karl")</f>
        <v>0</v>
      </c>
      <c r="BC7" s="1">
        <f>countifs('5A'!$I$2:$I$522, BC$1, '5A'!$C$2:$C$522, "Kona")</f>
        <v>12</v>
      </c>
      <c r="BD7" s="1">
        <f>countifs('5A'!$I$2:$I$522, BD$1, '5A'!$C$2:$C$522, "Kona")</f>
        <v>3</v>
      </c>
      <c r="BE7" s="1">
        <f>countifs('5A'!$I$2:$I$522, BE$1, '5A'!$C$2:$C$522, "Kona")</f>
        <v>3</v>
      </c>
      <c r="BF7" s="1">
        <f>countifs('5A'!$I$2:$I$522, BF$1, '5A'!$C$2:$C$522, "Kona")</f>
        <v>0</v>
      </c>
      <c r="BG7" s="1">
        <f>countifs('5A'!$I$2:$I$522, BG$1, '5A'!$C$2:$C$522, "Kona")</f>
        <v>0</v>
      </c>
      <c r="BH7" s="1">
        <f>countifs('5A'!$I$2:$I$522, BH$1, '5A'!$C$2:$C$522, "Kona")</f>
        <v>0</v>
      </c>
      <c r="BI7" s="1">
        <f>countifs('5A'!$I$2:$I$522, BI$1, '5A'!$C$2:$C$522, "Kona")</f>
        <v>2</v>
      </c>
      <c r="BJ7" s="8">
        <f t="shared" si="11"/>
        <v>2</v>
      </c>
      <c r="BK7" s="8">
        <f t="shared" si="12"/>
        <v>20</v>
      </c>
      <c r="BL7" s="6">
        <f>IFERROR(__xludf.DUMMYFUNCTION("AVERAGE.WEIGHTED($AV$1:$BB$1,AV7:BB7)"),1.0)</f>
        <v>1</v>
      </c>
      <c r="BM7" s="6">
        <f>IFERROR(__xludf.DUMMYFUNCTION("AVERAGE.WEIGHTED($BC$1:$BI$1,BC7:BI7)"),2.0500000000000003)</f>
        <v>2.05</v>
      </c>
      <c r="BN7" s="6">
        <f t="shared" ref="BN7:BO7" si="30">(BL7-1)*100/6</f>
        <v>0</v>
      </c>
      <c r="BO7" s="6">
        <f t="shared" si="30"/>
        <v>17.5</v>
      </c>
      <c r="BP7" s="6">
        <f t="shared" si="14"/>
        <v>8.75</v>
      </c>
      <c r="BQ7" s="6">
        <f t="shared" si="15"/>
        <v>8.75</v>
      </c>
      <c r="BR7" s="7">
        <f t="shared" si="16"/>
        <v>0.00002873076843</v>
      </c>
    </row>
    <row r="8">
      <c r="A8" s="3">
        <v>7.0</v>
      </c>
      <c r="B8" s="1" t="s">
        <v>9</v>
      </c>
      <c r="C8" s="1">
        <f>countif('5A'!$J$2:$J$522, C$1)</f>
        <v>5</v>
      </c>
      <c r="D8" s="1">
        <f>countif('5A'!$J$2:$J$522, D$1)</f>
        <v>4</v>
      </c>
      <c r="E8" s="1">
        <f>countif('5A'!$J$2:$J$522, E$1)</f>
        <v>2</v>
      </c>
      <c r="F8" s="1">
        <f>countif('5A'!$J$2:$J$522, F$1)</f>
        <v>2</v>
      </c>
      <c r="G8" s="1">
        <f>countif('5A'!$J$2:$J$522, G$1)</f>
        <v>2</v>
      </c>
      <c r="H8" s="1">
        <f>countif('5A'!$J$2:$J$522, H$1)</f>
        <v>5</v>
      </c>
      <c r="I8" s="1">
        <f>countif('5A'!$J$2:$J$522, I$1)</f>
        <v>3</v>
      </c>
      <c r="J8" s="1">
        <f t="shared" si="21"/>
        <v>23</v>
      </c>
      <c r="K8" s="6">
        <f t="shared" si="6"/>
        <v>3.826086957</v>
      </c>
      <c r="N8" s="1">
        <f>countifs('5A'!$J$2:$J$522, N$1, '5A'!$B$2:$B$522, "&gt;"&amp;$L$2, '5A'!$B$2:$B$522, "&lt;"&amp;$M$2)</f>
        <v>0</v>
      </c>
      <c r="O8" s="1">
        <f>countifs('5A'!$J$2:$J$522, O$1, '5A'!$B$2:$B$522, "&gt;"&amp;$L$2, '5A'!$B$2:$B$522, "&lt;"&amp;$M$2)</f>
        <v>0</v>
      </c>
      <c r="P8" s="1">
        <f>countifs('5A'!$J$2:$J$522, P$1, '5A'!$B$2:$B$522, "&gt;"&amp;$L$2, '5A'!$B$2:$B$522, "&lt;"&amp;$M$2)</f>
        <v>0</v>
      </c>
      <c r="Q8" s="1">
        <f>countifs('5A'!$J$2:$J$522, Q$1, '5A'!$B$2:$B$522, "&gt;"&amp;$L$2, '5A'!$B$2:$B$522, "&lt;"&amp;$M$2)</f>
        <v>0</v>
      </c>
      <c r="R8" s="1">
        <f>countifs('5A'!$J$2:$J$522, R$1, '5A'!$B$2:$B$522, "&gt;"&amp;$L$2, '5A'!$B$2:$B$522, "&lt;"&amp;$M$2)</f>
        <v>0</v>
      </c>
      <c r="S8" s="1">
        <f>countifs('5A'!$J$2:$J$522, S$1, '5A'!$B$2:$B$522, "&gt;"&amp;$L$2, '5A'!$B$2:$B$522, "&lt;"&amp;$M$2)</f>
        <v>0</v>
      </c>
      <c r="T8" s="1">
        <f>countifs('5A'!$J$2:$J$522, T$1, '5A'!$B$2:$B$522, "&gt;"&amp;$L$2, '5A'!$B$2:$B$522, "&lt;"&amp;$M$2)</f>
        <v>0</v>
      </c>
      <c r="U8" s="1">
        <f>countifs('5A'!$J$2:$J$522, U$1, '5A'!$B$2:$B$522, "&gt;"&amp;$L$3, '5A'!$B$2:$B$522, "&lt;"&amp;$M$3)</f>
        <v>0</v>
      </c>
      <c r="V8" s="1">
        <f>countifs('5A'!$J$2:$J$522, V$1, '5A'!$B$2:$B$522, "&gt;"&amp;$L$3, '5A'!$B$2:$B$522, "&lt;"&amp;$M$3)</f>
        <v>0</v>
      </c>
      <c r="W8" s="1">
        <f>countifs('5A'!$J$2:$J$522, W$1, '5A'!$B$2:$B$522, "&gt;"&amp;$L$3, '5A'!$B$2:$B$522, "&lt;"&amp;$M$3)</f>
        <v>0</v>
      </c>
      <c r="X8" s="1">
        <f>countifs('5A'!$J$2:$J$522, X$1, '5A'!$B$2:$B$522, "&gt;"&amp;$L$3, '5A'!$B$2:$B$522, "&lt;"&amp;$M$3)</f>
        <v>0</v>
      </c>
      <c r="Y8" s="1">
        <f>countifs('5A'!$J$2:$J$522, Y$1, '5A'!$B$2:$B$522, "&gt;"&amp;$L$3, '5A'!$B$2:$B$522, "&lt;"&amp;$M$3)</f>
        <v>0</v>
      </c>
      <c r="Z8" s="1">
        <f>countifs('5A'!$J$2:$J$522, Z$1, '5A'!$B$2:$B$522, "&gt;"&amp;$L$3, '5A'!$B$2:$B$522, "&lt;"&amp;$M$3)</f>
        <v>0</v>
      </c>
      <c r="AA8" s="1">
        <f>countifs('5A'!$J$2:$J$522, AA$1, '5A'!$B$2:$B$522, "&gt;"&amp;$L$3, '5A'!$B$2:$B$522, "&lt;"&amp;$M$3)</f>
        <v>0</v>
      </c>
      <c r="AB8" s="1">
        <f>countifs('5A'!$J$2:$J$522, AB$1, '5A'!$B$2:$B$522, "&gt;"&amp;$L$4, '5A'!$B$2:$B$522, "&lt;"&amp;$M$4)</f>
        <v>0</v>
      </c>
      <c r="AC8" s="1">
        <f>countifs('5A'!$J$2:$J$522, AC$1, '5A'!$B$2:$B$522, "&gt;"&amp;$L$4, '5A'!$B$2:$B$522, "&lt;"&amp;$M$4)</f>
        <v>0</v>
      </c>
      <c r="AD8" s="1">
        <f>countifs('5A'!$J$2:$J$522, AD$1, '5A'!$B$2:$B$522, "&gt;"&amp;$L$4, '5A'!$B$2:$B$522, "&lt;"&amp;$M$4)</f>
        <v>0</v>
      </c>
      <c r="AE8" s="1">
        <f>countifs('5A'!$J$2:$J$522, AE$1, '5A'!$B$2:$B$522, "&gt;"&amp;$L$4, '5A'!$B$2:$B$522, "&lt;"&amp;$M$4)</f>
        <v>0</v>
      </c>
      <c r="AF8" s="1">
        <f>countifs('5A'!$J$2:$J$522, AF$1, '5A'!$B$2:$B$522, "&gt;"&amp;$L$4, '5A'!$B$2:$B$522, "&lt;"&amp;$M$4)</f>
        <v>0</v>
      </c>
      <c r="AG8" s="1">
        <f>countifs('5A'!$J$2:$J$522, AG$1, '5A'!$B$2:$B$522, "&gt;"&amp;$L$4, '5A'!$B$2:$B$522, "&lt;"&amp;$M$4)</f>
        <v>0</v>
      </c>
      <c r="AH8" s="1">
        <f>countifs('5A'!$J$2:$J$522, AH$1, '5A'!$B$2:$B$522, "&gt;"&amp;$L$4, '5A'!$B$2:$B$522, "&lt;"&amp;$M$4)</f>
        <v>0</v>
      </c>
      <c r="AI8" s="3">
        <v>8.0</v>
      </c>
      <c r="AJ8" s="3">
        <v>4.0</v>
      </c>
      <c r="AK8" s="3">
        <v>0.0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6" t="str">
        <f>IFERROR(__xludf.DUMMYFUNCTION("AVERAGE.WEIGHTED($AB$1:$AH$1, AB8:AH8)"),"#DIV/0!")</f>
        <v>#DIV/0!</v>
      </c>
      <c r="AO8" s="6" t="str">
        <f t="shared" ref="AO8:AQ8" si="31">(AL8-1)*100/6</f>
        <v>#DIV/0!</v>
      </c>
      <c r="AP8" s="6" t="str">
        <f t="shared" si="31"/>
        <v>#DIV/0!</v>
      </c>
      <c r="AQ8" s="6" t="str">
        <f t="shared" si="31"/>
        <v>#DIV/0!</v>
      </c>
      <c r="AR8" s="7" t="str">
        <f t="shared" ref="AR8:AT8" si="32">average($AO8:$AQ8)</f>
        <v>#DIV/0!</v>
      </c>
      <c r="AS8" s="7" t="str">
        <f t="shared" si="32"/>
        <v>#DIV/0!</v>
      </c>
      <c r="AT8" s="7" t="str">
        <f t="shared" si="32"/>
        <v>#DIV/0!</v>
      </c>
      <c r="AU8" s="7" t="str">
        <f t="shared" si="10"/>
        <v>#DIV/0!</v>
      </c>
      <c r="AV8" s="1">
        <f>countifs('5A'!$J$2:$J$522, AV$1, '5A'!$C$2:$C$522, "Karl")</f>
        <v>0</v>
      </c>
      <c r="AW8" s="1">
        <f>countifs('5A'!$J$2:$J$522, AW$1, '5A'!$C$2:$C$522, "Karl")</f>
        <v>1</v>
      </c>
      <c r="AX8" s="1">
        <f>countifs('5A'!$J$2:$J$522, AX$1, '5A'!$C$2:$C$522, "Karl")</f>
        <v>0</v>
      </c>
      <c r="AY8" s="1">
        <f>countifs('5A'!$J$2:$J$522, AY$1, '5A'!$C$2:$C$522, "Karl")</f>
        <v>1</v>
      </c>
      <c r="AZ8" s="1">
        <f>countifs('5A'!$J$2:$J$522, AZ$1, '5A'!$C$2:$C$522, "Karl")</f>
        <v>0</v>
      </c>
      <c r="BA8" s="1">
        <f>countifs('5A'!$J$2:$J$522, BA$1, '5A'!$C$2:$C$522, "Karl")</f>
        <v>0</v>
      </c>
      <c r="BB8" s="1">
        <f>countifs('5A'!$J$2:$J$522, BB$1, '5A'!$C$2:$C$522, "Karl")</f>
        <v>0</v>
      </c>
      <c r="BC8" s="1">
        <f>countifs('5A'!$J$2:$J$522, BC$1, '5A'!$C$2:$C$522, "Kona")</f>
        <v>4</v>
      </c>
      <c r="BD8" s="1">
        <f>countifs('5A'!$J$2:$J$522, BD$1, '5A'!$C$2:$C$522, "Kona")</f>
        <v>3</v>
      </c>
      <c r="BE8" s="1">
        <f>countifs('5A'!$J$2:$J$522, BE$1, '5A'!$C$2:$C$522, "Kona")</f>
        <v>2</v>
      </c>
      <c r="BF8" s="1">
        <f>countifs('5A'!$J$2:$J$522, BF$1, '5A'!$C$2:$C$522, "Kona")</f>
        <v>1</v>
      </c>
      <c r="BG8" s="1">
        <f>countifs('5A'!$J$2:$J$522, BG$1, '5A'!$C$2:$C$522, "Kona")</f>
        <v>2</v>
      </c>
      <c r="BH8" s="1">
        <f>countifs('5A'!$J$2:$J$522, BH$1, '5A'!$C$2:$C$522, "Kona")</f>
        <v>5</v>
      </c>
      <c r="BI8" s="1">
        <f>countifs('5A'!$J$2:$J$522, BI$1, '5A'!$C$2:$C$522, "Kona")</f>
        <v>3</v>
      </c>
      <c r="BJ8" s="8">
        <f t="shared" si="11"/>
        <v>2</v>
      </c>
      <c r="BK8" s="8">
        <f t="shared" si="12"/>
        <v>20</v>
      </c>
      <c r="BL8" s="6">
        <f>IFERROR(__xludf.DUMMYFUNCTION("AVERAGE.WEIGHTED($AV$1:$BB$1,AV8:BB8)"),3.0)</f>
        <v>3</v>
      </c>
      <c r="BM8" s="6">
        <f>IFERROR(__xludf.DUMMYFUNCTION("AVERAGE.WEIGHTED($BC$1:$BI$1,BC8:BI8)"),4.05)</f>
        <v>4.05</v>
      </c>
      <c r="BN8" s="6">
        <f t="shared" ref="BN8:BO8" si="33">(BL8-1)*100/6</f>
        <v>33.33333333</v>
      </c>
      <c r="BO8" s="6">
        <f t="shared" si="33"/>
        <v>50.83333333</v>
      </c>
      <c r="BP8" s="6">
        <f t="shared" si="14"/>
        <v>42.08333333</v>
      </c>
      <c r="BQ8" s="6">
        <f t="shared" si="15"/>
        <v>42.08333333</v>
      </c>
      <c r="BR8" s="7">
        <f t="shared" si="16"/>
        <v>0.0564539174</v>
      </c>
    </row>
    <row r="9">
      <c r="A9" s="3">
        <v>8.0</v>
      </c>
      <c r="B9" s="1" t="s">
        <v>10</v>
      </c>
      <c r="C9" s="1">
        <f>countif('5A'!$K$2:$K$522, C$1)</f>
        <v>3</v>
      </c>
      <c r="D9" s="1">
        <f>countif('5A'!$K$2:$K$522, D$1)</f>
        <v>5</v>
      </c>
      <c r="E9" s="1">
        <f>countif('5A'!$K$2:$K$522, E$1)</f>
        <v>1</v>
      </c>
      <c r="F9" s="1">
        <f>countif('5A'!$K$2:$K$522, F$1)</f>
        <v>1</v>
      </c>
      <c r="G9" s="1">
        <f>countif('5A'!$K$2:$K$522, G$1)</f>
        <v>1</v>
      </c>
      <c r="H9" s="1">
        <f>countif('5A'!$K$2:$K$522, H$1)</f>
        <v>6</v>
      </c>
      <c r="I9" s="1">
        <f>countif('5A'!$K$2:$K$522, I$1)</f>
        <v>6</v>
      </c>
      <c r="J9" s="1">
        <f t="shared" si="21"/>
        <v>23</v>
      </c>
      <c r="K9" s="6">
        <f t="shared" si="6"/>
        <v>4.47826087</v>
      </c>
      <c r="N9" s="1">
        <f>countifs('5A'!$K$2:$K$522, N$1, '5A'!$B$2:$B$522, "&gt;"&amp;$L$2, '5A'!$B$2:$B$522, "&lt;"&amp;$M$2)</f>
        <v>0</v>
      </c>
      <c r="O9" s="1">
        <f>countifs('5A'!$K$2:$K$522, O$1, '5A'!$B$2:$B$522, "&gt;"&amp;$L$2, '5A'!$B$2:$B$522, "&lt;"&amp;$M$2)</f>
        <v>0</v>
      </c>
      <c r="P9" s="1">
        <f>countifs('5A'!$K$2:$K$522, P$1, '5A'!$B$2:$B$522, "&gt;"&amp;$L$2, '5A'!$B$2:$B$522, "&lt;"&amp;$M$2)</f>
        <v>0</v>
      </c>
      <c r="Q9" s="1">
        <f>countifs('5A'!$K$2:$K$522, Q$1, '5A'!$B$2:$B$522, "&gt;"&amp;$L$2, '5A'!$B$2:$B$522, "&lt;"&amp;$M$2)</f>
        <v>0</v>
      </c>
      <c r="R9" s="1">
        <f>countifs('5A'!$K$2:$K$522, R$1, '5A'!$B$2:$B$522, "&gt;"&amp;$L$2, '5A'!$B$2:$B$522, "&lt;"&amp;$M$2)</f>
        <v>0</v>
      </c>
      <c r="S9" s="1">
        <f>countifs('5A'!$K$2:$K$522, S$1, '5A'!$B$2:$B$522, "&gt;"&amp;$L$2, '5A'!$B$2:$B$522, "&lt;"&amp;$M$2)</f>
        <v>0</v>
      </c>
      <c r="T9" s="1">
        <f>countifs('5A'!$K$2:$K$522, T$1, '5A'!$B$2:$B$522, "&gt;"&amp;$L$2, '5A'!$B$2:$B$522, "&lt;"&amp;$M$2)</f>
        <v>0</v>
      </c>
      <c r="U9" s="1">
        <f>countifs('5A'!$K$2:$K$522, U$1, '5A'!$B$2:$B$522, "&gt;"&amp;$L$3, '5A'!$B$2:$B$522, "&lt;"&amp;$M$3)</f>
        <v>0</v>
      </c>
      <c r="V9" s="1">
        <f>countifs('5A'!$K$2:$K$522, V$1, '5A'!$B$2:$B$522, "&gt;"&amp;$L$3, '5A'!$B$2:$B$522, "&lt;"&amp;$M$3)</f>
        <v>0</v>
      </c>
      <c r="W9" s="1">
        <f>countifs('5A'!$K$2:$K$522, W$1, '5A'!$B$2:$B$522, "&gt;"&amp;$L$3, '5A'!$B$2:$B$522, "&lt;"&amp;$M$3)</f>
        <v>0</v>
      </c>
      <c r="X9" s="1">
        <f>countifs('5A'!$K$2:$K$522, X$1, '5A'!$B$2:$B$522, "&gt;"&amp;$L$3, '5A'!$B$2:$B$522, "&lt;"&amp;$M$3)</f>
        <v>0</v>
      </c>
      <c r="Y9" s="1">
        <f>countifs('5A'!$K$2:$K$522, Y$1, '5A'!$B$2:$B$522, "&gt;"&amp;$L$3, '5A'!$B$2:$B$522, "&lt;"&amp;$M$3)</f>
        <v>0</v>
      </c>
      <c r="Z9" s="1">
        <f>countifs('5A'!$K$2:$K$522, Z$1, '5A'!$B$2:$B$522, "&gt;"&amp;$L$3, '5A'!$B$2:$B$522, "&lt;"&amp;$M$3)</f>
        <v>0</v>
      </c>
      <c r="AA9" s="1">
        <f>countifs('5A'!$K$2:$K$522, AA$1, '5A'!$B$2:$B$522, "&gt;"&amp;$L$3, '5A'!$B$2:$B$522, "&lt;"&amp;$M$3)</f>
        <v>0</v>
      </c>
      <c r="AB9" s="1">
        <f>countifs('5A'!$K$2:$K$522, AB$1, '5A'!$B$2:$B$522, "&gt;"&amp;$L$4, '5A'!$B$2:$B$522, "&lt;"&amp;$M$4)</f>
        <v>0</v>
      </c>
      <c r="AC9" s="1">
        <f>countifs('5A'!$K$2:$K$522, AC$1, '5A'!$B$2:$B$522, "&gt;"&amp;$L$4, '5A'!$B$2:$B$522, "&lt;"&amp;$M$4)</f>
        <v>0</v>
      </c>
      <c r="AD9" s="1">
        <f>countifs('5A'!$K$2:$K$522, AD$1, '5A'!$B$2:$B$522, "&gt;"&amp;$L$4, '5A'!$B$2:$B$522, "&lt;"&amp;$M$4)</f>
        <v>0</v>
      </c>
      <c r="AE9" s="1">
        <f>countifs('5A'!$K$2:$K$522, AE$1, '5A'!$B$2:$B$522, "&gt;"&amp;$L$4, '5A'!$B$2:$B$522, "&lt;"&amp;$M$4)</f>
        <v>0</v>
      </c>
      <c r="AF9" s="1">
        <f>countifs('5A'!$K$2:$K$522, AF$1, '5A'!$B$2:$B$522, "&gt;"&amp;$L$4, '5A'!$B$2:$B$522, "&lt;"&amp;$M$4)</f>
        <v>0</v>
      </c>
      <c r="AG9" s="1">
        <f>countifs('5A'!$K$2:$K$522, AG$1, '5A'!$B$2:$B$522, "&gt;"&amp;$L$4, '5A'!$B$2:$B$522, "&lt;"&amp;$M$4)</f>
        <v>0</v>
      </c>
      <c r="AH9" s="1">
        <f>countifs('5A'!$K$2:$K$522, AH$1, '5A'!$B$2:$B$522, "&gt;"&amp;$L$4, '5A'!$B$2:$B$522, "&lt;"&amp;$M$4)</f>
        <v>0</v>
      </c>
      <c r="AI9" s="3">
        <v>8.0</v>
      </c>
      <c r="AJ9" s="3">
        <v>4.0</v>
      </c>
      <c r="AK9" s="3">
        <v>0.0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6" t="str">
        <f>IFERROR(__xludf.DUMMYFUNCTION("AVERAGE.WEIGHTED($AB$1:$AH$1, AB9:AH9)"),"#DIV/0!")</f>
        <v>#DIV/0!</v>
      </c>
      <c r="AO9" s="6" t="str">
        <f t="shared" ref="AO9:AQ9" si="34">(AL9-1)*100/6</f>
        <v>#DIV/0!</v>
      </c>
      <c r="AP9" s="6" t="str">
        <f t="shared" si="34"/>
        <v>#DIV/0!</v>
      </c>
      <c r="AQ9" s="6" t="str">
        <f t="shared" si="34"/>
        <v>#DIV/0!</v>
      </c>
      <c r="AR9" s="7" t="str">
        <f t="shared" ref="AR9:AT9" si="35">average($AO9:$AQ9)</f>
        <v>#DIV/0!</v>
      </c>
      <c r="AS9" s="7" t="str">
        <f t="shared" si="35"/>
        <v>#DIV/0!</v>
      </c>
      <c r="AT9" s="7" t="str">
        <f t="shared" si="35"/>
        <v>#DIV/0!</v>
      </c>
      <c r="AU9" s="7" t="str">
        <f t="shared" si="10"/>
        <v>#DIV/0!</v>
      </c>
      <c r="AV9" s="1">
        <f>countifs('5A'!$K$2:$K$522, AV$1, '5A'!$C$2:$C$522, "Karl")</f>
        <v>1</v>
      </c>
      <c r="AW9" s="1">
        <f>countifs('5A'!$K$2:$K$522, AW$1, '5A'!$C$2:$C$522, "Karl")</f>
        <v>0</v>
      </c>
      <c r="AX9" s="1">
        <f>countifs('5A'!$K$2:$K$522, AX$1, '5A'!$C$2:$C$522, "Karl")</f>
        <v>0</v>
      </c>
      <c r="AY9" s="1">
        <f>countifs('5A'!$K$2:$K$522, AY$1, '5A'!$C$2:$C$522, "Karl")</f>
        <v>0</v>
      </c>
      <c r="AZ9" s="1">
        <f>countifs('5A'!$K$2:$K$522, AZ$1, '5A'!$C$2:$C$522, "Karl")</f>
        <v>0</v>
      </c>
      <c r="BA9" s="1">
        <f>countifs('5A'!$K$2:$K$522, BA$1, '5A'!$C$2:$C$522, "Karl")</f>
        <v>1</v>
      </c>
      <c r="BB9" s="1">
        <f>countifs('5A'!$K$2:$K$522, BB$1, '5A'!$C$2:$C$522, "Karl")</f>
        <v>0</v>
      </c>
      <c r="BC9" s="1">
        <f>countifs('5A'!$K$2:$K$522, BC$1, '5A'!$C$2:$C$522, "Kona")</f>
        <v>1</v>
      </c>
      <c r="BD9" s="1">
        <f>countifs('5A'!$K$2:$K$522, BD$1, '5A'!$C$2:$C$522, "Kona")</f>
        <v>5</v>
      </c>
      <c r="BE9" s="1">
        <f>countifs('5A'!$K$2:$K$522, BE$1, '5A'!$C$2:$C$522, "Kona")</f>
        <v>1</v>
      </c>
      <c r="BF9" s="1">
        <f>countifs('5A'!$K$2:$K$522, BF$1, '5A'!$C$2:$C$522, "Kona")</f>
        <v>1</v>
      </c>
      <c r="BG9" s="1">
        <f>countifs('5A'!$K$2:$K$522, BG$1, '5A'!$C$2:$C$522, "Kona")</f>
        <v>1</v>
      </c>
      <c r="BH9" s="1">
        <f>countifs('5A'!$K$2:$K$522, BH$1, '5A'!$C$2:$C$522, "Kona")</f>
        <v>5</v>
      </c>
      <c r="BI9" s="1">
        <f>countifs('5A'!$K$2:$K$522, BI$1, '5A'!$C$2:$C$522, "Kona")</f>
        <v>6</v>
      </c>
      <c r="BJ9" s="8">
        <f t="shared" si="11"/>
        <v>2</v>
      </c>
      <c r="BK9" s="8">
        <f t="shared" si="12"/>
        <v>20</v>
      </c>
      <c r="BL9" s="6">
        <f>IFERROR(__xludf.DUMMYFUNCTION("AVERAGE.WEIGHTED($AV$1:$BB$1,AV9:BB9)"),3.5)</f>
        <v>3.5</v>
      </c>
      <c r="BM9" s="6">
        <f>IFERROR(__xludf.DUMMYFUNCTION("AVERAGE.WEIGHTED($BC$1:$BI$1,BC9:BI9)"),4.75)</f>
        <v>4.75</v>
      </c>
      <c r="BN9" s="6">
        <f t="shared" ref="BN9:BO9" si="36">(BL9-1)*100/6</f>
        <v>41.66666667</v>
      </c>
      <c r="BO9" s="6">
        <f t="shared" si="36"/>
        <v>62.5</v>
      </c>
      <c r="BP9" s="6">
        <f t="shared" si="14"/>
        <v>52.08333333</v>
      </c>
      <c r="BQ9" s="6">
        <f t="shared" si="15"/>
        <v>52.08333333</v>
      </c>
      <c r="BR9" s="7">
        <f t="shared" si="16"/>
        <v>0.04122683334</v>
      </c>
    </row>
    <row r="10">
      <c r="A10" s="3">
        <v>9.0</v>
      </c>
      <c r="B10" s="1" t="s">
        <v>11</v>
      </c>
      <c r="C10" s="1">
        <f>countif('5A'!$L$2:$L$522, C$1)</f>
        <v>0</v>
      </c>
      <c r="D10" s="1">
        <f>countif('5A'!$L$2:$L$522, D$1)</f>
        <v>0</v>
      </c>
      <c r="E10" s="1">
        <f>countif('5A'!$L$2:$L$522, E$1)</f>
        <v>1</v>
      </c>
      <c r="F10" s="1">
        <f>countif('5A'!$L$2:$L$522, F$1)</f>
        <v>2</v>
      </c>
      <c r="G10" s="1">
        <f>countif('5A'!$L$2:$L$522, G$1)</f>
        <v>2</v>
      </c>
      <c r="H10" s="1">
        <f>countif('5A'!$L$2:$L$522, H$1)</f>
        <v>7</v>
      </c>
      <c r="I10" s="1">
        <f>countif('5A'!$L$2:$L$522, I$1)</f>
        <v>11</v>
      </c>
      <c r="J10" s="1">
        <f t="shared" si="21"/>
        <v>23</v>
      </c>
      <c r="K10" s="6">
        <f t="shared" si="6"/>
        <v>6.086956522</v>
      </c>
      <c r="N10" s="1">
        <f>countifs('5A'!$L$2:$L$522, N$1, '5A'!$B$2:$B$522, "&gt;"&amp;$L$2, '5A'!$B$2:$B$522, "&lt;"&amp;$M$2)</f>
        <v>0</v>
      </c>
      <c r="O10" s="1">
        <f>countifs('5A'!$L$2:$L$522, O$1, '5A'!$B$2:$B$522, "&gt;"&amp;$L$2, '5A'!$B$2:$B$522, "&lt;"&amp;$M$2)</f>
        <v>0</v>
      </c>
      <c r="P10" s="1">
        <f>countifs('5A'!$L$2:$L$522, P$1, '5A'!$B$2:$B$522, "&gt;"&amp;$L$2, '5A'!$B$2:$B$522, "&lt;"&amp;$M$2)</f>
        <v>0</v>
      </c>
      <c r="Q10" s="1">
        <f>countifs('5A'!$L$2:$L$522, Q$1, '5A'!$B$2:$B$522, "&gt;"&amp;$L$2, '5A'!$B$2:$B$522, "&lt;"&amp;$M$2)</f>
        <v>0</v>
      </c>
      <c r="R10" s="1">
        <f>countifs('5A'!$L$2:$L$522, R$1, '5A'!$B$2:$B$522, "&gt;"&amp;$L$2, '5A'!$B$2:$B$522, "&lt;"&amp;$M$2)</f>
        <v>0</v>
      </c>
      <c r="S10" s="1">
        <f>countifs('5A'!$L$2:$L$522, S$1, '5A'!$B$2:$B$522, "&gt;"&amp;$L$2, '5A'!$B$2:$B$522, "&lt;"&amp;$M$2)</f>
        <v>0</v>
      </c>
      <c r="T10" s="1">
        <f>countifs('5A'!$L$2:$L$522, T$1, '5A'!$B$2:$B$522, "&gt;"&amp;$L$2, '5A'!$B$2:$B$522, "&lt;"&amp;$M$2)</f>
        <v>0</v>
      </c>
      <c r="U10" s="1">
        <f>countifs('5A'!$L$2:$L$522, U$1, '5A'!$B$2:$B$522, "&gt;"&amp;$L$3, '5A'!$B$2:$B$522, "&lt;"&amp;$M$3)</f>
        <v>0</v>
      </c>
      <c r="V10" s="1">
        <f>countifs('5A'!$L$2:$L$522, V$1, '5A'!$B$2:$B$522, "&gt;"&amp;$L$3, '5A'!$B$2:$B$522, "&lt;"&amp;$M$3)</f>
        <v>0</v>
      </c>
      <c r="W10" s="1">
        <f>countifs('5A'!$L$2:$L$522, W$1, '5A'!$B$2:$B$522, "&gt;"&amp;$L$3, '5A'!$B$2:$B$522, "&lt;"&amp;$M$3)</f>
        <v>0</v>
      </c>
      <c r="X10" s="1">
        <f>countifs('5A'!$L$2:$L$522, X$1, '5A'!$B$2:$B$522, "&gt;"&amp;$L$3, '5A'!$B$2:$B$522, "&lt;"&amp;$M$3)</f>
        <v>0</v>
      </c>
      <c r="Y10" s="1">
        <f>countifs('5A'!$L$2:$L$522, Y$1, '5A'!$B$2:$B$522, "&gt;"&amp;$L$3, '5A'!$B$2:$B$522, "&lt;"&amp;$M$3)</f>
        <v>0</v>
      </c>
      <c r="Z10" s="1">
        <f>countifs('5A'!$L$2:$L$522, Z$1, '5A'!$B$2:$B$522, "&gt;"&amp;$L$3, '5A'!$B$2:$B$522, "&lt;"&amp;$M$3)</f>
        <v>0</v>
      </c>
      <c r="AA10" s="1">
        <f>countifs('5A'!$L$2:$L$522, AA$1, '5A'!$B$2:$B$522, "&gt;"&amp;$L$3, '5A'!$B$2:$B$522, "&lt;"&amp;$M$3)</f>
        <v>0</v>
      </c>
      <c r="AB10" s="1">
        <f>countifs('5A'!$L$2:$L$522, AB$1, '5A'!$B$2:$B$522, "&gt;"&amp;$L$4, '5A'!$B$2:$B$522, "&lt;"&amp;$M$4)</f>
        <v>0</v>
      </c>
      <c r="AC10" s="1">
        <f>countifs('5A'!$L$2:$L$522, AC$1, '5A'!$B$2:$B$522, "&gt;"&amp;$L$4, '5A'!$B$2:$B$522, "&lt;"&amp;$M$4)</f>
        <v>0</v>
      </c>
      <c r="AD10" s="1">
        <f>countifs('5A'!$L$2:$L$522, AD$1, '5A'!$B$2:$B$522, "&gt;"&amp;$L$4, '5A'!$B$2:$B$522, "&lt;"&amp;$M$4)</f>
        <v>0</v>
      </c>
      <c r="AE10" s="1">
        <f>countifs('5A'!$L$2:$L$522, AE$1, '5A'!$B$2:$B$522, "&gt;"&amp;$L$4, '5A'!$B$2:$B$522, "&lt;"&amp;$M$4)</f>
        <v>0</v>
      </c>
      <c r="AF10" s="1">
        <f>countifs('5A'!$L$2:$L$522, AF$1, '5A'!$B$2:$B$522, "&gt;"&amp;$L$4, '5A'!$B$2:$B$522, "&lt;"&amp;$M$4)</f>
        <v>0</v>
      </c>
      <c r="AG10" s="1">
        <f>countifs('5A'!$L$2:$L$522, AG$1, '5A'!$B$2:$B$522, "&gt;"&amp;$L$4, '5A'!$B$2:$B$522, "&lt;"&amp;$M$4)</f>
        <v>0</v>
      </c>
      <c r="AH10" s="1">
        <f>countifs('5A'!$L$2:$L$522, AH$1, '5A'!$B$2:$B$522, "&gt;"&amp;$L$4, '5A'!$B$2:$B$522, "&lt;"&amp;$M$4)</f>
        <v>0</v>
      </c>
      <c r="AI10" s="3">
        <v>8.0</v>
      </c>
      <c r="AJ10" s="3">
        <v>4.0</v>
      </c>
      <c r="AK10" s="3">
        <v>0.0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6" t="str">
        <f>IFERROR(__xludf.DUMMYFUNCTION("AVERAGE.WEIGHTED($AB$1:$AH$1, AB10:AH10)"),"#DIV/0!")</f>
        <v>#DIV/0!</v>
      </c>
      <c r="AO10" s="6" t="str">
        <f t="shared" ref="AO10:AQ10" si="37">(AL10-1)*100/6</f>
        <v>#DIV/0!</v>
      </c>
      <c r="AP10" s="6" t="str">
        <f t="shared" si="37"/>
        <v>#DIV/0!</v>
      </c>
      <c r="AQ10" s="6" t="str">
        <f t="shared" si="37"/>
        <v>#DIV/0!</v>
      </c>
      <c r="AR10" s="7" t="str">
        <f t="shared" ref="AR10:AT10" si="38">average($AO10:$AQ10)</f>
        <v>#DIV/0!</v>
      </c>
      <c r="AS10" s="7" t="str">
        <f t="shared" si="38"/>
        <v>#DIV/0!</v>
      </c>
      <c r="AT10" s="7" t="str">
        <f t="shared" si="38"/>
        <v>#DIV/0!</v>
      </c>
      <c r="AU10" s="7" t="str">
        <f t="shared" si="10"/>
        <v>#DIV/0!</v>
      </c>
      <c r="AV10" s="1">
        <f>countifs('5A'!$L$2:$L$522, AV$1, '5A'!$C$2:$C$522, "Karl")</f>
        <v>0</v>
      </c>
      <c r="AW10" s="1">
        <f>countifs('5A'!$L$2:$L$522, AW$1, '5A'!$C$2:$C$522, "Karl")</f>
        <v>0</v>
      </c>
      <c r="AX10" s="1">
        <f>countifs('5A'!$L$2:$L$522, AX$1, '5A'!$C$2:$C$522, "Karl")</f>
        <v>0</v>
      </c>
      <c r="AY10" s="1">
        <f>countifs('5A'!$L$2:$L$522, AY$1, '5A'!$C$2:$C$522, "Karl")</f>
        <v>0</v>
      </c>
      <c r="AZ10" s="1">
        <f>countifs('5A'!$L$2:$L$522, AZ$1, '5A'!$C$2:$C$522, "Karl")</f>
        <v>1</v>
      </c>
      <c r="BA10" s="1">
        <f>countifs('5A'!$L$2:$L$522, BA$1, '5A'!$C$2:$C$522, "Karl")</f>
        <v>1</v>
      </c>
      <c r="BB10" s="1">
        <f>countifs('5A'!$L$2:$L$522, BB$1, '5A'!$C$2:$C$522, "Karl")</f>
        <v>0</v>
      </c>
      <c r="BC10" s="1">
        <f>countifs('5A'!$L$2:$L$522, BC$1, '5A'!$C$2:$C$522, "Kona")</f>
        <v>0</v>
      </c>
      <c r="BD10" s="1">
        <f>countifs('5A'!$L$2:$L$522, BD$1, '5A'!$C$2:$C$522, "Kona")</f>
        <v>0</v>
      </c>
      <c r="BE10" s="1">
        <f>countifs('5A'!$L$2:$L$522, BE$1, '5A'!$C$2:$C$522, "Kona")</f>
        <v>1</v>
      </c>
      <c r="BF10" s="1">
        <f>countifs('5A'!$L$2:$L$522, BF$1, '5A'!$C$2:$C$522, "Kona")</f>
        <v>2</v>
      </c>
      <c r="BG10" s="1">
        <f>countifs('5A'!$L$2:$L$522, BG$1, '5A'!$C$2:$C$522, "Kona")</f>
        <v>1</v>
      </c>
      <c r="BH10" s="1">
        <f>countifs('5A'!$L$2:$L$522, BH$1, '5A'!$C$2:$C$522, "Kona")</f>
        <v>6</v>
      </c>
      <c r="BI10" s="1">
        <f>countifs('5A'!$L$2:$L$522, BI$1, '5A'!$C$2:$C$522, "Kona")</f>
        <v>10</v>
      </c>
      <c r="BJ10" s="8">
        <f t="shared" si="11"/>
        <v>2</v>
      </c>
      <c r="BK10" s="8">
        <f t="shared" si="12"/>
        <v>20</v>
      </c>
      <c r="BL10" s="6">
        <f>IFERROR(__xludf.DUMMYFUNCTION("AVERAGE.WEIGHTED($AV$1:$BB$1,AV10:BB10)"),5.5)</f>
        <v>5.5</v>
      </c>
      <c r="BM10" s="6">
        <f>IFERROR(__xludf.DUMMYFUNCTION("AVERAGE.WEIGHTED($BC$1:$BI$1,BC10:BI10)"),6.1)</f>
        <v>6.1</v>
      </c>
      <c r="BN10" s="6">
        <f t="shared" ref="BN10:BO10" si="39">(BL10-1)*100/6</f>
        <v>75</v>
      </c>
      <c r="BO10" s="6">
        <f t="shared" si="39"/>
        <v>85</v>
      </c>
      <c r="BP10" s="6">
        <f t="shared" si="14"/>
        <v>80</v>
      </c>
      <c r="BQ10" s="6">
        <f t="shared" si="15"/>
        <v>80</v>
      </c>
      <c r="BR10" s="7">
        <f t="shared" si="16"/>
        <v>0.4291953004</v>
      </c>
    </row>
    <row r="11">
      <c r="A11" s="3">
        <v>10.0</v>
      </c>
      <c r="B11" s="1" t="s">
        <v>12</v>
      </c>
      <c r="C11" s="1">
        <f>countif('5A'!$M$2:$M$522, C$1)</f>
        <v>17</v>
      </c>
      <c r="D11" s="1">
        <f>countif('5A'!$M$2:$M$522, D$1)</f>
        <v>2</v>
      </c>
      <c r="E11" s="1">
        <f>countif('5A'!$M$2:$M$522, E$1)</f>
        <v>3</v>
      </c>
      <c r="F11" s="1">
        <f>countif('5A'!$M$2:$M$522, F$1)</f>
        <v>0</v>
      </c>
      <c r="G11" s="1">
        <f>countif('5A'!$M$2:$M$522, G$1)</f>
        <v>0</v>
      </c>
      <c r="H11" s="1">
        <f>countif('5A'!$M$2:$M$522, H$1)</f>
        <v>1</v>
      </c>
      <c r="I11" s="1">
        <f>countif('5A'!$M$2:$M$522, I$1)</f>
        <v>0</v>
      </c>
      <c r="J11" s="1">
        <f t="shared" si="21"/>
        <v>23</v>
      </c>
      <c r="K11" s="6">
        <f t="shared" si="6"/>
        <v>1.565217391</v>
      </c>
      <c r="N11" s="1">
        <f>countifs('5A'!$M$2:$M$522, N$1, '5A'!$B$2:$B$522, "&gt;"&amp;$L$2, '5A'!$B$2:$B$522, "&lt;"&amp;$M$2)</f>
        <v>0</v>
      </c>
      <c r="O11" s="1">
        <f>countifs('5A'!$M$2:$M$522, O$1, '5A'!$B$2:$B$522, "&gt;"&amp;$L$2, '5A'!$B$2:$B$522, "&lt;"&amp;$M$2)</f>
        <v>0</v>
      </c>
      <c r="P11" s="1">
        <f>countifs('5A'!$M$2:$M$522, P$1, '5A'!$B$2:$B$522, "&gt;"&amp;$L$2, '5A'!$B$2:$B$522, "&lt;"&amp;$M$2)</f>
        <v>0</v>
      </c>
      <c r="Q11" s="1">
        <f>countifs('5A'!$M$2:$M$522, Q$1, '5A'!$B$2:$B$522, "&gt;"&amp;$L$2, '5A'!$B$2:$B$522, "&lt;"&amp;$M$2)</f>
        <v>0</v>
      </c>
      <c r="R11" s="1">
        <f>countifs('5A'!$M$2:$M$522, R$1, '5A'!$B$2:$B$522, "&gt;"&amp;$L$2, '5A'!$B$2:$B$522, "&lt;"&amp;$M$2)</f>
        <v>0</v>
      </c>
      <c r="S11" s="1">
        <f>countifs('5A'!$M$2:$M$522, S$1, '5A'!$B$2:$B$522, "&gt;"&amp;$L$2, '5A'!$B$2:$B$522, "&lt;"&amp;$M$2)</f>
        <v>0</v>
      </c>
      <c r="T11" s="1">
        <f>countifs('5A'!$M$2:$M$522, T$1, '5A'!$B$2:$B$522, "&gt;"&amp;$L$2, '5A'!$B$2:$B$522, "&lt;"&amp;$M$2)</f>
        <v>0</v>
      </c>
      <c r="U11" s="1">
        <f>countifs('5A'!$M$2:$M$522, U$1, '5A'!$B$2:$B$522, "&gt;"&amp;$L$3, '5A'!$B$2:$B$522, "&lt;"&amp;$M$3)</f>
        <v>0</v>
      </c>
      <c r="V11" s="1">
        <f>countifs('5A'!$M$2:$M$522, V$1, '5A'!$B$2:$B$522, "&gt;"&amp;$L$3, '5A'!$B$2:$B$522, "&lt;"&amp;$M$3)</f>
        <v>0</v>
      </c>
      <c r="W11" s="1">
        <f>countifs('5A'!$M$2:$M$522, W$1, '5A'!$B$2:$B$522, "&gt;"&amp;$L$3, '5A'!$B$2:$B$522, "&lt;"&amp;$M$3)</f>
        <v>0</v>
      </c>
      <c r="X11" s="1">
        <f>countifs('5A'!$M$2:$M$522, X$1, '5A'!$B$2:$B$522, "&gt;"&amp;$L$3, '5A'!$B$2:$B$522, "&lt;"&amp;$M$3)</f>
        <v>0</v>
      </c>
      <c r="Y11" s="1">
        <f>countifs('5A'!$M$2:$M$522, Y$1, '5A'!$B$2:$B$522, "&gt;"&amp;$L$3, '5A'!$B$2:$B$522, "&lt;"&amp;$M$3)</f>
        <v>0</v>
      </c>
      <c r="Z11" s="1">
        <f>countifs('5A'!$M$2:$M$522, Z$1, '5A'!$B$2:$B$522, "&gt;"&amp;$L$3, '5A'!$B$2:$B$522, "&lt;"&amp;$M$3)</f>
        <v>0</v>
      </c>
      <c r="AA11" s="1">
        <f>countifs('5A'!$M$2:$M$522, AA$1, '5A'!$B$2:$B$522, "&gt;"&amp;$L$3, '5A'!$B$2:$B$522, "&lt;"&amp;$M$3)</f>
        <v>0</v>
      </c>
      <c r="AB11" s="1">
        <f>countifs('5A'!$M$2:$M$522, AB$1, '5A'!$B$2:$B$522, "&gt;"&amp;$L$4, '5A'!$B$2:$B$522, "&lt;"&amp;$M$4)</f>
        <v>0</v>
      </c>
      <c r="AC11" s="1">
        <f>countifs('5A'!$M$2:$M$522, AC$1, '5A'!$B$2:$B$522, "&gt;"&amp;$L$4, '5A'!$B$2:$B$522, "&lt;"&amp;$M$4)</f>
        <v>0</v>
      </c>
      <c r="AD11" s="1">
        <f>countifs('5A'!$M$2:$M$522, AD$1, '5A'!$B$2:$B$522, "&gt;"&amp;$L$4, '5A'!$B$2:$B$522, "&lt;"&amp;$M$4)</f>
        <v>0</v>
      </c>
      <c r="AE11" s="1">
        <f>countifs('5A'!$M$2:$M$522, AE$1, '5A'!$B$2:$B$522, "&gt;"&amp;$L$4, '5A'!$B$2:$B$522, "&lt;"&amp;$M$4)</f>
        <v>0</v>
      </c>
      <c r="AF11" s="1">
        <f>countifs('5A'!$M$2:$M$522, AF$1, '5A'!$B$2:$B$522, "&gt;"&amp;$L$4, '5A'!$B$2:$B$522, "&lt;"&amp;$M$4)</f>
        <v>0</v>
      </c>
      <c r="AG11" s="1">
        <f>countifs('5A'!$M$2:$M$522, AG$1, '5A'!$B$2:$B$522, "&gt;"&amp;$L$4, '5A'!$B$2:$B$522, "&lt;"&amp;$M$4)</f>
        <v>0</v>
      </c>
      <c r="AH11" s="1">
        <f>countifs('5A'!$M$2:$M$522, AH$1, '5A'!$B$2:$B$522, "&gt;"&amp;$L$4, '5A'!$B$2:$B$522, "&lt;"&amp;$M$4)</f>
        <v>0</v>
      </c>
      <c r="AI11" s="3">
        <v>8.0</v>
      </c>
      <c r="AJ11" s="3">
        <v>4.0</v>
      </c>
      <c r="AK11" s="3">
        <v>0.0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6" t="str">
        <f>IFERROR(__xludf.DUMMYFUNCTION("AVERAGE.WEIGHTED($AB$1:$AH$1, AB11:AH11)"),"#DIV/0!")</f>
        <v>#DIV/0!</v>
      </c>
      <c r="AO11" s="6" t="str">
        <f t="shared" ref="AO11:AQ11" si="40">(AL11-1)*100/6</f>
        <v>#DIV/0!</v>
      </c>
      <c r="AP11" s="6" t="str">
        <f t="shared" si="40"/>
        <v>#DIV/0!</v>
      </c>
      <c r="AQ11" s="6" t="str">
        <f t="shared" si="40"/>
        <v>#DIV/0!</v>
      </c>
      <c r="AR11" s="7" t="str">
        <f t="shared" ref="AR11:AT11" si="41">average($AO11:$AQ11)</f>
        <v>#DIV/0!</v>
      </c>
      <c r="AS11" s="7" t="str">
        <f t="shared" si="41"/>
        <v>#DIV/0!</v>
      </c>
      <c r="AT11" s="7" t="str">
        <f t="shared" si="41"/>
        <v>#DIV/0!</v>
      </c>
      <c r="AU11" s="7" t="str">
        <f t="shared" si="10"/>
        <v>#DIV/0!</v>
      </c>
      <c r="AV11" s="1">
        <f>countifs('5A'!$M$2:$M$522, AV$1, '5A'!$C$2:$C$522, "Karl")</f>
        <v>2</v>
      </c>
      <c r="AW11" s="1">
        <f>countifs('5A'!$M$2:$M$522, AW$1, '5A'!$C$2:$C$522, "Karl")</f>
        <v>0</v>
      </c>
      <c r="AX11" s="1">
        <f>countifs('5A'!$M$2:$M$522, AX$1, '5A'!$C$2:$C$522, "Karl")</f>
        <v>0</v>
      </c>
      <c r="AY11" s="1">
        <f>countifs('5A'!$M$2:$M$522, AY$1, '5A'!$C$2:$C$522, "Karl")</f>
        <v>0</v>
      </c>
      <c r="AZ11" s="1">
        <f>countifs('5A'!$M$2:$M$522, AZ$1, '5A'!$C$2:$C$522, "Karl")</f>
        <v>0</v>
      </c>
      <c r="BA11" s="1">
        <f>countifs('5A'!$M$2:$M$522, BA$1, '5A'!$C$2:$C$522, "Karl")</f>
        <v>0</v>
      </c>
      <c r="BB11" s="1">
        <f>countifs('5A'!$M$2:$M$522, BB$1, '5A'!$C$2:$C$522, "Karl")</f>
        <v>0</v>
      </c>
      <c r="BC11" s="1">
        <f>countifs('5A'!$M$2:$M$522, BC$1, '5A'!$C$2:$C$522, "Kona")</f>
        <v>14</v>
      </c>
      <c r="BD11" s="1">
        <f>countifs('5A'!$M$2:$M$522, BD$1, '5A'!$C$2:$C$522, "Kona")</f>
        <v>2</v>
      </c>
      <c r="BE11" s="1">
        <f>countifs('5A'!$M$2:$M$522, BE$1, '5A'!$C$2:$C$522, "Kona")</f>
        <v>3</v>
      </c>
      <c r="BF11" s="1">
        <f>countifs('5A'!$M$2:$M$522, BF$1, '5A'!$C$2:$C$522, "Kona")</f>
        <v>0</v>
      </c>
      <c r="BG11" s="1">
        <f>countifs('5A'!$M$2:$M$522, BG$1, '5A'!$C$2:$C$522, "Kona")</f>
        <v>0</v>
      </c>
      <c r="BH11" s="1">
        <f>countifs('5A'!$M$2:$M$522, BH$1, '5A'!$C$2:$C$522, "Kona")</f>
        <v>1</v>
      </c>
      <c r="BI11" s="1">
        <f>countifs('5A'!$M$2:$M$522, BI$1, '5A'!$C$2:$C$522, "Kona")</f>
        <v>0</v>
      </c>
      <c r="BJ11" s="8">
        <f t="shared" si="11"/>
        <v>2</v>
      </c>
      <c r="BK11" s="8">
        <f t="shared" si="12"/>
        <v>20</v>
      </c>
      <c r="BL11" s="6">
        <f>IFERROR(__xludf.DUMMYFUNCTION("AVERAGE.WEIGHTED($AV$1:$BB$1,AV11:BB11)"),1.0)</f>
        <v>1</v>
      </c>
      <c r="BM11" s="6">
        <f>IFERROR(__xludf.DUMMYFUNCTION("AVERAGE.WEIGHTED($BC$1:$BI$1,BC11:BI11)"),1.65)</f>
        <v>1.65</v>
      </c>
      <c r="BN11" s="6">
        <f t="shared" ref="BN11:BO11" si="42">(BL11-1)*100/6</f>
        <v>0</v>
      </c>
      <c r="BO11" s="6">
        <f t="shared" si="42"/>
        <v>10.83333333</v>
      </c>
      <c r="BP11" s="6">
        <f t="shared" si="14"/>
        <v>5.416666667</v>
      </c>
      <c r="BQ11" s="6">
        <f t="shared" si="15"/>
        <v>5.416666667</v>
      </c>
      <c r="BR11" s="7">
        <f t="shared" si="16"/>
        <v>0.0009968900964</v>
      </c>
    </row>
    <row r="12">
      <c r="A12" s="3">
        <v>11.0</v>
      </c>
      <c r="B12" s="1" t="s">
        <v>13</v>
      </c>
      <c r="C12" s="1">
        <f>countif('5A'!$N$2:$N$522, C$1)</f>
        <v>3</v>
      </c>
      <c r="D12" s="1">
        <f>countif('5A'!$N$2:$N$522, D$1)</f>
        <v>2</v>
      </c>
      <c r="E12" s="1">
        <f>countif('5A'!$N$2:$N$522, E$1)</f>
        <v>0</v>
      </c>
      <c r="F12" s="1">
        <f>countif('5A'!$N$2:$N$522, F$1)</f>
        <v>3</v>
      </c>
      <c r="G12" s="1">
        <f>countif('5A'!$N$2:$N$522, G$1)</f>
        <v>3</v>
      </c>
      <c r="H12" s="1">
        <f>countif('5A'!$N$2:$N$522, H$1)</f>
        <v>5</v>
      </c>
      <c r="I12" s="1">
        <f>countif('5A'!$N$2:$N$522, I$1)</f>
        <v>7</v>
      </c>
      <c r="J12" s="1">
        <f t="shared" si="21"/>
        <v>23</v>
      </c>
      <c r="K12" s="6">
        <f t="shared" si="6"/>
        <v>4.913043478</v>
      </c>
      <c r="N12" s="1">
        <f>countifs('5A'!$N$2:$N$522, N$1, '5A'!$B$2:$B$522, "&gt;"&amp;$L$2, '5A'!$B$2:$B$522, "&lt;"&amp;$M$2)</f>
        <v>0</v>
      </c>
      <c r="O12" s="1">
        <f>countifs('5A'!$N$2:$N$522, O$1, '5A'!$B$2:$B$522, "&gt;"&amp;$L$2, '5A'!$B$2:$B$522, "&lt;"&amp;$M$2)</f>
        <v>0</v>
      </c>
      <c r="P12" s="1">
        <f>countifs('5A'!$N$2:$N$522, P$1, '5A'!$B$2:$B$522, "&gt;"&amp;$L$2, '5A'!$B$2:$B$522, "&lt;"&amp;$M$2)</f>
        <v>0</v>
      </c>
      <c r="Q12" s="1">
        <f>countifs('5A'!$N$2:$N$522, Q$1, '5A'!$B$2:$B$522, "&gt;"&amp;$L$2, '5A'!$B$2:$B$522, "&lt;"&amp;$M$2)</f>
        <v>0</v>
      </c>
      <c r="R12" s="1">
        <f>countifs('5A'!$N$2:$N$522, R$1, '5A'!$B$2:$B$522, "&gt;"&amp;$L$2, '5A'!$B$2:$B$522, "&lt;"&amp;$M$2)</f>
        <v>0</v>
      </c>
      <c r="S12" s="1">
        <f>countifs('5A'!$N$2:$N$522, S$1, '5A'!$B$2:$B$522, "&gt;"&amp;$L$2, '5A'!$B$2:$B$522, "&lt;"&amp;$M$2)</f>
        <v>0</v>
      </c>
      <c r="T12" s="1">
        <f>countifs('5A'!$N$2:$N$522, T$1, '5A'!$B$2:$B$522, "&gt;"&amp;$L$2, '5A'!$B$2:$B$522, "&lt;"&amp;$M$2)</f>
        <v>0</v>
      </c>
      <c r="U12" s="1">
        <f>countifs('5A'!$N$2:$N$522, U$1, '5A'!$B$2:$B$522, "&gt;"&amp;$L$3, '5A'!$B$2:$B$522, "&lt;"&amp;$M$3)</f>
        <v>0</v>
      </c>
      <c r="V12" s="1">
        <f>countifs('5A'!$N$2:$N$522, V$1, '5A'!$B$2:$B$522, "&gt;"&amp;$L$3, '5A'!$B$2:$B$522, "&lt;"&amp;$M$3)</f>
        <v>0</v>
      </c>
      <c r="W12" s="1">
        <f>countifs('5A'!$N$2:$N$522, W$1, '5A'!$B$2:$B$522, "&gt;"&amp;$L$3, '5A'!$B$2:$B$522, "&lt;"&amp;$M$3)</f>
        <v>0</v>
      </c>
      <c r="X12" s="1">
        <f>countifs('5A'!$N$2:$N$522, X$1, '5A'!$B$2:$B$522, "&gt;"&amp;$L$3, '5A'!$B$2:$B$522, "&lt;"&amp;$M$3)</f>
        <v>0</v>
      </c>
      <c r="Y12" s="1">
        <f>countifs('5A'!$N$2:$N$522, Y$1, '5A'!$B$2:$B$522, "&gt;"&amp;$L$3, '5A'!$B$2:$B$522, "&lt;"&amp;$M$3)</f>
        <v>0</v>
      </c>
      <c r="Z12" s="1">
        <f>countifs('5A'!$N$2:$N$522, Z$1, '5A'!$B$2:$B$522, "&gt;"&amp;$L$3, '5A'!$B$2:$B$522, "&lt;"&amp;$M$3)</f>
        <v>0</v>
      </c>
      <c r="AA12" s="1">
        <f>countifs('5A'!$N$2:$N$522, AA$1, '5A'!$B$2:$B$522, "&gt;"&amp;$L$3, '5A'!$B$2:$B$522, "&lt;"&amp;$M$3)</f>
        <v>0</v>
      </c>
      <c r="AB12" s="1">
        <f>countifs('5A'!$N$2:$N$522, AB$1, '5A'!$B$2:$B$522, "&gt;"&amp;$L$4, '5A'!$B$2:$B$522, "&lt;"&amp;$M$4)</f>
        <v>0</v>
      </c>
      <c r="AC12" s="1">
        <f>countifs('5A'!$N$2:$N$522, AC$1, '5A'!$B$2:$B$522, "&gt;"&amp;$L$4, '5A'!$B$2:$B$522, "&lt;"&amp;$M$4)</f>
        <v>0</v>
      </c>
      <c r="AD12" s="1">
        <f>countifs('5A'!$N$2:$N$522, AD$1, '5A'!$B$2:$B$522, "&gt;"&amp;$L$4, '5A'!$B$2:$B$522, "&lt;"&amp;$M$4)</f>
        <v>0</v>
      </c>
      <c r="AE12" s="1">
        <f>countifs('5A'!$N$2:$N$522, AE$1, '5A'!$B$2:$B$522, "&gt;"&amp;$L$4, '5A'!$B$2:$B$522, "&lt;"&amp;$M$4)</f>
        <v>0</v>
      </c>
      <c r="AF12" s="1">
        <f>countifs('5A'!$N$2:$N$522, AF$1, '5A'!$B$2:$B$522, "&gt;"&amp;$L$4, '5A'!$B$2:$B$522, "&lt;"&amp;$M$4)</f>
        <v>0</v>
      </c>
      <c r="AG12" s="1">
        <f>countifs('5A'!$N$2:$N$522, AG$1, '5A'!$B$2:$B$522, "&gt;"&amp;$L$4, '5A'!$B$2:$B$522, "&lt;"&amp;$M$4)</f>
        <v>0</v>
      </c>
      <c r="AH12" s="1">
        <f>countifs('5A'!$N$2:$N$522, AH$1, '5A'!$B$2:$B$522, "&gt;"&amp;$L$4, '5A'!$B$2:$B$522, "&lt;"&amp;$M$4)</f>
        <v>0</v>
      </c>
      <c r="AI12" s="3">
        <v>8.0</v>
      </c>
      <c r="AJ12" s="3">
        <v>4.0</v>
      </c>
      <c r="AK12" s="3">
        <v>0.0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6" t="str">
        <f>IFERROR(__xludf.DUMMYFUNCTION("AVERAGE.WEIGHTED($AB$1:$AH$1, AB12:AH12)"),"#DIV/0!")</f>
        <v>#DIV/0!</v>
      </c>
      <c r="AO12" s="6" t="str">
        <f t="shared" ref="AO12:AQ12" si="43">(AL12-1)*100/6</f>
        <v>#DIV/0!</v>
      </c>
      <c r="AP12" s="6" t="str">
        <f t="shared" si="43"/>
        <v>#DIV/0!</v>
      </c>
      <c r="AQ12" s="6" t="str">
        <f t="shared" si="43"/>
        <v>#DIV/0!</v>
      </c>
      <c r="AR12" s="7" t="str">
        <f t="shared" ref="AR12:AT12" si="44">average($AO12:$AQ12)</f>
        <v>#DIV/0!</v>
      </c>
      <c r="AS12" s="7" t="str">
        <f t="shared" si="44"/>
        <v>#DIV/0!</v>
      </c>
      <c r="AT12" s="7" t="str">
        <f t="shared" si="44"/>
        <v>#DIV/0!</v>
      </c>
      <c r="AU12" s="7" t="str">
        <f t="shared" si="10"/>
        <v>#DIV/0!</v>
      </c>
      <c r="AV12" s="1">
        <f>countifs('5A'!$N$2:$N$522, AV$1, '5A'!$C$2:$C$522, "Karl")</f>
        <v>1</v>
      </c>
      <c r="AW12" s="1">
        <f>countifs('5A'!$N$2:$N$522, AW$1, '5A'!$C$2:$C$522, "Karl")</f>
        <v>0</v>
      </c>
      <c r="AX12" s="1">
        <f>countifs('5A'!$N$2:$N$522, AX$1, '5A'!$C$2:$C$522, "Karl")</f>
        <v>0</v>
      </c>
      <c r="AY12" s="1">
        <f>countifs('5A'!$N$2:$N$522, AY$1, '5A'!$C$2:$C$522, "Karl")</f>
        <v>1</v>
      </c>
      <c r="AZ12" s="1">
        <f>countifs('5A'!$N$2:$N$522, AZ$1, '5A'!$C$2:$C$522, "Karl")</f>
        <v>0</v>
      </c>
      <c r="BA12" s="1">
        <f>countifs('5A'!$N$2:$N$522, BA$1, '5A'!$C$2:$C$522, "Karl")</f>
        <v>0</v>
      </c>
      <c r="BB12" s="1">
        <f>countifs('5A'!$N$2:$N$522, BB$1, '5A'!$C$2:$C$522, "Karl")</f>
        <v>0</v>
      </c>
      <c r="BC12" s="1">
        <f>countifs('5A'!$N$2:$N$522, BC$1, '5A'!$C$2:$C$522, "Kona")</f>
        <v>1</v>
      </c>
      <c r="BD12" s="1">
        <f>countifs('5A'!$N$2:$N$522, BD$1, '5A'!$C$2:$C$522, "Kona")</f>
        <v>2</v>
      </c>
      <c r="BE12" s="1">
        <f>countifs('5A'!$N$2:$N$522, BE$1, '5A'!$C$2:$C$522, "Kona")</f>
        <v>0</v>
      </c>
      <c r="BF12" s="1">
        <f>countifs('5A'!$N$2:$N$522, BF$1, '5A'!$C$2:$C$522, "Kona")</f>
        <v>2</v>
      </c>
      <c r="BG12" s="1">
        <f>countifs('5A'!$N$2:$N$522, BG$1, '5A'!$C$2:$C$522, "Kona")</f>
        <v>3</v>
      </c>
      <c r="BH12" s="1">
        <f>countifs('5A'!$N$2:$N$522, BH$1, '5A'!$C$2:$C$522, "Kona")</f>
        <v>5</v>
      </c>
      <c r="BI12" s="1">
        <f>countifs('5A'!$N$2:$N$522, BI$1, '5A'!$C$2:$C$522, "Kona")</f>
        <v>7</v>
      </c>
      <c r="BJ12" s="8">
        <f t="shared" si="11"/>
        <v>2</v>
      </c>
      <c r="BK12" s="8">
        <f t="shared" si="12"/>
        <v>20</v>
      </c>
      <c r="BL12" s="6">
        <f>IFERROR(__xludf.DUMMYFUNCTION("AVERAGE.WEIGHTED($AV$1:$BB$1,AV12:BB12)"),2.5)</f>
        <v>2.5</v>
      </c>
      <c r="BM12" s="6">
        <f>IFERROR(__xludf.DUMMYFUNCTION("AVERAGE.WEIGHTED($BC$1:$BI$1,BC12:BI12)"),5.35)</f>
        <v>5.35</v>
      </c>
      <c r="BN12" s="6">
        <f t="shared" ref="BN12:BO12" si="45">(BL12-1)*100/6</f>
        <v>25</v>
      </c>
      <c r="BO12" s="6">
        <f t="shared" si="45"/>
        <v>72.5</v>
      </c>
      <c r="BP12" s="6">
        <f t="shared" si="14"/>
        <v>48.75</v>
      </c>
      <c r="BQ12" s="6">
        <f t="shared" si="15"/>
        <v>48.75</v>
      </c>
      <c r="BR12" s="7">
        <f t="shared" si="16"/>
        <v>0.000001505441693</v>
      </c>
    </row>
    <row r="13">
      <c r="A13" s="3">
        <v>12.0</v>
      </c>
      <c r="B13" s="1" t="s">
        <v>14</v>
      </c>
      <c r="C13" s="1">
        <f>countif('5A'!$O$2:$O$522, C$1)</f>
        <v>10</v>
      </c>
      <c r="D13" s="1">
        <f>countif('5A'!$O$2:$O$522, D$1)</f>
        <v>1</v>
      </c>
      <c r="E13" s="1">
        <f>countif('5A'!$O$2:$O$522, E$1)</f>
        <v>0</v>
      </c>
      <c r="F13" s="1">
        <f>countif('5A'!$O$2:$O$522, F$1)</f>
        <v>1</v>
      </c>
      <c r="G13" s="1">
        <f>countif('5A'!$O$2:$O$522, G$1)</f>
        <v>4</v>
      </c>
      <c r="H13" s="1">
        <f>countif('5A'!$O$2:$O$522, H$1)</f>
        <v>4</v>
      </c>
      <c r="I13" s="1">
        <f>countif('5A'!$O$2:$O$522, I$1)</f>
        <v>3</v>
      </c>
      <c r="J13" s="1">
        <f t="shared" si="21"/>
        <v>23</v>
      </c>
      <c r="K13" s="6">
        <f t="shared" si="6"/>
        <v>3.52173913</v>
      </c>
      <c r="N13" s="1">
        <f>countifs('5A'!$O$2:$O$522, N$1, '5A'!$B$2:$B$522, "&gt;"&amp;$L$2, '5A'!$B$2:$B$522, "&lt;"&amp;$M$2)</f>
        <v>0</v>
      </c>
      <c r="O13" s="1">
        <f>countifs('5A'!$O$2:$O$522, O$1, '5A'!$B$2:$B$522, "&gt;"&amp;$L$2, '5A'!$B$2:$B$522, "&lt;"&amp;$M$2)</f>
        <v>0</v>
      </c>
      <c r="P13" s="1">
        <f>countifs('5A'!$O$2:$O$522, P$1, '5A'!$B$2:$B$522, "&gt;"&amp;$L$2, '5A'!$B$2:$B$522, "&lt;"&amp;$M$2)</f>
        <v>0</v>
      </c>
      <c r="Q13" s="1">
        <f>countifs('5A'!$O$2:$O$522, Q$1, '5A'!$B$2:$B$522, "&gt;"&amp;$L$2, '5A'!$B$2:$B$522, "&lt;"&amp;$M$2)</f>
        <v>0</v>
      </c>
      <c r="R13" s="1">
        <f>countifs('5A'!$O$2:$O$522, R$1, '5A'!$B$2:$B$522, "&gt;"&amp;$L$2, '5A'!$B$2:$B$522, "&lt;"&amp;$M$2)</f>
        <v>0</v>
      </c>
      <c r="S13" s="1">
        <f>countifs('5A'!$O$2:$O$522, S$1, '5A'!$B$2:$B$522, "&gt;"&amp;$L$2, '5A'!$B$2:$B$522, "&lt;"&amp;$M$2)</f>
        <v>0</v>
      </c>
      <c r="T13" s="1">
        <f>countifs('5A'!$O$2:$O$522, T$1, '5A'!$B$2:$B$522, "&gt;"&amp;$L$2, '5A'!$B$2:$B$522, "&lt;"&amp;$M$2)</f>
        <v>0</v>
      </c>
      <c r="U13" s="1">
        <f>countifs('5A'!$O$2:$O$522, U$1, '5A'!$B$2:$B$522, "&gt;"&amp;$L$3, '5A'!$B$2:$B$522, "&lt;"&amp;$M$3)</f>
        <v>0</v>
      </c>
      <c r="V13" s="1">
        <f>countifs('5A'!$O$2:$O$522, V$1, '5A'!$B$2:$B$522, "&gt;"&amp;$L$3, '5A'!$B$2:$B$522, "&lt;"&amp;$M$3)</f>
        <v>0</v>
      </c>
      <c r="W13" s="1">
        <f>countifs('5A'!$O$2:$O$522, W$1, '5A'!$B$2:$B$522, "&gt;"&amp;$L$3, '5A'!$B$2:$B$522, "&lt;"&amp;$M$3)</f>
        <v>0</v>
      </c>
      <c r="X13" s="1">
        <f>countifs('5A'!$O$2:$O$522, X$1, '5A'!$B$2:$B$522, "&gt;"&amp;$L$3, '5A'!$B$2:$B$522, "&lt;"&amp;$M$3)</f>
        <v>0</v>
      </c>
      <c r="Y13" s="1">
        <f>countifs('5A'!$O$2:$O$522, Y$1, '5A'!$B$2:$B$522, "&gt;"&amp;$L$3, '5A'!$B$2:$B$522, "&lt;"&amp;$M$3)</f>
        <v>0</v>
      </c>
      <c r="Z13" s="1">
        <f>countifs('5A'!$O$2:$O$522, Z$1, '5A'!$B$2:$B$522, "&gt;"&amp;$L$3, '5A'!$B$2:$B$522, "&lt;"&amp;$M$3)</f>
        <v>0</v>
      </c>
      <c r="AA13" s="1">
        <f>countifs('5A'!$O$2:$O$522, AA$1, '5A'!$B$2:$B$522, "&gt;"&amp;$L$3, '5A'!$B$2:$B$522, "&lt;"&amp;$M$3)</f>
        <v>0</v>
      </c>
      <c r="AB13" s="1">
        <f>countifs('5A'!$O$2:$O$522, AB$1, '5A'!$B$2:$B$522, "&gt;"&amp;$L$4, '5A'!$B$2:$B$522, "&lt;"&amp;$M$4)</f>
        <v>0</v>
      </c>
      <c r="AC13" s="1">
        <f>countifs('5A'!$O$2:$O$522, AC$1, '5A'!$B$2:$B$522, "&gt;"&amp;$L$4, '5A'!$B$2:$B$522, "&lt;"&amp;$M$4)</f>
        <v>0</v>
      </c>
      <c r="AD13" s="1">
        <f>countifs('5A'!$O$2:$O$522, AD$1, '5A'!$B$2:$B$522, "&gt;"&amp;$L$4, '5A'!$B$2:$B$522, "&lt;"&amp;$M$4)</f>
        <v>0</v>
      </c>
      <c r="AE13" s="1">
        <f>countifs('5A'!$O$2:$O$522, AE$1, '5A'!$B$2:$B$522, "&gt;"&amp;$L$4, '5A'!$B$2:$B$522, "&lt;"&amp;$M$4)</f>
        <v>0</v>
      </c>
      <c r="AF13" s="1">
        <f>countifs('5A'!$O$2:$O$522, AF$1, '5A'!$B$2:$B$522, "&gt;"&amp;$L$4, '5A'!$B$2:$B$522, "&lt;"&amp;$M$4)</f>
        <v>0</v>
      </c>
      <c r="AG13" s="1">
        <f>countifs('5A'!$O$2:$O$522, AG$1, '5A'!$B$2:$B$522, "&gt;"&amp;$L$4, '5A'!$B$2:$B$522, "&lt;"&amp;$M$4)</f>
        <v>0</v>
      </c>
      <c r="AH13" s="1">
        <f>countifs('5A'!$O$2:$O$522, AH$1, '5A'!$B$2:$B$522, "&gt;"&amp;$L$4, '5A'!$B$2:$B$522, "&lt;"&amp;$M$4)</f>
        <v>0</v>
      </c>
      <c r="AI13" s="3">
        <v>8.0</v>
      </c>
      <c r="AJ13" s="3">
        <v>4.0</v>
      </c>
      <c r="AK13" s="3">
        <v>0.0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6" t="str">
        <f>IFERROR(__xludf.DUMMYFUNCTION("AVERAGE.WEIGHTED($AB$1:$AH$1, AB13:AH13)"),"#DIV/0!")</f>
        <v>#DIV/0!</v>
      </c>
      <c r="AO13" s="6" t="str">
        <f t="shared" ref="AO13:AQ13" si="46">(AL13-1)*100/6</f>
        <v>#DIV/0!</v>
      </c>
      <c r="AP13" s="6" t="str">
        <f t="shared" si="46"/>
        <v>#DIV/0!</v>
      </c>
      <c r="AQ13" s="6" t="str">
        <f t="shared" si="46"/>
        <v>#DIV/0!</v>
      </c>
      <c r="AR13" s="7" t="str">
        <f t="shared" ref="AR13:AT13" si="47">average($AO13:$AQ13)</f>
        <v>#DIV/0!</v>
      </c>
      <c r="AS13" s="7" t="str">
        <f t="shared" si="47"/>
        <v>#DIV/0!</v>
      </c>
      <c r="AT13" s="7" t="str">
        <f t="shared" si="47"/>
        <v>#DIV/0!</v>
      </c>
      <c r="AU13" s="7" t="str">
        <f t="shared" si="10"/>
        <v>#DIV/0!</v>
      </c>
      <c r="AV13" s="1">
        <f>countifs('5A'!$O$2:$O$522, AV$1, '5A'!$C$2:$C$522, "Karl")</f>
        <v>1</v>
      </c>
      <c r="AW13" s="1">
        <f>countifs('5A'!$O$2:$O$522, AW$1, '5A'!$C$2:$C$522, "Karl")</f>
        <v>0</v>
      </c>
      <c r="AX13" s="1">
        <f>countifs('5A'!$O$2:$O$522, AX$1, '5A'!$C$2:$C$522, "Karl")</f>
        <v>0</v>
      </c>
      <c r="AY13" s="1">
        <f>countifs('5A'!$O$2:$O$522, AY$1, '5A'!$C$2:$C$522, "Karl")</f>
        <v>0</v>
      </c>
      <c r="AZ13" s="1">
        <f>countifs('5A'!$O$2:$O$522, AZ$1, '5A'!$C$2:$C$522, "Karl")</f>
        <v>1</v>
      </c>
      <c r="BA13" s="1">
        <f>countifs('5A'!$O$2:$O$522, BA$1, '5A'!$C$2:$C$522, "Karl")</f>
        <v>0</v>
      </c>
      <c r="BB13" s="1">
        <f>countifs('5A'!$O$2:$O$522, BB$1, '5A'!$C$2:$C$522, "Karl")</f>
        <v>0</v>
      </c>
      <c r="BC13" s="1">
        <f>countifs('5A'!$O$2:$O$522, BC$1, '5A'!$C$2:$C$522, "Kona")</f>
        <v>8</v>
      </c>
      <c r="BD13" s="1">
        <f>countifs('5A'!$O$2:$O$522, BD$1, '5A'!$C$2:$C$522, "Kona")</f>
        <v>1</v>
      </c>
      <c r="BE13" s="1">
        <f>countifs('5A'!$O$2:$O$522, BE$1, '5A'!$C$2:$C$522, "Kona")</f>
        <v>0</v>
      </c>
      <c r="BF13" s="1">
        <f>countifs('5A'!$O$2:$O$522, BF$1, '5A'!$C$2:$C$522, "Kona")</f>
        <v>1</v>
      </c>
      <c r="BG13" s="1">
        <f>countifs('5A'!$O$2:$O$522, BG$1, '5A'!$C$2:$C$522, "Kona")</f>
        <v>3</v>
      </c>
      <c r="BH13" s="1">
        <f>countifs('5A'!$O$2:$O$522, BH$1, '5A'!$C$2:$C$522, "Kona")</f>
        <v>4</v>
      </c>
      <c r="BI13" s="1">
        <f>countifs('5A'!$O$2:$O$522, BI$1, '5A'!$C$2:$C$522, "Kona")</f>
        <v>3</v>
      </c>
      <c r="BJ13" s="8">
        <f t="shared" si="11"/>
        <v>2</v>
      </c>
      <c r="BK13" s="8">
        <f t="shared" si="12"/>
        <v>20</v>
      </c>
      <c r="BL13" s="6">
        <f>IFERROR(__xludf.DUMMYFUNCTION("AVERAGE.WEIGHTED($AV$1:$BB$1,AV13:BB13)"),3.0)</f>
        <v>3</v>
      </c>
      <c r="BM13" s="6">
        <f>IFERROR(__xludf.DUMMYFUNCTION("AVERAGE.WEIGHTED($BC$1:$BI$1,BC13:BI13)"),3.7)</f>
        <v>3.7</v>
      </c>
      <c r="BN13" s="6">
        <f t="shared" ref="BN13:BO13" si="48">(BL13-1)*100/6</f>
        <v>33.33333333</v>
      </c>
      <c r="BO13" s="6">
        <f t="shared" si="48"/>
        <v>45</v>
      </c>
      <c r="BP13" s="6">
        <f t="shared" si="14"/>
        <v>39.16666667</v>
      </c>
      <c r="BQ13" s="6">
        <f t="shared" si="15"/>
        <v>39.16666667</v>
      </c>
      <c r="BR13" s="7">
        <f t="shared" si="16"/>
        <v>0.1874446507</v>
      </c>
    </row>
    <row r="14">
      <c r="A14" s="3">
        <v>13.0</v>
      </c>
      <c r="B14" s="1" t="s">
        <v>15</v>
      </c>
      <c r="C14" s="1">
        <f>countif('5A'!$P$2:$P$522, C$1)</f>
        <v>9</v>
      </c>
      <c r="D14" s="1">
        <f>countif('5A'!$P$2:$P$522, D$1)</f>
        <v>2</v>
      </c>
      <c r="E14" s="1">
        <f>countif('5A'!$P$2:$P$522, E$1)</f>
        <v>4</v>
      </c>
      <c r="F14" s="1">
        <f>countif('5A'!$P$2:$P$522, F$1)</f>
        <v>0</v>
      </c>
      <c r="G14" s="1">
        <f>countif('5A'!$P$2:$P$522, G$1)</f>
        <v>2</v>
      </c>
      <c r="H14" s="1">
        <f>countif('5A'!$P$2:$P$522, H$1)</f>
        <v>5</v>
      </c>
      <c r="I14" s="1">
        <f>countif('5A'!$P$2:$P$522, I$1)</f>
        <v>1</v>
      </c>
      <c r="J14" s="1">
        <f t="shared" si="21"/>
        <v>23</v>
      </c>
      <c r="K14" s="6">
        <f t="shared" si="6"/>
        <v>3.130434783</v>
      </c>
      <c r="N14" s="1">
        <f>countifs('5A'!$P$2:$P$522, N$1, '5A'!$B$2:$B$522, "&gt;"&amp;$L$2, '5A'!$B$2:$B$522, "&lt;"&amp;$M$2)</f>
        <v>0</v>
      </c>
      <c r="O14" s="1">
        <f>countifs('5A'!$P$2:$P$522, O$1, '5A'!$B$2:$B$522, "&gt;"&amp;$L$2, '5A'!$B$2:$B$522, "&lt;"&amp;$M$2)</f>
        <v>0</v>
      </c>
      <c r="P14" s="1">
        <f>countifs('5A'!$P$2:$P$522, P$1, '5A'!$B$2:$B$522, "&gt;"&amp;$L$2, '5A'!$B$2:$B$522, "&lt;"&amp;$M$2)</f>
        <v>0</v>
      </c>
      <c r="Q14" s="1">
        <f>countifs('5A'!$P$2:$P$522, Q$1, '5A'!$B$2:$B$522, "&gt;"&amp;$L$2, '5A'!$B$2:$B$522, "&lt;"&amp;$M$2)</f>
        <v>0</v>
      </c>
      <c r="R14" s="1">
        <f>countifs('5A'!$P$2:$P$522, R$1, '5A'!$B$2:$B$522, "&gt;"&amp;$L$2, '5A'!$B$2:$B$522, "&lt;"&amp;$M$2)</f>
        <v>0</v>
      </c>
      <c r="S14" s="1">
        <f>countifs('5A'!$P$2:$P$522, S$1, '5A'!$B$2:$B$522, "&gt;"&amp;$L$2, '5A'!$B$2:$B$522, "&lt;"&amp;$M$2)</f>
        <v>0</v>
      </c>
      <c r="T14" s="1">
        <f>countifs('5A'!$P$2:$P$522, T$1, '5A'!$B$2:$B$522, "&gt;"&amp;$L$2, '5A'!$B$2:$B$522, "&lt;"&amp;$M$2)</f>
        <v>0</v>
      </c>
      <c r="U14" s="1">
        <f>countifs('5A'!$P$2:$P$522, U$1, '5A'!$B$2:$B$522, "&gt;"&amp;$L$3, '5A'!$B$2:$B$522, "&lt;"&amp;$M$3)</f>
        <v>0</v>
      </c>
      <c r="V14" s="1">
        <f>countifs('5A'!$P$2:$P$522, V$1, '5A'!$B$2:$B$522, "&gt;"&amp;$L$3, '5A'!$B$2:$B$522, "&lt;"&amp;$M$3)</f>
        <v>0</v>
      </c>
      <c r="W14" s="1">
        <f>countifs('5A'!$P$2:$P$522, W$1, '5A'!$B$2:$B$522, "&gt;"&amp;$L$3, '5A'!$B$2:$B$522, "&lt;"&amp;$M$3)</f>
        <v>0</v>
      </c>
      <c r="X14" s="1">
        <f>countifs('5A'!$P$2:$P$522, X$1, '5A'!$B$2:$B$522, "&gt;"&amp;$L$3, '5A'!$B$2:$B$522, "&lt;"&amp;$M$3)</f>
        <v>0</v>
      </c>
      <c r="Y14" s="1">
        <f>countifs('5A'!$P$2:$P$522, Y$1, '5A'!$B$2:$B$522, "&gt;"&amp;$L$3, '5A'!$B$2:$B$522, "&lt;"&amp;$M$3)</f>
        <v>0</v>
      </c>
      <c r="Z14" s="1">
        <f>countifs('5A'!$P$2:$P$522, Z$1, '5A'!$B$2:$B$522, "&gt;"&amp;$L$3, '5A'!$B$2:$B$522, "&lt;"&amp;$M$3)</f>
        <v>0</v>
      </c>
      <c r="AA14" s="1">
        <f>countifs('5A'!$P$2:$P$522, AA$1, '5A'!$B$2:$B$522, "&gt;"&amp;$L$3, '5A'!$B$2:$B$522, "&lt;"&amp;$M$3)</f>
        <v>0</v>
      </c>
      <c r="AB14" s="1">
        <f>countifs('5A'!$P$2:$P$522, AB$1, '5A'!$B$2:$B$522, "&gt;"&amp;$L$4, '5A'!$B$2:$B$522, "&lt;"&amp;$M$4)</f>
        <v>0</v>
      </c>
      <c r="AC14" s="1">
        <f>countifs('5A'!$P$2:$P$522, AC$1, '5A'!$B$2:$B$522, "&gt;"&amp;$L$4, '5A'!$B$2:$B$522, "&lt;"&amp;$M$4)</f>
        <v>0</v>
      </c>
      <c r="AD14" s="1">
        <f>countifs('5A'!$P$2:$P$522, AD$1, '5A'!$B$2:$B$522, "&gt;"&amp;$L$4, '5A'!$B$2:$B$522, "&lt;"&amp;$M$4)</f>
        <v>0</v>
      </c>
      <c r="AE14" s="1">
        <f>countifs('5A'!$P$2:$P$522, AE$1, '5A'!$B$2:$B$522, "&gt;"&amp;$L$4, '5A'!$B$2:$B$522, "&lt;"&amp;$M$4)</f>
        <v>0</v>
      </c>
      <c r="AF14" s="1">
        <f>countifs('5A'!$P$2:$P$522, AF$1, '5A'!$B$2:$B$522, "&gt;"&amp;$L$4, '5A'!$B$2:$B$522, "&lt;"&amp;$M$4)</f>
        <v>0</v>
      </c>
      <c r="AG14" s="1">
        <f>countifs('5A'!$P$2:$P$522, AG$1, '5A'!$B$2:$B$522, "&gt;"&amp;$L$4, '5A'!$B$2:$B$522, "&lt;"&amp;$M$4)</f>
        <v>0</v>
      </c>
      <c r="AH14" s="1">
        <f>countifs('5A'!$P$2:$P$522, AH$1, '5A'!$B$2:$B$522, "&gt;"&amp;$L$4, '5A'!$B$2:$B$522, "&lt;"&amp;$M$4)</f>
        <v>0</v>
      </c>
      <c r="AI14" s="3">
        <v>8.0</v>
      </c>
      <c r="AJ14" s="3">
        <v>4.0</v>
      </c>
      <c r="AK14" s="3">
        <v>0.0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6" t="str">
        <f>IFERROR(__xludf.DUMMYFUNCTION("AVERAGE.WEIGHTED($AB$1:$AH$1, AB14:AH14)"),"#DIV/0!")</f>
        <v>#DIV/0!</v>
      </c>
      <c r="AO14" s="6" t="str">
        <f t="shared" ref="AO14:AQ14" si="49">(AL14-1)*100/6</f>
        <v>#DIV/0!</v>
      </c>
      <c r="AP14" s="6" t="str">
        <f t="shared" si="49"/>
        <v>#DIV/0!</v>
      </c>
      <c r="AQ14" s="6" t="str">
        <f t="shared" si="49"/>
        <v>#DIV/0!</v>
      </c>
      <c r="AR14" s="7" t="str">
        <f t="shared" ref="AR14:AT14" si="50">average($AO14:$AQ14)</f>
        <v>#DIV/0!</v>
      </c>
      <c r="AS14" s="7" t="str">
        <f t="shared" si="50"/>
        <v>#DIV/0!</v>
      </c>
      <c r="AT14" s="7" t="str">
        <f t="shared" si="50"/>
        <v>#DIV/0!</v>
      </c>
      <c r="AU14" s="7" t="str">
        <f t="shared" si="10"/>
        <v>#DIV/0!</v>
      </c>
      <c r="AV14" s="1">
        <f>countifs('5A'!$P$2:$P$522, AV$1, '5A'!$C$2:$C$522, "Karl")</f>
        <v>1</v>
      </c>
      <c r="AW14" s="1">
        <f>countifs('5A'!$P$2:$P$522, AW$1, '5A'!$C$2:$C$522, "Karl")</f>
        <v>0</v>
      </c>
      <c r="AX14" s="1">
        <f>countifs('5A'!$P$2:$P$522, AX$1, '5A'!$C$2:$C$522, "Karl")</f>
        <v>0</v>
      </c>
      <c r="AY14" s="1">
        <f>countifs('5A'!$P$2:$P$522, AY$1, '5A'!$C$2:$C$522, "Karl")</f>
        <v>0</v>
      </c>
      <c r="AZ14" s="1">
        <f>countifs('5A'!$P$2:$P$522, AZ$1, '5A'!$C$2:$C$522, "Karl")</f>
        <v>1</v>
      </c>
      <c r="BA14" s="1">
        <f>countifs('5A'!$P$2:$P$522, BA$1, '5A'!$C$2:$C$522, "Karl")</f>
        <v>0</v>
      </c>
      <c r="BB14" s="1">
        <f>countifs('5A'!$P$2:$P$522, BB$1, '5A'!$C$2:$C$522, "Karl")</f>
        <v>0</v>
      </c>
      <c r="BC14" s="1">
        <f>countifs('5A'!$P$2:$P$522, BC$1, '5A'!$C$2:$C$522, "Kona")</f>
        <v>8</v>
      </c>
      <c r="BD14" s="1">
        <f>countifs('5A'!$P$2:$P$522, BD$1, '5A'!$C$2:$C$522, "Kona")</f>
        <v>2</v>
      </c>
      <c r="BE14" s="1">
        <f>countifs('5A'!$P$2:$P$522, BE$1, '5A'!$C$2:$C$522, "Kona")</f>
        <v>4</v>
      </c>
      <c r="BF14" s="1">
        <f>countifs('5A'!$P$2:$P$522, BF$1, '5A'!$C$2:$C$522, "Kona")</f>
        <v>0</v>
      </c>
      <c r="BG14" s="1">
        <f>countifs('5A'!$P$2:$P$522, BG$1, '5A'!$C$2:$C$522, "Kona")</f>
        <v>1</v>
      </c>
      <c r="BH14" s="1">
        <f>countifs('5A'!$P$2:$P$522, BH$1, '5A'!$C$2:$C$522, "Kona")</f>
        <v>4</v>
      </c>
      <c r="BI14" s="1">
        <f>countifs('5A'!$P$2:$P$522, BI$1, '5A'!$C$2:$C$522, "Kona")</f>
        <v>1</v>
      </c>
      <c r="BJ14" s="8">
        <f t="shared" si="11"/>
        <v>2</v>
      </c>
      <c r="BK14" s="8">
        <f t="shared" si="12"/>
        <v>20</v>
      </c>
      <c r="BL14" s="6">
        <f>IFERROR(__xludf.DUMMYFUNCTION("AVERAGE.WEIGHTED($AV$1:$BB$1,AV14:BB14)"),3.0)</f>
        <v>3</v>
      </c>
      <c r="BM14" s="6">
        <f>IFERROR(__xludf.DUMMYFUNCTION("AVERAGE.WEIGHTED($BC$1:$BI$1,BC14:BI14)"),3.0)</f>
        <v>3</v>
      </c>
      <c r="BN14" s="6">
        <f t="shared" ref="BN14:BO14" si="51">(BL14-1)*100/6</f>
        <v>33.33333333</v>
      </c>
      <c r="BO14" s="6">
        <f t="shared" si="51"/>
        <v>33.33333333</v>
      </c>
      <c r="BP14" s="6">
        <f t="shared" si="14"/>
        <v>33.33333333</v>
      </c>
      <c r="BQ14" s="6">
        <f t="shared" si="15"/>
        <v>33.33333333</v>
      </c>
      <c r="BR14" s="7">
        <f t="shared" si="16"/>
        <v>1</v>
      </c>
    </row>
    <row r="15">
      <c r="A15" s="3">
        <v>14.0</v>
      </c>
      <c r="B15" s="1" t="s">
        <v>16</v>
      </c>
      <c r="C15" s="1">
        <f>countif('5A'!$Q$2:$Q$522, C$1)</f>
        <v>13</v>
      </c>
      <c r="D15" s="1">
        <f>countif('5A'!$Q$2:$Q$522, D$1)</f>
        <v>1</v>
      </c>
      <c r="E15" s="1">
        <f>countif('5A'!$Q$2:$Q$522, E$1)</f>
        <v>2</v>
      </c>
      <c r="F15" s="1">
        <f>countif('5A'!$Q$2:$Q$522, F$1)</f>
        <v>0</v>
      </c>
      <c r="G15" s="1">
        <f>countif('5A'!$Q$2:$Q$522, G$1)</f>
        <v>2</v>
      </c>
      <c r="H15" s="1">
        <f>countif('5A'!$Q$2:$Q$522, H$1)</f>
        <v>2</v>
      </c>
      <c r="I15" s="1">
        <f>countif('5A'!$Q$2:$Q$522, I$1)</f>
        <v>3</v>
      </c>
      <c r="J15" s="1">
        <f t="shared" si="21"/>
        <v>23</v>
      </c>
      <c r="K15" s="6">
        <f t="shared" si="6"/>
        <v>2.782608696</v>
      </c>
      <c r="N15" s="1">
        <f>countifs('5A'!$Q$2:$Q$522, N$1, '5A'!$B$2:$B$522, "&gt;"&amp;$L$2, '5A'!$B$2:$B$522, "&lt;"&amp;$M$2)</f>
        <v>0</v>
      </c>
      <c r="O15" s="1">
        <f>countifs('5A'!$Q$2:$Q$522, O$1, '5A'!$B$2:$B$522, "&gt;"&amp;$L$2, '5A'!$B$2:$B$522, "&lt;"&amp;$M$2)</f>
        <v>0</v>
      </c>
      <c r="P15" s="1">
        <f>countifs('5A'!$Q$2:$Q$522, P$1, '5A'!$B$2:$B$522, "&gt;"&amp;$L$2, '5A'!$B$2:$B$522, "&lt;"&amp;$M$2)</f>
        <v>0</v>
      </c>
      <c r="Q15" s="1">
        <f>countifs('5A'!$Q$2:$Q$522, Q$1, '5A'!$B$2:$B$522, "&gt;"&amp;$L$2, '5A'!$B$2:$B$522, "&lt;"&amp;$M$2)</f>
        <v>0</v>
      </c>
      <c r="R15" s="1">
        <f>countifs('5A'!$Q$2:$Q$522, R$1, '5A'!$B$2:$B$522, "&gt;"&amp;$L$2, '5A'!$B$2:$B$522, "&lt;"&amp;$M$2)</f>
        <v>0</v>
      </c>
      <c r="S15" s="1">
        <f>countifs('5A'!$Q$2:$Q$522, S$1, '5A'!$B$2:$B$522, "&gt;"&amp;$L$2, '5A'!$B$2:$B$522, "&lt;"&amp;$M$2)</f>
        <v>0</v>
      </c>
      <c r="T15" s="1">
        <f>countifs('5A'!$Q$2:$Q$522, T$1, '5A'!$B$2:$B$522, "&gt;"&amp;$L$2, '5A'!$B$2:$B$522, "&lt;"&amp;$M$2)</f>
        <v>0</v>
      </c>
      <c r="U15" s="1">
        <f>countifs('5A'!$Q$2:$Q$522, U$1, '5A'!$B$2:$B$522, "&gt;"&amp;$L$3, '5A'!$B$2:$B$522, "&lt;"&amp;$M$3)</f>
        <v>0</v>
      </c>
      <c r="V15" s="1">
        <f>countifs('5A'!$Q$2:$Q$522, V$1, '5A'!$B$2:$B$522, "&gt;"&amp;$L$3, '5A'!$B$2:$B$522, "&lt;"&amp;$M$3)</f>
        <v>0</v>
      </c>
      <c r="W15" s="1">
        <f>countifs('5A'!$Q$2:$Q$522, W$1, '5A'!$B$2:$B$522, "&gt;"&amp;$L$3, '5A'!$B$2:$B$522, "&lt;"&amp;$M$3)</f>
        <v>0</v>
      </c>
      <c r="X15" s="1">
        <f>countifs('5A'!$Q$2:$Q$522, X$1, '5A'!$B$2:$B$522, "&gt;"&amp;$L$3, '5A'!$B$2:$B$522, "&lt;"&amp;$M$3)</f>
        <v>0</v>
      </c>
      <c r="Y15" s="1">
        <f>countifs('5A'!$Q$2:$Q$522, Y$1, '5A'!$B$2:$B$522, "&gt;"&amp;$L$3, '5A'!$B$2:$B$522, "&lt;"&amp;$M$3)</f>
        <v>0</v>
      </c>
      <c r="Z15" s="1">
        <f>countifs('5A'!$Q$2:$Q$522, Z$1, '5A'!$B$2:$B$522, "&gt;"&amp;$L$3, '5A'!$B$2:$B$522, "&lt;"&amp;$M$3)</f>
        <v>0</v>
      </c>
      <c r="AA15" s="1">
        <f>countifs('5A'!$Q$2:$Q$522, AA$1, '5A'!$B$2:$B$522, "&gt;"&amp;$L$3, '5A'!$B$2:$B$522, "&lt;"&amp;$M$3)</f>
        <v>0</v>
      </c>
      <c r="AB15" s="1">
        <f>countifs('5A'!$Q$2:$Q$522, AB$1, '5A'!$B$2:$B$522, "&gt;"&amp;$L$4, '5A'!$B$2:$B$522, "&lt;"&amp;$M$4)</f>
        <v>0</v>
      </c>
      <c r="AC15" s="1">
        <f>countifs('5A'!$Q$2:$Q$522, AC$1, '5A'!$B$2:$B$522, "&gt;"&amp;$L$4, '5A'!$B$2:$B$522, "&lt;"&amp;$M$4)</f>
        <v>0</v>
      </c>
      <c r="AD15" s="1">
        <f>countifs('5A'!$Q$2:$Q$522, AD$1, '5A'!$B$2:$B$522, "&gt;"&amp;$L$4, '5A'!$B$2:$B$522, "&lt;"&amp;$M$4)</f>
        <v>0</v>
      </c>
      <c r="AE15" s="1">
        <f>countifs('5A'!$Q$2:$Q$522, AE$1, '5A'!$B$2:$B$522, "&gt;"&amp;$L$4, '5A'!$B$2:$B$522, "&lt;"&amp;$M$4)</f>
        <v>0</v>
      </c>
      <c r="AF15" s="1">
        <f>countifs('5A'!$Q$2:$Q$522, AF$1, '5A'!$B$2:$B$522, "&gt;"&amp;$L$4, '5A'!$B$2:$B$522, "&lt;"&amp;$M$4)</f>
        <v>0</v>
      </c>
      <c r="AG15" s="1">
        <f>countifs('5A'!$Q$2:$Q$522, AG$1, '5A'!$B$2:$B$522, "&gt;"&amp;$L$4, '5A'!$B$2:$B$522, "&lt;"&amp;$M$4)</f>
        <v>0</v>
      </c>
      <c r="AH15" s="1">
        <f>countifs('5A'!$Q$2:$Q$522, AH$1, '5A'!$B$2:$B$522, "&gt;"&amp;$L$4, '5A'!$B$2:$B$522, "&lt;"&amp;$M$4)</f>
        <v>0</v>
      </c>
      <c r="AI15" s="3">
        <v>8.0</v>
      </c>
      <c r="AJ15" s="3">
        <v>4.0</v>
      </c>
      <c r="AK15" s="3">
        <v>0.0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6" t="str">
        <f>IFERROR(__xludf.DUMMYFUNCTION("AVERAGE.WEIGHTED($AB$1:$AH$1, AB15:AH15)"),"#DIV/0!")</f>
        <v>#DIV/0!</v>
      </c>
      <c r="AO15" s="6" t="str">
        <f t="shared" ref="AO15:AQ15" si="52">(AL15-1)*100/6</f>
        <v>#DIV/0!</v>
      </c>
      <c r="AP15" s="6" t="str">
        <f t="shared" si="52"/>
        <v>#DIV/0!</v>
      </c>
      <c r="AQ15" s="6" t="str">
        <f t="shared" si="52"/>
        <v>#DIV/0!</v>
      </c>
      <c r="AR15" s="7" t="str">
        <f t="shared" ref="AR15:AT15" si="53">average($AO15:$AQ15)</f>
        <v>#DIV/0!</v>
      </c>
      <c r="AS15" s="7" t="str">
        <f t="shared" si="53"/>
        <v>#DIV/0!</v>
      </c>
      <c r="AT15" s="7" t="str">
        <f t="shared" si="53"/>
        <v>#DIV/0!</v>
      </c>
      <c r="AU15" s="7" t="str">
        <f t="shared" si="10"/>
        <v>#DIV/0!</v>
      </c>
      <c r="AV15" s="1">
        <f>countifs('5A'!$Q$2:$Q$522, AV$1, '5A'!$C$2:$C$522, "Karl")</f>
        <v>2</v>
      </c>
      <c r="AW15" s="1">
        <f>countifs('5A'!$Q$2:$Q$522, AW$1, '5A'!$C$2:$C$522, "Karl")</f>
        <v>0</v>
      </c>
      <c r="AX15" s="1">
        <f>countifs('5A'!$Q$2:$Q$522, AX$1, '5A'!$C$2:$C$522, "Karl")</f>
        <v>0</v>
      </c>
      <c r="AY15" s="1">
        <f>countifs('5A'!$Q$2:$Q$522, AY$1, '5A'!$C$2:$C$522, "Karl")</f>
        <v>0</v>
      </c>
      <c r="AZ15" s="1">
        <f>countifs('5A'!$Q$2:$Q$522, AZ$1, '5A'!$C$2:$C$522, "Karl")</f>
        <v>0</v>
      </c>
      <c r="BA15" s="1">
        <f>countifs('5A'!$Q$2:$Q$522, BA$1, '5A'!$C$2:$C$522, "Karl")</f>
        <v>0</v>
      </c>
      <c r="BB15" s="1">
        <f>countifs('5A'!$Q$2:$Q$522, BB$1, '5A'!$C$2:$C$522, "Karl")</f>
        <v>0</v>
      </c>
      <c r="BC15" s="1">
        <f>countifs('5A'!$Q$2:$Q$522, BC$1, '5A'!$C$2:$C$522, "Kona")</f>
        <v>10</v>
      </c>
      <c r="BD15" s="1">
        <f>countifs('5A'!$Q$2:$Q$522, BD$1, '5A'!$C$2:$C$522, "Kona")</f>
        <v>1</v>
      </c>
      <c r="BE15" s="1">
        <f>countifs('5A'!$Q$2:$Q$522, BE$1, '5A'!$C$2:$C$522, "Kona")</f>
        <v>2</v>
      </c>
      <c r="BF15" s="1">
        <f>countifs('5A'!$Q$2:$Q$522, BF$1, '5A'!$C$2:$C$522, "Kona")</f>
        <v>0</v>
      </c>
      <c r="BG15" s="1">
        <f>countifs('5A'!$Q$2:$Q$522, BG$1, '5A'!$C$2:$C$522, "Kona")</f>
        <v>2</v>
      </c>
      <c r="BH15" s="1">
        <f>countifs('5A'!$Q$2:$Q$522, BH$1, '5A'!$C$2:$C$522, "Kona")</f>
        <v>2</v>
      </c>
      <c r="BI15" s="1">
        <f>countifs('5A'!$Q$2:$Q$522, BI$1, '5A'!$C$2:$C$522, "Kona")</f>
        <v>3</v>
      </c>
      <c r="BJ15" s="8">
        <f t="shared" si="11"/>
        <v>2</v>
      </c>
      <c r="BK15" s="8">
        <f t="shared" si="12"/>
        <v>20</v>
      </c>
      <c r="BL15" s="6">
        <f>IFERROR(__xludf.DUMMYFUNCTION("AVERAGE.WEIGHTED($AV$1:$BB$1,AV15:BB15)"),1.0)</f>
        <v>1</v>
      </c>
      <c r="BM15" s="6">
        <f>IFERROR(__xludf.DUMMYFUNCTION("AVERAGE.WEIGHTED($BC$1:$BI$1,BC15:BI15)"),3.05)</f>
        <v>3.05</v>
      </c>
      <c r="BN15" s="6">
        <f t="shared" ref="BN15:BO15" si="54">(BL15-1)*100/6</f>
        <v>0</v>
      </c>
      <c r="BO15" s="6">
        <f t="shared" si="54"/>
        <v>34.16666667</v>
      </c>
      <c r="BP15" s="6">
        <f t="shared" si="14"/>
        <v>17.08333333</v>
      </c>
      <c r="BQ15" s="6">
        <f t="shared" si="15"/>
        <v>17.08333333</v>
      </c>
      <c r="BR15" s="7">
        <f t="shared" si="16"/>
        <v>0.000000005058810593</v>
      </c>
    </row>
    <row r="16">
      <c r="A16" s="3">
        <v>15.0</v>
      </c>
      <c r="B16" s="1" t="s">
        <v>17</v>
      </c>
      <c r="C16" s="1">
        <f>countif('5A'!$R$2:$R$522, C$1)</f>
        <v>8</v>
      </c>
      <c r="D16" s="1">
        <f>countif('5A'!$R$2:$R$522, D$1)</f>
        <v>2</v>
      </c>
      <c r="E16" s="1">
        <f>countif('5A'!$R$2:$R$522, E$1)</f>
        <v>2</v>
      </c>
      <c r="F16" s="1">
        <f>countif('5A'!$R$2:$R$522, F$1)</f>
        <v>0</v>
      </c>
      <c r="G16" s="1">
        <f>countif('5A'!$R$2:$R$522, G$1)</f>
        <v>0</v>
      </c>
      <c r="H16" s="1">
        <f>countif('5A'!$R$2:$R$522, H$1)</f>
        <v>6</v>
      </c>
      <c r="I16" s="1">
        <f>countif('5A'!$R$2:$R$522, I$1)</f>
        <v>5</v>
      </c>
      <c r="J16" s="1">
        <f t="shared" si="21"/>
        <v>23</v>
      </c>
      <c r="K16" s="6">
        <f t="shared" si="6"/>
        <v>3.869565217</v>
      </c>
      <c r="N16" s="1">
        <f>countifs('5A'!$R$2:$R$522, N$1, '5A'!$B$2:$B$522, "&gt;"&amp;$L$2, '5A'!$B$2:$B$522, "&lt;"&amp;$M$2)</f>
        <v>0</v>
      </c>
      <c r="O16" s="1">
        <f>countifs('5A'!$R$2:$R$522, O$1, '5A'!$B$2:$B$522, "&gt;"&amp;$L$2, '5A'!$B$2:$B$522, "&lt;"&amp;$M$2)</f>
        <v>0</v>
      </c>
      <c r="P16" s="1">
        <f>countifs('5A'!$R$2:$R$522, P$1, '5A'!$B$2:$B$522, "&gt;"&amp;$L$2, '5A'!$B$2:$B$522, "&lt;"&amp;$M$2)</f>
        <v>0</v>
      </c>
      <c r="Q16" s="1">
        <f>countifs('5A'!$R$2:$R$522, Q$1, '5A'!$B$2:$B$522, "&gt;"&amp;$L$2, '5A'!$B$2:$B$522, "&lt;"&amp;$M$2)</f>
        <v>0</v>
      </c>
      <c r="R16" s="1">
        <f>countifs('5A'!$R$2:$R$522, R$1, '5A'!$B$2:$B$522, "&gt;"&amp;$L$2, '5A'!$B$2:$B$522, "&lt;"&amp;$M$2)</f>
        <v>0</v>
      </c>
      <c r="S16" s="1">
        <f>countifs('5A'!$R$2:$R$522, S$1, '5A'!$B$2:$B$522, "&gt;"&amp;$L$2, '5A'!$B$2:$B$522, "&lt;"&amp;$M$2)</f>
        <v>0</v>
      </c>
      <c r="T16" s="1">
        <f>countifs('5A'!$R$2:$R$522, T$1, '5A'!$B$2:$B$522, "&gt;"&amp;$L$2, '5A'!$B$2:$B$522, "&lt;"&amp;$M$2)</f>
        <v>0</v>
      </c>
      <c r="U16" s="1">
        <f>countifs('5A'!$R$2:$R$522, U$1, '5A'!$B$2:$B$522, "&gt;"&amp;$L$3, '5A'!$B$2:$B$522, "&lt;"&amp;$M$3)</f>
        <v>0</v>
      </c>
      <c r="V16" s="1">
        <f>countifs('5A'!$R$2:$R$522, V$1, '5A'!$B$2:$B$522, "&gt;"&amp;$L$3, '5A'!$B$2:$B$522, "&lt;"&amp;$M$3)</f>
        <v>0</v>
      </c>
      <c r="W16" s="1">
        <f>countifs('5A'!$R$2:$R$522, W$1, '5A'!$B$2:$B$522, "&gt;"&amp;$L$3, '5A'!$B$2:$B$522, "&lt;"&amp;$M$3)</f>
        <v>0</v>
      </c>
      <c r="X16" s="1">
        <f>countifs('5A'!$R$2:$R$522, X$1, '5A'!$B$2:$B$522, "&gt;"&amp;$L$3, '5A'!$B$2:$B$522, "&lt;"&amp;$M$3)</f>
        <v>0</v>
      </c>
      <c r="Y16" s="1">
        <f>countifs('5A'!$R$2:$R$522, Y$1, '5A'!$B$2:$B$522, "&gt;"&amp;$L$3, '5A'!$B$2:$B$522, "&lt;"&amp;$M$3)</f>
        <v>0</v>
      </c>
      <c r="Z16" s="1">
        <f>countifs('5A'!$R$2:$R$522, Z$1, '5A'!$B$2:$B$522, "&gt;"&amp;$L$3, '5A'!$B$2:$B$522, "&lt;"&amp;$M$3)</f>
        <v>0</v>
      </c>
      <c r="AA16" s="1">
        <f>countifs('5A'!$R$2:$R$522, AA$1, '5A'!$B$2:$B$522, "&gt;"&amp;$L$3, '5A'!$B$2:$B$522, "&lt;"&amp;$M$3)</f>
        <v>0</v>
      </c>
      <c r="AB16" s="1">
        <f>countifs('5A'!$R$2:$R$522, AB$1, '5A'!$B$2:$B$522, "&gt;"&amp;$L$4, '5A'!$B$2:$B$522, "&lt;"&amp;$M$4)</f>
        <v>0</v>
      </c>
      <c r="AC16" s="1">
        <f>countifs('5A'!$R$2:$R$522, AC$1, '5A'!$B$2:$B$522, "&gt;"&amp;$L$4, '5A'!$B$2:$B$522, "&lt;"&amp;$M$4)</f>
        <v>0</v>
      </c>
      <c r="AD16" s="1">
        <f>countifs('5A'!$R$2:$R$522, AD$1, '5A'!$B$2:$B$522, "&gt;"&amp;$L$4, '5A'!$B$2:$B$522, "&lt;"&amp;$M$4)</f>
        <v>0</v>
      </c>
      <c r="AE16" s="1">
        <f>countifs('5A'!$R$2:$R$522, AE$1, '5A'!$B$2:$B$522, "&gt;"&amp;$L$4, '5A'!$B$2:$B$522, "&lt;"&amp;$M$4)</f>
        <v>0</v>
      </c>
      <c r="AF16" s="1">
        <f>countifs('5A'!$R$2:$R$522, AF$1, '5A'!$B$2:$B$522, "&gt;"&amp;$L$4, '5A'!$B$2:$B$522, "&lt;"&amp;$M$4)</f>
        <v>0</v>
      </c>
      <c r="AG16" s="1">
        <f>countifs('5A'!$R$2:$R$522, AG$1, '5A'!$B$2:$B$522, "&gt;"&amp;$L$4, '5A'!$B$2:$B$522, "&lt;"&amp;$M$4)</f>
        <v>0</v>
      </c>
      <c r="AH16" s="1">
        <f>countifs('5A'!$R$2:$R$522, AH$1, '5A'!$B$2:$B$522, "&gt;"&amp;$L$4, '5A'!$B$2:$B$522, "&lt;"&amp;$M$4)</f>
        <v>0</v>
      </c>
      <c r="AI16" s="3">
        <v>8.0</v>
      </c>
      <c r="AJ16" s="3">
        <v>4.0</v>
      </c>
      <c r="AK16" s="3">
        <v>0.0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6" t="str">
        <f>IFERROR(__xludf.DUMMYFUNCTION("AVERAGE.WEIGHTED($AB$1:$AH$1, AB16:AH16)"),"#DIV/0!")</f>
        <v>#DIV/0!</v>
      </c>
      <c r="AO16" s="6" t="str">
        <f t="shared" ref="AO16:AQ16" si="55">(AL16-1)*100/6</f>
        <v>#DIV/0!</v>
      </c>
      <c r="AP16" s="6" t="str">
        <f t="shared" si="55"/>
        <v>#DIV/0!</v>
      </c>
      <c r="AQ16" s="6" t="str">
        <f t="shared" si="55"/>
        <v>#DIV/0!</v>
      </c>
      <c r="AR16" s="7" t="str">
        <f t="shared" ref="AR16:AT16" si="56">average($AO16:$AQ16)</f>
        <v>#DIV/0!</v>
      </c>
      <c r="AS16" s="7" t="str">
        <f t="shared" si="56"/>
        <v>#DIV/0!</v>
      </c>
      <c r="AT16" s="7" t="str">
        <f t="shared" si="56"/>
        <v>#DIV/0!</v>
      </c>
      <c r="AU16" s="7" t="str">
        <f t="shared" si="10"/>
        <v>#DIV/0!</v>
      </c>
      <c r="AV16" s="1">
        <f>countifs('5A'!$R$2:$R$522, AV$1, '5A'!$C$2:$C$522, "Karl")</f>
        <v>1</v>
      </c>
      <c r="AW16" s="1">
        <f>countifs('5A'!$R$2:$R$522, AW$1, '5A'!$C$2:$C$522, "Karl")</f>
        <v>0</v>
      </c>
      <c r="AX16" s="1">
        <f>countifs('5A'!$R$2:$R$522, AX$1, '5A'!$C$2:$C$522, "Karl")</f>
        <v>0</v>
      </c>
      <c r="AY16" s="1">
        <f>countifs('5A'!$R$2:$R$522, AY$1, '5A'!$C$2:$C$522, "Karl")</f>
        <v>0</v>
      </c>
      <c r="AZ16" s="1">
        <f>countifs('5A'!$R$2:$R$522, AZ$1, '5A'!$C$2:$C$522, "Karl")</f>
        <v>0</v>
      </c>
      <c r="BA16" s="1">
        <f>countifs('5A'!$R$2:$R$522, BA$1, '5A'!$C$2:$C$522, "Karl")</f>
        <v>1</v>
      </c>
      <c r="BB16" s="1">
        <f>countifs('5A'!$R$2:$R$522, BB$1, '5A'!$C$2:$C$522, "Karl")</f>
        <v>0</v>
      </c>
      <c r="BC16" s="1">
        <f>countifs('5A'!$R$2:$R$522, BC$1, '5A'!$C$2:$C$522, "Kona")</f>
        <v>7</v>
      </c>
      <c r="BD16" s="1">
        <f>countifs('5A'!$R$2:$R$522, BD$1, '5A'!$C$2:$C$522, "Kona")</f>
        <v>2</v>
      </c>
      <c r="BE16" s="1">
        <f>countifs('5A'!$R$2:$R$522, BE$1, '5A'!$C$2:$C$522, "Kona")</f>
        <v>2</v>
      </c>
      <c r="BF16" s="1">
        <f>countifs('5A'!$R$2:$R$522, BF$1, '5A'!$C$2:$C$522, "Kona")</f>
        <v>0</v>
      </c>
      <c r="BG16" s="1">
        <f>countifs('5A'!$R$2:$R$522, BG$1, '5A'!$C$2:$C$522, "Kona")</f>
        <v>0</v>
      </c>
      <c r="BH16" s="1">
        <f>countifs('5A'!$R$2:$R$522, BH$1, '5A'!$C$2:$C$522, "Kona")</f>
        <v>5</v>
      </c>
      <c r="BI16" s="1">
        <f>countifs('5A'!$R$2:$R$522, BI$1, '5A'!$C$2:$C$522, "Kona")</f>
        <v>4</v>
      </c>
      <c r="BJ16" s="8">
        <f t="shared" si="11"/>
        <v>2</v>
      </c>
      <c r="BK16" s="8">
        <f t="shared" si="12"/>
        <v>20</v>
      </c>
      <c r="BL16" s="6">
        <f>IFERROR(__xludf.DUMMYFUNCTION("AVERAGE.WEIGHTED($AV$1:$BB$1,AV16:BB16)"),3.5)</f>
        <v>3.5</v>
      </c>
      <c r="BM16" s="6">
        <f>IFERROR(__xludf.DUMMYFUNCTION("AVERAGE.WEIGHTED($BC$1:$BI$1,BC16:BI16)"),3.75)</f>
        <v>3.75</v>
      </c>
      <c r="BN16" s="6">
        <f t="shared" ref="BN16:BO16" si="57">(BL16-1)*100/6</f>
        <v>41.66666667</v>
      </c>
      <c r="BO16" s="6">
        <f t="shared" si="57"/>
        <v>45.83333333</v>
      </c>
      <c r="BP16" s="6">
        <f t="shared" si="14"/>
        <v>43.75</v>
      </c>
      <c r="BQ16" s="6">
        <f t="shared" si="15"/>
        <v>43.75</v>
      </c>
      <c r="BR16" s="7">
        <f t="shared" si="16"/>
        <v>0.6560051322</v>
      </c>
    </row>
    <row r="17">
      <c r="A17" s="3">
        <v>16.0</v>
      </c>
      <c r="B17" s="1" t="s">
        <v>18</v>
      </c>
      <c r="C17" s="1">
        <f>countif('5A'!$S$2:$S$522, C$1)</f>
        <v>2</v>
      </c>
      <c r="D17" s="1">
        <f>countif('5A'!$S$2:$S$522, D$1)</f>
        <v>1</v>
      </c>
      <c r="E17" s="1">
        <f>countif('5A'!$S$2:$S$522, E$1)</f>
        <v>0</v>
      </c>
      <c r="F17" s="1">
        <f>countif('5A'!$S$2:$S$522, F$1)</f>
        <v>1</v>
      </c>
      <c r="G17" s="1">
        <f>countif('5A'!$S$2:$S$522, G$1)</f>
        <v>4</v>
      </c>
      <c r="H17" s="1">
        <f>countif('5A'!$S$2:$S$522, H$1)</f>
        <v>2</v>
      </c>
      <c r="I17" s="1">
        <f>countif('5A'!$S$2:$S$522, I$1)</f>
        <v>13</v>
      </c>
      <c r="J17" s="1">
        <f t="shared" ref="J17:J26" si="61">SUM(C17:I17)</f>
        <v>23</v>
      </c>
      <c r="K17" s="6">
        <f t="shared" si="6"/>
        <v>5.695652174</v>
      </c>
      <c r="N17" s="1">
        <f>countifs('5A'!$S$2:$S$522, N$1, '5A'!$B$2:$B$522, "&gt;"&amp;$L$2, '5A'!$B$2:$B$522, "&lt;"&amp;$M$2)</f>
        <v>0</v>
      </c>
      <c r="O17" s="1">
        <f>countifs('5A'!$S$2:$S$522, O$1, '5A'!$B$2:$B$522, "&gt;"&amp;$L$2, '5A'!$B$2:$B$522, "&lt;"&amp;$M$2)</f>
        <v>0</v>
      </c>
      <c r="P17" s="1">
        <f>countifs('5A'!$S$2:$S$522, P$1, '5A'!$B$2:$B$522, "&gt;"&amp;$L$2, '5A'!$B$2:$B$522, "&lt;"&amp;$M$2)</f>
        <v>0</v>
      </c>
      <c r="Q17" s="1">
        <f>countifs('5A'!$S$2:$S$522, Q$1, '5A'!$B$2:$B$522, "&gt;"&amp;$L$2, '5A'!$B$2:$B$522, "&lt;"&amp;$M$2)</f>
        <v>0</v>
      </c>
      <c r="R17" s="1">
        <f>countifs('5A'!$S$2:$S$522, R$1, '5A'!$B$2:$B$522, "&gt;"&amp;$L$2, '5A'!$B$2:$B$522, "&lt;"&amp;$M$2)</f>
        <v>0</v>
      </c>
      <c r="S17" s="1">
        <f>countifs('5A'!$S$2:$S$522, S$1, '5A'!$B$2:$B$522, "&gt;"&amp;$L$2, '5A'!$B$2:$B$522, "&lt;"&amp;$M$2)</f>
        <v>0</v>
      </c>
      <c r="T17" s="1">
        <f>countifs('5A'!$S$2:$S$522, T$1, '5A'!$B$2:$B$522, "&gt;"&amp;$L$2, '5A'!$B$2:$B$522, "&lt;"&amp;$M$2)</f>
        <v>0</v>
      </c>
      <c r="U17" s="1">
        <f>countifs('5A'!$S$2:$S$522, U$1, '5A'!$B$2:$B$522, "&gt;"&amp;$L$3, '5A'!$B$2:$B$522, "&lt;"&amp;$M$3)</f>
        <v>0</v>
      </c>
      <c r="V17" s="1">
        <f>countifs('5A'!$S$2:$S$522, V$1, '5A'!$B$2:$B$522, "&gt;"&amp;$L$3, '5A'!$B$2:$B$522, "&lt;"&amp;$M$3)</f>
        <v>0</v>
      </c>
      <c r="W17" s="1">
        <f>countifs('5A'!$S$2:$S$522, W$1, '5A'!$B$2:$B$522, "&gt;"&amp;$L$3, '5A'!$B$2:$B$522, "&lt;"&amp;$M$3)</f>
        <v>0</v>
      </c>
      <c r="X17" s="1">
        <f>countifs('5A'!$S$2:$S$522, X$1, '5A'!$B$2:$B$522, "&gt;"&amp;$L$3, '5A'!$B$2:$B$522, "&lt;"&amp;$M$3)</f>
        <v>0</v>
      </c>
      <c r="Y17" s="1">
        <f>countifs('5A'!$S$2:$S$522, Y$1, '5A'!$B$2:$B$522, "&gt;"&amp;$L$3, '5A'!$B$2:$B$522, "&lt;"&amp;$M$3)</f>
        <v>0</v>
      </c>
      <c r="Z17" s="1">
        <f>countifs('5A'!$S$2:$S$522, Z$1, '5A'!$B$2:$B$522, "&gt;"&amp;$L$3, '5A'!$B$2:$B$522, "&lt;"&amp;$M$3)</f>
        <v>0</v>
      </c>
      <c r="AA17" s="1">
        <f>countifs('5A'!$S$2:$S$522, AA$1, '5A'!$B$2:$B$522, "&gt;"&amp;$L$3, '5A'!$B$2:$B$522, "&lt;"&amp;$M$3)</f>
        <v>0</v>
      </c>
      <c r="AB17" s="1">
        <f>countifs('5A'!$S$2:$S$522, AB$1, '5A'!$B$2:$B$522, "&gt;"&amp;$L$4, '5A'!$B$2:$B$522, "&lt;"&amp;$M$4)</f>
        <v>0</v>
      </c>
      <c r="AC17" s="1">
        <f>countifs('5A'!$S$2:$S$522, AC$1, '5A'!$B$2:$B$522, "&gt;"&amp;$L$4, '5A'!$B$2:$B$522, "&lt;"&amp;$M$4)</f>
        <v>0</v>
      </c>
      <c r="AD17" s="1">
        <f>countifs('5A'!$S$2:$S$522, AD$1, '5A'!$B$2:$B$522, "&gt;"&amp;$L$4, '5A'!$B$2:$B$522, "&lt;"&amp;$M$4)</f>
        <v>0</v>
      </c>
      <c r="AE17" s="1">
        <f>countifs('5A'!$S$2:$S$522, AE$1, '5A'!$B$2:$B$522, "&gt;"&amp;$L$4, '5A'!$B$2:$B$522, "&lt;"&amp;$M$4)</f>
        <v>0</v>
      </c>
      <c r="AF17" s="1">
        <f>countifs('5A'!$S$2:$S$522, AF$1, '5A'!$B$2:$B$522, "&gt;"&amp;$L$4, '5A'!$B$2:$B$522, "&lt;"&amp;$M$4)</f>
        <v>0</v>
      </c>
      <c r="AG17" s="1">
        <f>countifs('5A'!$S$2:$S$522, AG$1, '5A'!$B$2:$B$522, "&gt;"&amp;$L$4, '5A'!$B$2:$B$522, "&lt;"&amp;$M$4)</f>
        <v>0</v>
      </c>
      <c r="AH17" s="1">
        <f>countifs('5A'!$S$2:$S$522, AH$1, '5A'!$B$2:$B$522, "&gt;"&amp;$L$4, '5A'!$B$2:$B$522, "&lt;"&amp;$M$4)</f>
        <v>0</v>
      </c>
      <c r="AI17" s="3">
        <v>8.0</v>
      </c>
      <c r="AJ17" s="3">
        <v>4.0</v>
      </c>
      <c r="AK17" s="3">
        <v>0.0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6" t="str">
        <f>IFERROR(__xludf.DUMMYFUNCTION("AVERAGE.WEIGHTED($AB$1:$AH$1, AB17:AH17)"),"#DIV/0!")</f>
        <v>#DIV/0!</v>
      </c>
      <c r="AO17" s="6" t="str">
        <f t="shared" ref="AO17:AQ17" si="58">(AL17-1)*100/6</f>
        <v>#DIV/0!</v>
      </c>
      <c r="AP17" s="6" t="str">
        <f t="shared" si="58"/>
        <v>#DIV/0!</v>
      </c>
      <c r="AQ17" s="6" t="str">
        <f t="shared" si="58"/>
        <v>#DIV/0!</v>
      </c>
      <c r="AR17" s="7" t="str">
        <f t="shared" ref="AR17:AT17" si="59">average($AO17:$AQ17)</f>
        <v>#DIV/0!</v>
      </c>
      <c r="AS17" s="7" t="str">
        <f t="shared" si="59"/>
        <v>#DIV/0!</v>
      </c>
      <c r="AT17" s="7" t="str">
        <f t="shared" si="59"/>
        <v>#DIV/0!</v>
      </c>
      <c r="AU17" s="7" t="str">
        <f t="shared" si="10"/>
        <v>#DIV/0!</v>
      </c>
      <c r="AV17" s="1">
        <f>countifs('5A'!$S$2:$S$522, AV$1, '5A'!$C$2:$C$522, "Karl")</f>
        <v>0</v>
      </c>
      <c r="AW17" s="1">
        <f>countifs('5A'!$S$2:$S$522, AW$1, '5A'!$C$2:$C$522, "Karl")</f>
        <v>0</v>
      </c>
      <c r="AX17" s="1">
        <f>countifs('5A'!$S$2:$S$522, AX$1, '5A'!$C$2:$C$522, "Karl")</f>
        <v>0</v>
      </c>
      <c r="AY17" s="1">
        <f>countifs('5A'!$S$2:$S$522, AY$1, '5A'!$C$2:$C$522, "Karl")</f>
        <v>0</v>
      </c>
      <c r="AZ17" s="1">
        <f>countifs('5A'!$S$2:$S$522, AZ$1, '5A'!$C$2:$C$522, "Karl")</f>
        <v>0</v>
      </c>
      <c r="BA17" s="1">
        <f>countifs('5A'!$S$2:$S$522, BA$1, '5A'!$C$2:$C$522, "Karl")</f>
        <v>1</v>
      </c>
      <c r="BB17" s="1">
        <f>countifs('5A'!$S$2:$S$522, BB$1, '5A'!$C$2:$C$522, "Karl")</f>
        <v>1</v>
      </c>
      <c r="BC17" s="1">
        <f>countifs('5A'!$S$2:$S$522, BC$1, '5A'!$C$2:$C$522, "Kona")</f>
        <v>2</v>
      </c>
      <c r="BD17" s="1">
        <f>countifs('5A'!$S$2:$S$522, BD$1, '5A'!$C$2:$C$522, "Kona")</f>
        <v>1</v>
      </c>
      <c r="BE17" s="1">
        <f>countifs('5A'!$S$2:$S$522, BE$1, '5A'!$C$2:$C$522, "Kona")</f>
        <v>0</v>
      </c>
      <c r="BF17" s="1">
        <f>countifs('5A'!$S$2:$S$522, BF$1, '5A'!$C$2:$C$522, "Kona")</f>
        <v>1</v>
      </c>
      <c r="BG17" s="1">
        <f>countifs('5A'!$S$2:$S$522, BG$1, '5A'!$C$2:$C$522, "Kona")</f>
        <v>4</v>
      </c>
      <c r="BH17" s="1">
        <f>countifs('5A'!$S$2:$S$522, BH$1, '5A'!$C$2:$C$522, "Kona")</f>
        <v>1</v>
      </c>
      <c r="BI17" s="1">
        <f>countifs('5A'!$S$2:$S$522, BI$1, '5A'!$C$2:$C$522, "Kona")</f>
        <v>11</v>
      </c>
      <c r="BJ17" s="8">
        <f t="shared" si="11"/>
        <v>2</v>
      </c>
      <c r="BK17" s="8">
        <f t="shared" si="12"/>
        <v>20</v>
      </c>
      <c r="BL17" s="6">
        <f>IFERROR(__xludf.DUMMYFUNCTION("AVERAGE.WEIGHTED($AV$1:$BB$1,AV17:BB17)"),6.5)</f>
        <v>6.5</v>
      </c>
      <c r="BM17" s="6">
        <f>IFERROR(__xludf.DUMMYFUNCTION("AVERAGE.WEIGHTED($BC$1:$BI$1,BC17:BI17)"),5.55)</f>
        <v>5.55</v>
      </c>
      <c r="BN17" s="6">
        <f t="shared" ref="BN17:BO17" si="60">(BL17-1)*100/6</f>
        <v>91.66666667</v>
      </c>
      <c r="BO17" s="6">
        <f t="shared" si="60"/>
        <v>75.83333333</v>
      </c>
      <c r="BP17" s="6">
        <f t="shared" si="14"/>
        <v>83.75</v>
      </c>
      <c r="BQ17" s="6">
        <f t="shared" si="15"/>
        <v>83.75</v>
      </c>
      <c r="BR17" s="7">
        <f t="shared" si="16"/>
        <v>0.2211824041</v>
      </c>
    </row>
    <row r="18">
      <c r="A18" s="3">
        <v>17.0</v>
      </c>
      <c r="B18" s="1" t="s">
        <v>19</v>
      </c>
      <c r="C18" s="1">
        <f>countif('5A'!$T$2:$T$522, C$1)</f>
        <v>1</v>
      </c>
      <c r="D18" s="1">
        <f>countif('5A'!$T$2:$T$522, D$1)</f>
        <v>5</v>
      </c>
      <c r="E18" s="1">
        <f>countif('5A'!$T$2:$T$522, E$1)</f>
        <v>1</v>
      </c>
      <c r="F18" s="1">
        <f>countif('5A'!$T$2:$T$522, F$1)</f>
        <v>1</v>
      </c>
      <c r="G18" s="1">
        <f>countif('5A'!$T$2:$T$522, G$1)</f>
        <v>1</v>
      </c>
      <c r="H18" s="1">
        <f>countif('5A'!$T$2:$T$522, H$1)</f>
        <v>6</v>
      </c>
      <c r="I18" s="1">
        <f>countif('5A'!$T$2:$T$522, I$1)</f>
        <v>8</v>
      </c>
      <c r="J18" s="1">
        <f t="shared" si="61"/>
        <v>23</v>
      </c>
      <c r="K18" s="6">
        <f t="shared" si="6"/>
        <v>5</v>
      </c>
      <c r="N18" s="1">
        <f>countifs('5A'!$T$2:$T$522, N$1, '5A'!$B$2:$B$522, "&gt;"&amp;$L$2, '5A'!$B$2:$B$522, "&lt;"&amp;$M$2)</f>
        <v>0</v>
      </c>
      <c r="O18" s="1">
        <f>countifs('5A'!$T$2:$T$522, O$1, '5A'!$B$2:$B$522, "&gt;"&amp;$L$2, '5A'!$B$2:$B$522, "&lt;"&amp;$M$2)</f>
        <v>0</v>
      </c>
      <c r="P18" s="1">
        <f>countifs('5A'!$T$2:$T$522, P$1, '5A'!$B$2:$B$522, "&gt;"&amp;$L$2, '5A'!$B$2:$B$522, "&lt;"&amp;$M$2)</f>
        <v>0</v>
      </c>
      <c r="Q18" s="1">
        <f>countifs('5A'!$T$2:$T$522, Q$1, '5A'!$B$2:$B$522, "&gt;"&amp;$L$2, '5A'!$B$2:$B$522, "&lt;"&amp;$M$2)</f>
        <v>0</v>
      </c>
      <c r="R18" s="1">
        <f>countifs('5A'!$T$2:$T$522, R$1, '5A'!$B$2:$B$522, "&gt;"&amp;$L$2, '5A'!$B$2:$B$522, "&lt;"&amp;$M$2)</f>
        <v>0</v>
      </c>
      <c r="S18" s="1">
        <f>countifs('5A'!$T$2:$T$522, S$1, '5A'!$B$2:$B$522, "&gt;"&amp;$L$2, '5A'!$B$2:$B$522, "&lt;"&amp;$M$2)</f>
        <v>0</v>
      </c>
      <c r="T18" s="1">
        <f>countifs('5A'!$T$2:$T$522, T$1, '5A'!$B$2:$B$522, "&gt;"&amp;$L$2, '5A'!$B$2:$B$522, "&lt;"&amp;$M$2)</f>
        <v>0</v>
      </c>
      <c r="U18" s="1">
        <f>countifs('5A'!$T$2:$T$522, U$1, '5A'!$B$2:$B$522, "&gt;"&amp;$L$3, '5A'!$B$2:$B$522, "&lt;"&amp;$M$3)</f>
        <v>0</v>
      </c>
      <c r="V18" s="1">
        <f>countifs('5A'!$T$2:$T$522, V$1, '5A'!$B$2:$B$522, "&gt;"&amp;$L$3, '5A'!$B$2:$B$522, "&lt;"&amp;$M$3)</f>
        <v>0</v>
      </c>
      <c r="W18" s="1">
        <f>countifs('5A'!$T$2:$T$522, W$1, '5A'!$B$2:$B$522, "&gt;"&amp;$L$3, '5A'!$B$2:$B$522, "&lt;"&amp;$M$3)</f>
        <v>0</v>
      </c>
      <c r="X18" s="1">
        <f>countifs('5A'!$T$2:$T$522, X$1, '5A'!$B$2:$B$522, "&gt;"&amp;$L$3, '5A'!$B$2:$B$522, "&lt;"&amp;$M$3)</f>
        <v>0</v>
      </c>
      <c r="Y18" s="1">
        <f>countifs('5A'!$T$2:$T$522, Y$1, '5A'!$B$2:$B$522, "&gt;"&amp;$L$3, '5A'!$B$2:$B$522, "&lt;"&amp;$M$3)</f>
        <v>0</v>
      </c>
      <c r="Z18" s="1">
        <f>countifs('5A'!$T$2:$T$522, Z$1, '5A'!$B$2:$B$522, "&gt;"&amp;$L$3, '5A'!$B$2:$B$522, "&lt;"&amp;$M$3)</f>
        <v>0</v>
      </c>
      <c r="AA18" s="1">
        <f>countifs('5A'!$T$2:$T$522, AA$1, '5A'!$B$2:$B$522, "&gt;"&amp;$L$3, '5A'!$B$2:$B$522, "&lt;"&amp;$M$3)</f>
        <v>0</v>
      </c>
      <c r="AB18" s="1">
        <f>countifs('5A'!$T$2:$T$522, AB$1, '5A'!$B$2:$B$522, "&gt;"&amp;$L$4, '5A'!$B$2:$B$522, "&lt;"&amp;$M$4)</f>
        <v>0</v>
      </c>
      <c r="AC18" s="1">
        <f>countifs('5A'!$T$2:$T$522, AC$1, '5A'!$B$2:$B$522, "&gt;"&amp;$L$4, '5A'!$B$2:$B$522, "&lt;"&amp;$M$4)</f>
        <v>0</v>
      </c>
      <c r="AD18" s="1">
        <f>countifs('5A'!$T$2:$T$522, AD$1, '5A'!$B$2:$B$522, "&gt;"&amp;$L$4, '5A'!$B$2:$B$522, "&lt;"&amp;$M$4)</f>
        <v>0</v>
      </c>
      <c r="AE18" s="1">
        <f>countifs('5A'!$T$2:$T$522, AE$1, '5A'!$B$2:$B$522, "&gt;"&amp;$L$4, '5A'!$B$2:$B$522, "&lt;"&amp;$M$4)</f>
        <v>0</v>
      </c>
      <c r="AF18" s="1">
        <f>countifs('5A'!$T$2:$T$522, AF$1, '5A'!$B$2:$B$522, "&gt;"&amp;$L$4, '5A'!$B$2:$B$522, "&lt;"&amp;$M$4)</f>
        <v>0</v>
      </c>
      <c r="AG18" s="1">
        <f>countifs('5A'!$T$2:$T$522, AG$1, '5A'!$B$2:$B$522, "&gt;"&amp;$L$4, '5A'!$B$2:$B$522, "&lt;"&amp;$M$4)</f>
        <v>0</v>
      </c>
      <c r="AH18" s="1">
        <f>countifs('5A'!$T$2:$T$522, AH$1, '5A'!$B$2:$B$522, "&gt;"&amp;$L$4, '5A'!$B$2:$B$522, "&lt;"&amp;$M$4)</f>
        <v>0</v>
      </c>
      <c r="AI18" s="3">
        <v>8.0</v>
      </c>
      <c r="AJ18" s="3">
        <v>4.0</v>
      </c>
      <c r="AK18" s="3">
        <v>0.0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6" t="str">
        <f>IFERROR(__xludf.DUMMYFUNCTION("AVERAGE.WEIGHTED($AB$1:$AH$1, AB18:AH18)"),"#DIV/0!")</f>
        <v>#DIV/0!</v>
      </c>
      <c r="AO18" s="6" t="str">
        <f t="shared" ref="AO18:AQ18" si="62">(AL18-1)*100/6</f>
        <v>#DIV/0!</v>
      </c>
      <c r="AP18" s="6" t="str">
        <f t="shared" si="62"/>
        <v>#DIV/0!</v>
      </c>
      <c r="AQ18" s="6" t="str">
        <f t="shared" si="62"/>
        <v>#DIV/0!</v>
      </c>
      <c r="AR18" s="7" t="str">
        <f t="shared" ref="AR18:AT18" si="63">average($AO18:$AQ18)</f>
        <v>#DIV/0!</v>
      </c>
      <c r="AS18" s="7" t="str">
        <f t="shared" si="63"/>
        <v>#DIV/0!</v>
      </c>
      <c r="AT18" s="7" t="str">
        <f t="shared" si="63"/>
        <v>#DIV/0!</v>
      </c>
      <c r="AU18" s="7" t="str">
        <f t="shared" si="10"/>
        <v>#DIV/0!</v>
      </c>
      <c r="AV18" s="1">
        <f>countifs('5A'!$T$2:$T$522, AV$1, '5A'!$C$2:$C$522, "Karl")</f>
        <v>0</v>
      </c>
      <c r="AW18" s="1">
        <f>countifs('5A'!$T$2:$T$522, AW$1, '5A'!$C$2:$C$522, "Karl")</f>
        <v>0</v>
      </c>
      <c r="AX18" s="1">
        <f>countifs('5A'!$T$2:$T$522, AX$1, '5A'!$C$2:$C$522, "Karl")</f>
        <v>1</v>
      </c>
      <c r="AY18" s="1">
        <f>countifs('5A'!$T$2:$T$522, AY$1, '5A'!$C$2:$C$522, "Karl")</f>
        <v>1</v>
      </c>
      <c r="AZ18" s="1">
        <f>countifs('5A'!$T$2:$T$522, AZ$1, '5A'!$C$2:$C$522, "Karl")</f>
        <v>0</v>
      </c>
      <c r="BA18" s="1">
        <f>countifs('5A'!$T$2:$T$522, BA$1, '5A'!$C$2:$C$522, "Karl")</f>
        <v>0</v>
      </c>
      <c r="BB18" s="1">
        <f>countifs('5A'!$T$2:$T$522, BB$1, '5A'!$C$2:$C$522, "Karl")</f>
        <v>0</v>
      </c>
      <c r="BC18" s="1">
        <f>countifs('5A'!$T$2:$T$522, BC$1, '5A'!$C$2:$C$522, "Kona")</f>
        <v>1</v>
      </c>
      <c r="BD18" s="1">
        <f>countifs('5A'!$T$2:$T$522, BD$1, '5A'!$C$2:$C$522, "Kona")</f>
        <v>5</v>
      </c>
      <c r="BE18" s="1">
        <f>countifs('5A'!$T$2:$T$522, BE$1, '5A'!$C$2:$C$522, "Kona")</f>
        <v>0</v>
      </c>
      <c r="BF18" s="1">
        <f>countifs('5A'!$T$2:$T$522, BF$1, '5A'!$C$2:$C$522, "Kona")</f>
        <v>0</v>
      </c>
      <c r="BG18" s="1">
        <f>countifs('5A'!$T$2:$T$522, BG$1, '5A'!$C$2:$C$522, "Kona")</f>
        <v>1</v>
      </c>
      <c r="BH18" s="1">
        <f>countifs('5A'!$T$2:$T$522, BH$1, '5A'!$C$2:$C$522, "Kona")</f>
        <v>6</v>
      </c>
      <c r="BI18" s="1">
        <f>countifs('5A'!$T$2:$T$522, BI$1, '5A'!$C$2:$C$522, "Kona")</f>
        <v>7</v>
      </c>
      <c r="BJ18" s="8">
        <f t="shared" si="11"/>
        <v>2</v>
      </c>
      <c r="BK18" s="8">
        <f t="shared" si="12"/>
        <v>20</v>
      </c>
      <c r="BL18" s="6">
        <f>IFERROR(__xludf.DUMMYFUNCTION("AVERAGE.WEIGHTED($AV$1:$BB$1,AV18:BB18)"),3.5)</f>
        <v>3.5</v>
      </c>
      <c r="BM18" s="6">
        <f>IFERROR(__xludf.DUMMYFUNCTION("AVERAGE.WEIGHTED($BC$1:$BI$1,BC18:BI18)"),5.05)</f>
        <v>5.05</v>
      </c>
      <c r="BN18" s="6">
        <f t="shared" ref="BN18:BO18" si="64">(BL18-1)*100/6</f>
        <v>41.66666667</v>
      </c>
      <c r="BO18" s="6">
        <f t="shared" si="64"/>
        <v>67.5</v>
      </c>
      <c r="BP18" s="6">
        <f t="shared" si="14"/>
        <v>54.58333333</v>
      </c>
      <c r="BQ18" s="6">
        <f t="shared" si="15"/>
        <v>54.58333333</v>
      </c>
      <c r="BR18" s="7">
        <f t="shared" si="16"/>
        <v>0.01341735885</v>
      </c>
    </row>
    <row r="19">
      <c r="A19" s="3">
        <v>18.0</v>
      </c>
      <c r="B19" s="1" t="s">
        <v>20</v>
      </c>
      <c r="C19" s="1">
        <f>countif('5A'!$U$2:$U$522, C$1)</f>
        <v>19</v>
      </c>
      <c r="D19" s="1">
        <f>countif('5A'!$U$2:$U$522, D$1)</f>
        <v>3</v>
      </c>
      <c r="E19" s="1">
        <f>countif('5A'!$U$2:$U$522, E$1)</f>
        <v>1</v>
      </c>
      <c r="F19" s="1">
        <f>countif('5A'!$U$2:$U$522, F$1)</f>
        <v>0</v>
      </c>
      <c r="G19" s="1">
        <f>countif('5A'!$U$2:$U$522, G$1)</f>
        <v>0</v>
      </c>
      <c r="H19" s="1">
        <f>countif('5A'!$U$2:$U$522, H$1)</f>
        <v>0</v>
      </c>
      <c r="I19" s="1">
        <f>countif('5A'!$U$2:$U$522, I$1)</f>
        <v>0</v>
      </c>
      <c r="J19" s="1">
        <f t="shared" si="61"/>
        <v>23</v>
      </c>
      <c r="K19" s="6">
        <f t="shared" si="6"/>
        <v>1.217391304</v>
      </c>
      <c r="N19" s="1">
        <f>countifs('5A'!$U$2:$U$522, N$1, '5A'!$B$2:$B$522, "&gt;"&amp;$L$2, '5A'!$B$2:$B$522, "&lt;"&amp;$M$2)</f>
        <v>0</v>
      </c>
      <c r="O19" s="1">
        <f>countifs('5A'!$U$2:$U$522, O$1, '5A'!$B$2:$B$522, "&gt;"&amp;$L$2, '5A'!$B$2:$B$522, "&lt;"&amp;$M$2)</f>
        <v>0</v>
      </c>
      <c r="P19" s="1">
        <f>countifs('5A'!$U$2:$U$522, P$1, '5A'!$B$2:$B$522, "&gt;"&amp;$L$2, '5A'!$B$2:$B$522, "&lt;"&amp;$M$2)</f>
        <v>0</v>
      </c>
      <c r="Q19" s="1">
        <f>countifs('5A'!$U$2:$U$522, Q$1, '5A'!$B$2:$B$522, "&gt;"&amp;$L$2, '5A'!$B$2:$B$522, "&lt;"&amp;$M$2)</f>
        <v>0</v>
      </c>
      <c r="R19" s="1">
        <f>countifs('5A'!$U$2:$U$522, R$1, '5A'!$B$2:$B$522, "&gt;"&amp;$L$2, '5A'!$B$2:$B$522, "&lt;"&amp;$M$2)</f>
        <v>0</v>
      </c>
      <c r="S19" s="1">
        <f>countifs('5A'!$U$2:$U$522, S$1, '5A'!$B$2:$B$522, "&gt;"&amp;$L$2, '5A'!$B$2:$B$522, "&lt;"&amp;$M$2)</f>
        <v>0</v>
      </c>
      <c r="T19" s="1">
        <f>countifs('5A'!$U$2:$U$522, T$1, '5A'!$B$2:$B$522, "&gt;"&amp;$L$2, '5A'!$B$2:$B$522, "&lt;"&amp;$M$2)</f>
        <v>0</v>
      </c>
      <c r="U19" s="1">
        <f>countifs('5A'!$U$2:$U$522, U$1, '5A'!$B$2:$B$522, "&gt;"&amp;$L$3, '5A'!$B$2:$B$522, "&lt;"&amp;$M$3)</f>
        <v>0</v>
      </c>
      <c r="V19" s="1">
        <f>countifs('5A'!$U$2:$U$522, V$1, '5A'!$B$2:$B$522, "&gt;"&amp;$L$3, '5A'!$B$2:$B$522, "&lt;"&amp;$M$3)</f>
        <v>0</v>
      </c>
      <c r="W19" s="1">
        <f>countifs('5A'!$U$2:$U$522, W$1, '5A'!$B$2:$B$522, "&gt;"&amp;$L$3, '5A'!$B$2:$B$522, "&lt;"&amp;$M$3)</f>
        <v>0</v>
      </c>
      <c r="X19" s="1">
        <f>countifs('5A'!$U$2:$U$522, X$1, '5A'!$B$2:$B$522, "&gt;"&amp;$L$3, '5A'!$B$2:$B$522, "&lt;"&amp;$M$3)</f>
        <v>0</v>
      </c>
      <c r="Y19" s="1">
        <f>countifs('5A'!$U$2:$U$522, Y$1, '5A'!$B$2:$B$522, "&gt;"&amp;$L$3, '5A'!$B$2:$B$522, "&lt;"&amp;$M$3)</f>
        <v>0</v>
      </c>
      <c r="Z19" s="1">
        <f>countifs('5A'!$U$2:$U$522, Z$1, '5A'!$B$2:$B$522, "&gt;"&amp;$L$3, '5A'!$B$2:$B$522, "&lt;"&amp;$M$3)</f>
        <v>0</v>
      </c>
      <c r="AA19" s="1">
        <f>countifs('5A'!$U$2:$U$522, AA$1, '5A'!$B$2:$B$522, "&gt;"&amp;$L$3, '5A'!$B$2:$B$522, "&lt;"&amp;$M$3)</f>
        <v>0</v>
      </c>
      <c r="AB19" s="1">
        <f>countifs('5A'!$U$2:$U$522, AB$1, '5A'!$B$2:$B$522, "&gt;"&amp;$L$4, '5A'!$B$2:$B$522, "&lt;"&amp;$M$4)</f>
        <v>0</v>
      </c>
      <c r="AC19" s="1">
        <f>countifs('5A'!$U$2:$U$522, AC$1, '5A'!$B$2:$B$522, "&gt;"&amp;$L$4, '5A'!$B$2:$B$522, "&lt;"&amp;$M$4)</f>
        <v>0</v>
      </c>
      <c r="AD19" s="1">
        <f>countifs('5A'!$U$2:$U$522, AD$1, '5A'!$B$2:$B$522, "&gt;"&amp;$L$4, '5A'!$B$2:$B$522, "&lt;"&amp;$M$4)</f>
        <v>0</v>
      </c>
      <c r="AE19" s="1">
        <f>countifs('5A'!$U$2:$U$522, AE$1, '5A'!$B$2:$B$522, "&gt;"&amp;$L$4, '5A'!$B$2:$B$522, "&lt;"&amp;$M$4)</f>
        <v>0</v>
      </c>
      <c r="AF19" s="1">
        <f>countifs('5A'!$U$2:$U$522, AF$1, '5A'!$B$2:$B$522, "&gt;"&amp;$L$4, '5A'!$B$2:$B$522, "&lt;"&amp;$M$4)</f>
        <v>0</v>
      </c>
      <c r="AG19" s="1">
        <f>countifs('5A'!$U$2:$U$522, AG$1, '5A'!$B$2:$B$522, "&gt;"&amp;$L$4, '5A'!$B$2:$B$522, "&lt;"&amp;$M$4)</f>
        <v>0</v>
      </c>
      <c r="AH19" s="1">
        <f>countifs('5A'!$U$2:$U$522, AH$1, '5A'!$B$2:$B$522, "&gt;"&amp;$L$4, '5A'!$B$2:$B$522, "&lt;"&amp;$M$4)</f>
        <v>0</v>
      </c>
      <c r="AI19" s="3">
        <v>8.0</v>
      </c>
      <c r="AJ19" s="3">
        <v>4.0</v>
      </c>
      <c r="AK19" s="3">
        <v>0.0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6" t="str">
        <f>IFERROR(__xludf.DUMMYFUNCTION("AVERAGE.WEIGHTED($AB$1:$AH$1, AB19:AH19)"),"#DIV/0!")</f>
        <v>#DIV/0!</v>
      </c>
      <c r="AO19" s="6" t="str">
        <f t="shared" ref="AO19:AQ19" si="65">(AL19-1)*100/6</f>
        <v>#DIV/0!</v>
      </c>
      <c r="AP19" s="6" t="str">
        <f t="shared" si="65"/>
        <v>#DIV/0!</v>
      </c>
      <c r="AQ19" s="6" t="str">
        <f t="shared" si="65"/>
        <v>#DIV/0!</v>
      </c>
      <c r="AR19" s="7" t="str">
        <f t="shared" ref="AR19:AT19" si="66">average($AO19:$AQ19)</f>
        <v>#DIV/0!</v>
      </c>
      <c r="AS19" s="7" t="str">
        <f t="shared" si="66"/>
        <v>#DIV/0!</v>
      </c>
      <c r="AT19" s="7" t="str">
        <f t="shared" si="66"/>
        <v>#DIV/0!</v>
      </c>
      <c r="AU19" s="7" t="str">
        <f t="shared" si="10"/>
        <v>#DIV/0!</v>
      </c>
      <c r="AV19" s="1">
        <f>countifs('5A'!$U$2:$U$522, AV$1, '5A'!$C$2:$C$522, "Karl")</f>
        <v>2</v>
      </c>
      <c r="AW19" s="1">
        <f>countifs('5A'!$U$2:$U$522, AW$1, '5A'!$C$2:$C$522, "Karl")</f>
        <v>0</v>
      </c>
      <c r="AX19" s="1">
        <f>countifs('5A'!$U$2:$U$522, AX$1, '5A'!$C$2:$C$522, "Karl")</f>
        <v>0</v>
      </c>
      <c r="AY19" s="1">
        <f>countifs('5A'!$U$2:$U$522, AY$1, '5A'!$C$2:$C$522, "Karl")</f>
        <v>0</v>
      </c>
      <c r="AZ19" s="1">
        <f>countifs('5A'!$U$2:$U$522, AZ$1, '5A'!$C$2:$C$522, "Karl")</f>
        <v>0</v>
      </c>
      <c r="BA19" s="1">
        <f>countifs('5A'!$U$2:$U$522, BA$1, '5A'!$C$2:$C$522, "Karl")</f>
        <v>0</v>
      </c>
      <c r="BB19" s="1">
        <f>countifs('5A'!$U$2:$U$522, BB$1, '5A'!$C$2:$C$522, "Karl")</f>
        <v>0</v>
      </c>
      <c r="BC19" s="1">
        <f>countifs('5A'!$U$2:$U$522, BC$1, '5A'!$C$2:$C$522, "Kona")</f>
        <v>16</v>
      </c>
      <c r="BD19" s="1">
        <f>countifs('5A'!$U$2:$U$522, BD$1, '5A'!$C$2:$C$522, "Kona")</f>
        <v>3</v>
      </c>
      <c r="BE19" s="1">
        <f>countifs('5A'!$U$2:$U$522, BE$1, '5A'!$C$2:$C$522, "Kona")</f>
        <v>1</v>
      </c>
      <c r="BF19" s="1">
        <f>countifs('5A'!$U$2:$U$522, BF$1, '5A'!$C$2:$C$522, "Kona")</f>
        <v>0</v>
      </c>
      <c r="BG19" s="1">
        <f>countifs('5A'!$U$2:$U$522, BG$1, '5A'!$C$2:$C$522, "Kona")</f>
        <v>0</v>
      </c>
      <c r="BH19" s="1">
        <f>countifs('5A'!$U$2:$U$522, BH$1, '5A'!$C$2:$C$522, "Kona")</f>
        <v>0</v>
      </c>
      <c r="BI19" s="1">
        <f>countifs('5A'!$U$2:$U$522, BI$1, '5A'!$C$2:$C$522, "Kona")</f>
        <v>0</v>
      </c>
      <c r="BJ19" s="8">
        <f t="shared" si="11"/>
        <v>2</v>
      </c>
      <c r="BK19" s="8">
        <f t="shared" si="12"/>
        <v>20</v>
      </c>
      <c r="BL19" s="6">
        <f>IFERROR(__xludf.DUMMYFUNCTION("AVERAGE.WEIGHTED($AV$1:$BB$1,AV19:BB19)"),1.0)</f>
        <v>1</v>
      </c>
      <c r="BM19" s="6">
        <f>IFERROR(__xludf.DUMMYFUNCTION("AVERAGE.WEIGHTED($BC$1:$BI$1,BC19:BI19)"),1.25)</f>
        <v>1.25</v>
      </c>
      <c r="BN19" s="6">
        <f t="shared" ref="BN19:BO19" si="67">(BL19-1)*100/6</f>
        <v>0</v>
      </c>
      <c r="BO19" s="6">
        <f t="shared" si="67"/>
        <v>4.166666667</v>
      </c>
      <c r="BP19" s="6">
        <f t="shared" si="14"/>
        <v>2.083333333</v>
      </c>
      <c r="BQ19" s="6">
        <f t="shared" si="15"/>
        <v>2.083333333</v>
      </c>
      <c r="BR19" s="7">
        <f t="shared" si="16"/>
        <v>0.04122683334</v>
      </c>
    </row>
    <row r="20">
      <c r="A20" s="3">
        <v>19.0</v>
      </c>
      <c r="B20" s="1" t="s">
        <v>21</v>
      </c>
      <c r="C20" s="1">
        <f>countif('5A'!$V$2:$V$522, C$1)</f>
        <v>11</v>
      </c>
      <c r="D20" s="1">
        <f>countif('5A'!$V$2:$V$522, D$1)</f>
        <v>3</v>
      </c>
      <c r="E20" s="1">
        <f>countif('5A'!$V$2:$V$522, E$1)</f>
        <v>2</v>
      </c>
      <c r="F20" s="1">
        <f>countif('5A'!$V$2:$V$522, F$1)</f>
        <v>0</v>
      </c>
      <c r="G20" s="1">
        <f>countif('5A'!$V$2:$V$522, G$1)</f>
        <v>4</v>
      </c>
      <c r="H20" s="1">
        <f>countif('5A'!$V$2:$V$522, H$1)</f>
        <v>2</v>
      </c>
      <c r="I20" s="1">
        <f>countif('5A'!$V$2:$V$522, I$1)</f>
        <v>1</v>
      </c>
      <c r="J20" s="1">
        <f t="shared" si="61"/>
        <v>23</v>
      </c>
      <c r="K20" s="6">
        <f t="shared" si="6"/>
        <v>2.695652174</v>
      </c>
      <c r="N20" s="1">
        <f>countifs('5A'!$V$2:$V$522, N$1, '5A'!$B$2:$B$522, "&gt;"&amp;$L$2, '5A'!$B$2:$B$522, "&lt;"&amp;$M$2)</f>
        <v>0</v>
      </c>
      <c r="O20" s="1">
        <f>countifs('5A'!$V$2:$V$522, O$1, '5A'!$B$2:$B$522, "&gt;"&amp;$L$2, '5A'!$B$2:$B$522, "&lt;"&amp;$M$2)</f>
        <v>0</v>
      </c>
      <c r="P20" s="1">
        <f>countifs('5A'!$V$2:$V$522, P$1, '5A'!$B$2:$B$522, "&gt;"&amp;$L$2, '5A'!$B$2:$B$522, "&lt;"&amp;$M$2)</f>
        <v>0</v>
      </c>
      <c r="Q20" s="1">
        <f>countifs('5A'!$V$2:$V$522, Q$1, '5A'!$B$2:$B$522, "&gt;"&amp;$L$2, '5A'!$B$2:$B$522, "&lt;"&amp;$M$2)</f>
        <v>0</v>
      </c>
      <c r="R20" s="1">
        <f>countifs('5A'!$V$2:$V$522, R$1, '5A'!$B$2:$B$522, "&gt;"&amp;$L$2, '5A'!$B$2:$B$522, "&lt;"&amp;$M$2)</f>
        <v>0</v>
      </c>
      <c r="S20" s="1">
        <f>countifs('5A'!$V$2:$V$522, S$1, '5A'!$B$2:$B$522, "&gt;"&amp;$L$2, '5A'!$B$2:$B$522, "&lt;"&amp;$M$2)</f>
        <v>0</v>
      </c>
      <c r="T20" s="1">
        <f>countifs('5A'!$V$2:$V$522, T$1, '5A'!$B$2:$B$522, "&gt;"&amp;$L$2, '5A'!$B$2:$B$522, "&lt;"&amp;$M$2)</f>
        <v>0</v>
      </c>
      <c r="U20" s="1">
        <f>countifs('5A'!$V$2:$V$522, U$1, '5A'!$B$2:$B$522, "&gt;"&amp;$L$3, '5A'!$B$2:$B$522, "&lt;"&amp;$M$3)</f>
        <v>0</v>
      </c>
      <c r="V20" s="1">
        <f>countifs('5A'!$V$2:$V$522, V$1, '5A'!$B$2:$B$522, "&gt;"&amp;$L$3, '5A'!$B$2:$B$522, "&lt;"&amp;$M$3)</f>
        <v>0</v>
      </c>
      <c r="W20" s="1">
        <f>countifs('5A'!$V$2:$V$522, W$1, '5A'!$B$2:$B$522, "&gt;"&amp;$L$3, '5A'!$B$2:$B$522, "&lt;"&amp;$M$3)</f>
        <v>0</v>
      </c>
      <c r="X20" s="1">
        <f>countifs('5A'!$V$2:$V$522, X$1, '5A'!$B$2:$B$522, "&gt;"&amp;$L$3, '5A'!$B$2:$B$522, "&lt;"&amp;$M$3)</f>
        <v>0</v>
      </c>
      <c r="Y20" s="1">
        <f>countifs('5A'!$V$2:$V$522, Y$1, '5A'!$B$2:$B$522, "&gt;"&amp;$L$3, '5A'!$B$2:$B$522, "&lt;"&amp;$M$3)</f>
        <v>0</v>
      </c>
      <c r="Z20" s="1">
        <f>countifs('5A'!$V$2:$V$522, Z$1, '5A'!$B$2:$B$522, "&gt;"&amp;$L$3, '5A'!$B$2:$B$522, "&lt;"&amp;$M$3)</f>
        <v>0</v>
      </c>
      <c r="AA20" s="1">
        <f>countifs('5A'!$V$2:$V$522, AA$1, '5A'!$B$2:$B$522, "&gt;"&amp;$L$3, '5A'!$B$2:$B$522, "&lt;"&amp;$M$3)</f>
        <v>0</v>
      </c>
      <c r="AB20" s="1">
        <f>countifs('5A'!$V$2:$V$522, AB$1, '5A'!$B$2:$B$522, "&gt;"&amp;$L$4, '5A'!$B$2:$B$522, "&lt;"&amp;$M$4)</f>
        <v>0</v>
      </c>
      <c r="AC20" s="1">
        <f>countifs('5A'!$V$2:$V$522, AC$1, '5A'!$B$2:$B$522, "&gt;"&amp;$L$4, '5A'!$B$2:$B$522, "&lt;"&amp;$M$4)</f>
        <v>0</v>
      </c>
      <c r="AD20" s="1">
        <f>countifs('5A'!$V$2:$V$522, AD$1, '5A'!$B$2:$B$522, "&gt;"&amp;$L$4, '5A'!$B$2:$B$522, "&lt;"&amp;$M$4)</f>
        <v>0</v>
      </c>
      <c r="AE20" s="1">
        <f>countifs('5A'!$V$2:$V$522, AE$1, '5A'!$B$2:$B$522, "&gt;"&amp;$L$4, '5A'!$B$2:$B$522, "&lt;"&amp;$M$4)</f>
        <v>0</v>
      </c>
      <c r="AF20" s="1">
        <f>countifs('5A'!$V$2:$V$522, AF$1, '5A'!$B$2:$B$522, "&gt;"&amp;$L$4, '5A'!$B$2:$B$522, "&lt;"&amp;$M$4)</f>
        <v>0</v>
      </c>
      <c r="AG20" s="1">
        <f>countifs('5A'!$V$2:$V$522, AG$1, '5A'!$B$2:$B$522, "&gt;"&amp;$L$4, '5A'!$B$2:$B$522, "&lt;"&amp;$M$4)</f>
        <v>0</v>
      </c>
      <c r="AH20" s="1">
        <f>countifs('5A'!$V$2:$V$522, AH$1, '5A'!$B$2:$B$522, "&gt;"&amp;$L$4, '5A'!$B$2:$B$522, "&lt;"&amp;$M$4)</f>
        <v>0</v>
      </c>
      <c r="AI20" s="3">
        <v>8.0</v>
      </c>
      <c r="AJ20" s="3">
        <v>4.0</v>
      </c>
      <c r="AK20" s="3">
        <v>0.0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6" t="str">
        <f>IFERROR(__xludf.DUMMYFUNCTION("AVERAGE.WEIGHTED($AB$1:$AH$1, AB20:AH20)"),"#DIV/0!")</f>
        <v>#DIV/0!</v>
      </c>
      <c r="AO20" s="6" t="str">
        <f t="shared" ref="AO20:AQ20" si="68">(AL20-1)*100/6</f>
        <v>#DIV/0!</v>
      </c>
      <c r="AP20" s="6" t="str">
        <f t="shared" si="68"/>
        <v>#DIV/0!</v>
      </c>
      <c r="AQ20" s="6" t="str">
        <f t="shared" si="68"/>
        <v>#DIV/0!</v>
      </c>
      <c r="AR20" s="7" t="str">
        <f t="shared" ref="AR20:AT20" si="69">average($AO20:$AQ20)</f>
        <v>#DIV/0!</v>
      </c>
      <c r="AS20" s="7" t="str">
        <f t="shared" si="69"/>
        <v>#DIV/0!</v>
      </c>
      <c r="AT20" s="7" t="str">
        <f t="shared" si="69"/>
        <v>#DIV/0!</v>
      </c>
      <c r="AU20" s="7" t="str">
        <f t="shared" si="10"/>
        <v>#DIV/0!</v>
      </c>
      <c r="AV20" s="1">
        <f>countifs('5A'!$V$2:$V$522, AV$1, '5A'!$C$2:$C$522, "Karl")</f>
        <v>1</v>
      </c>
      <c r="AW20" s="1">
        <f>countifs('5A'!$V$2:$V$522, AW$1, '5A'!$C$2:$C$522, "Karl")</f>
        <v>0</v>
      </c>
      <c r="AX20" s="1">
        <f>countifs('5A'!$V$2:$V$522, AX$1, '5A'!$C$2:$C$522, "Karl")</f>
        <v>0</v>
      </c>
      <c r="AY20" s="1">
        <f>countifs('5A'!$V$2:$V$522, AY$1, '5A'!$C$2:$C$522, "Karl")</f>
        <v>0</v>
      </c>
      <c r="AZ20" s="1">
        <f>countifs('5A'!$V$2:$V$522, AZ$1, '5A'!$C$2:$C$522, "Karl")</f>
        <v>1</v>
      </c>
      <c r="BA20" s="1">
        <f>countifs('5A'!$V$2:$V$522, BA$1, '5A'!$C$2:$C$522, "Karl")</f>
        <v>0</v>
      </c>
      <c r="BB20" s="1">
        <f>countifs('5A'!$V$2:$V$522, BB$1, '5A'!$C$2:$C$522, "Karl")</f>
        <v>0</v>
      </c>
      <c r="BC20" s="1">
        <f>countifs('5A'!$V$2:$V$522, BC$1, '5A'!$C$2:$C$522, "Kona")</f>
        <v>9</v>
      </c>
      <c r="BD20" s="1">
        <f>countifs('5A'!$V$2:$V$522, BD$1, '5A'!$C$2:$C$522, "Kona")</f>
        <v>3</v>
      </c>
      <c r="BE20" s="1">
        <f>countifs('5A'!$V$2:$V$522, BE$1, '5A'!$C$2:$C$522, "Kona")</f>
        <v>2</v>
      </c>
      <c r="BF20" s="1">
        <f>countifs('5A'!$V$2:$V$522, BF$1, '5A'!$C$2:$C$522, "Kona")</f>
        <v>0</v>
      </c>
      <c r="BG20" s="1">
        <f>countifs('5A'!$V$2:$V$522, BG$1, '5A'!$C$2:$C$522, "Kona")</f>
        <v>3</v>
      </c>
      <c r="BH20" s="1">
        <f>countifs('5A'!$V$2:$V$522, BH$1, '5A'!$C$2:$C$522, "Kona")</f>
        <v>2</v>
      </c>
      <c r="BI20" s="1">
        <f>countifs('5A'!$V$2:$V$522, BI$1, '5A'!$C$2:$C$522, "Kona")</f>
        <v>1</v>
      </c>
      <c r="BJ20" s="8">
        <f t="shared" si="11"/>
        <v>2</v>
      </c>
      <c r="BK20" s="8">
        <f t="shared" si="12"/>
        <v>20</v>
      </c>
      <c r="BL20" s="6">
        <f>IFERROR(__xludf.DUMMYFUNCTION("AVERAGE.WEIGHTED($AV$1:$BB$1,AV20:BB20)"),3.0)</f>
        <v>3</v>
      </c>
      <c r="BM20" s="6">
        <f>IFERROR(__xludf.DUMMYFUNCTION("AVERAGE.WEIGHTED($BC$1:$BI$1,BC20:BI20)"),2.75)</f>
        <v>2.75</v>
      </c>
      <c r="BN20" s="6">
        <f t="shared" ref="BN20:BO20" si="70">(BL20-1)*100/6</f>
        <v>33.33333333</v>
      </c>
      <c r="BO20" s="6">
        <f t="shared" si="70"/>
        <v>29.16666667</v>
      </c>
      <c r="BP20" s="6">
        <f t="shared" si="14"/>
        <v>31.25</v>
      </c>
      <c r="BQ20" s="6">
        <f t="shared" si="15"/>
        <v>31.25</v>
      </c>
      <c r="BR20" s="7">
        <f t="shared" si="16"/>
        <v>0.5981614527</v>
      </c>
    </row>
    <row r="21">
      <c r="A21" s="3">
        <v>20.0</v>
      </c>
      <c r="B21" s="1" t="s">
        <v>22</v>
      </c>
      <c r="C21" s="1">
        <f>countif('5A'!$W$2:$W$522, C$1)</f>
        <v>16</v>
      </c>
      <c r="D21" s="1">
        <f>countif('5A'!$W$2:$W$522, D$1)</f>
        <v>5</v>
      </c>
      <c r="E21" s="1">
        <f>countif('5A'!$W$2:$W$522, E$1)</f>
        <v>0</v>
      </c>
      <c r="F21" s="1">
        <f>countif('5A'!$W$2:$W$522, F$1)</f>
        <v>0</v>
      </c>
      <c r="G21" s="1">
        <f>countif('5A'!$W$2:$W$522, G$1)</f>
        <v>0</v>
      </c>
      <c r="H21" s="1">
        <f>countif('5A'!$W$2:$W$522, H$1)</f>
        <v>2</v>
      </c>
      <c r="I21" s="1">
        <f>countif('5A'!$W$2:$W$522, I$1)</f>
        <v>0</v>
      </c>
      <c r="J21" s="1">
        <f t="shared" si="61"/>
        <v>23</v>
      </c>
      <c r="K21" s="6">
        <f t="shared" si="6"/>
        <v>1.652173913</v>
      </c>
      <c r="N21" s="1">
        <f>countifs('5A'!$W$2:$W$522, N$1, '5A'!$B$2:$B$522, "&gt;"&amp;$L$2, '5A'!$B$2:$B$522, "&lt;"&amp;$M$2)</f>
        <v>0</v>
      </c>
      <c r="O21" s="1">
        <f>countifs('5A'!$W$2:$W$522, O$1, '5A'!$B$2:$B$522, "&gt;"&amp;$L$2, '5A'!$B$2:$B$522, "&lt;"&amp;$M$2)</f>
        <v>0</v>
      </c>
      <c r="P21" s="1">
        <f>countifs('5A'!$W$2:$W$522, P$1, '5A'!$B$2:$B$522, "&gt;"&amp;$L$2, '5A'!$B$2:$B$522, "&lt;"&amp;$M$2)</f>
        <v>0</v>
      </c>
      <c r="Q21" s="1">
        <f>countifs('5A'!$W$2:$W$522, Q$1, '5A'!$B$2:$B$522, "&gt;"&amp;$L$2, '5A'!$B$2:$B$522, "&lt;"&amp;$M$2)</f>
        <v>0</v>
      </c>
      <c r="R21" s="1">
        <f>countifs('5A'!$W$2:$W$522, R$1, '5A'!$B$2:$B$522, "&gt;"&amp;$L$2, '5A'!$B$2:$B$522, "&lt;"&amp;$M$2)</f>
        <v>0</v>
      </c>
      <c r="S21" s="1">
        <f>countifs('5A'!$W$2:$W$522, S$1, '5A'!$B$2:$B$522, "&gt;"&amp;$L$2, '5A'!$B$2:$B$522, "&lt;"&amp;$M$2)</f>
        <v>0</v>
      </c>
      <c r="T21" s="1">
        <f>countifs('5A'!$W$2:$W$522, T$1, '5A'!$B$2:$B$522, "&gt;"&amp;$L$2, '5A'!$B$2:$B$522, "&lt;"&amp;$M$2)</f>
        <v>0</v>
      </c>
      <c r="U21" s="1">
        <f>countifs('5A'!$W$2:$W$522, U$1, '5A'!$B$2:$B$522, "&gt;"&amp;$L$3, '5A'!$B$2:$B$522, "&lt;"&amp;$M$3)</f>
        <v>0</v>
      </c>
      <c r="V21" s="1">
        <f>countifs('5A'!$W$2:$W$522, V$1, '5A'!$B$2:$B$522, "&gt;"&amp;$L$3, '5A'!$B$2:$B$522, "&lt;"&amp;$M$3)</f>
        <v>0</v>
      </c>
      <c r="W21" s="1">
        <f>countifs('5A'!$W$2:$W$522, W$1, '5A'!$B$2:$B$522, "&gt;"&amp;$L$3, '5A'!$B$2:$B$522, "&lt;"&amp;$M$3)</f>
        <v>0</v>
      </c>
      <c r="X21" s="1">
        <f>countifs('5A'!$W$2:$W$522, X$1, '5A'!$B$2:$B$522, "&gt;"&amp;$L$3, '5A'!$B$2:$B$522, "&lt;"&amp;$M$3)</f>
        <v>0</v>
      </c>
      <c r="Y21" s="1">
        <f>countifs('5A'!$W$2:$W$522, Y$1, '5A'!$B$2:$B$522, "&gt;"&amp;$L$3, '5A'!$B$2:$B$522, "&lt;"&amp;$M$3)</f>
        <v>0</v>
      </c>
      <c r="Z21" s="1">
        <f>countifs('5A'!$W$2:$W$522, Z$1, '5A'!$B$2:$B$522, "&gt;"&amp;$L$3, '5A'!$B$2:$B$522, "&lt;"&amp;$M$3)</f>
        <v>0</v>
      </c>
      <c r="AA21" s="1">
        <f>countifs('5A'!$W$2:$W$522, AA$1, '5A'!$B$2:$B$522, "&gt;"&amp;$L$3, '5A'!$B$2:$B$522, "&lt;"&amp;$M$3)</f>
        <v>0</v>
      </c>
      <c r="AB21" s="1">
        <f>countifs('5A'!$W$2:$W$522, AB$1, '5A'!$B$2:$B$522, "&gt;"&amp;$L$4, '5A'!$B$2:$B$522, "&lt;"&amp;$M$4)</f>
        <v>0</v>
      </c>
      <c r="AC21" s="1">
        <f>countifs('5A'!$W$2:$W$522, AC$1, '5A'!$B$2:$B$522, "&gt;"&amp;$L$4, '5A'!$B$2:$B$522, "&lt;"&amp;$M$4)</f>
        <v>0</v>
      </c>
      <c r="AD21" s="1">
        <f>countifs('5A'!$W$2:$W$522, AD$1, '5A'!$B$2:$B$522, "&gt;"&amp;$L$4, '5A'!$B$2:$B$522, "&lt;"&amp;$M$4)</f>
        <v>0</v>
      </c>
      <c r="AE21" s="1">
        <f>countifs('5A'!$W$2:$W$522, AE$1, '5A'!$B$2:$B$522, "&gt;"&amp;$L$4, '5A'!$B$2:$B$522, "&lt;"&amp;$M$4)</f>
        <v>0</v>
      </c>
      <c r="AF21" s="1">
        <f>countifs('5A'!$W$2:$W$522, AF$1, '5A'!$B$2:$B$522, "&gt;"&amp;$L$4, '5A'!$B$2:$B$522, "&lt;"&amp;$M$4)</f>
        <v>0</v>
      </c>
      <c r="AG21" s="1">
        <f>countifs('5A'!$W$2:$W$522, AG$1, '5A'!$B$2:$B$522, "&gt;"&amp;$L$4, '5A'!$B$2:$B$522, "&lt;"&amp;$M$4)</f>
        <v>0</v>
      </c>
      <c r="AH21" s="1">
        <f>countifs('5A'!$W$2:$W$522, AH$1, '5A'!$B$2:$B$522, "&gt;"&amp;$L$4, '5A'!$B$2:$B$522, "&lt;"&amp;$M$4)</f>
        <v>0</v>
      </c>
      <c r="AI21" s="3">
        <v>8.0</v>
      </c>
      <c r="AJ21" s="3">
        <v>4.0</v>
      </c>
      <c r="AK21" s="3">
        <v>0.0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6" t="str">
        <f>IFERROR(__xludf.DUMMYFUNCTION("AVERAGE.WEIGHTED($AB$1:$AH$1, AB21:AH21)"),"#DIV/0!")</f>
        <v>#DIV/0!</v>
      </c>
      <c r="AO21" s="6" t="str">
        <f t="shared" ref="AO21:AQ21" si="71">(AL21-1)*100/6</f>
        <v>#DIV/0!</v>
      </c>
      <c r="AP21" s="6" t="str">
        <f t="shared" si="71"/>
        <v>#DIV/0!</v>
      </c>
      <c r="AQ21" s="6" t="str">
        <f t="shared" si="71"/>
        <v>#DIV/0!</v>
      </c>
      <c r="AR21" s="7" t="str">
        <f t="shared" ref="AR21:AT21" si="72">average($AO21:$AQ21)</f>
        <v>#DIV/0!</v>
      </c>
      <c r="AS21" s="7" t="str">
        <f t="shared" si="72"/>
        <v>#DIV/0!</v>
      </c>
      <c r="AT21" s="7" t="str">
        <f t="shared" si="72"/>
        <v>#DIV/0!</v>
      </c>
      <c r="AU21" s="7" t="str">
        <f t="shared" si="10"/>
        <v>#DIV/0!</v>
      </c>
      <c r="AV21" s="1">
        <f>countifs('5A'!$W$2:$W$522, AV$1, '5A'!$C$2:$C$522, "Karl")</f>
        <v>2</v>
      </c>
      <c r="AW21" s="1">
        <f>countifs('5A'!$W$2:$W$522, AW$1, '5A'!$C$2:$C$522, "Karl")</f>
        <v>0</v>
      </c>
      <c r="AX21" s="1">
        <f>countifs('5A'!$W$2:$W$522, AX$1, '5A'!$C$2:$C$522, "Karl")</f>
        <v>0</v>
      </c>
      <c r="AY21" s="1">
        <f>countifs('5A'!$W$2:$W$522, AY$1, '5A'!$C$2:$C$522, "Karl")</f>
        <v>0</v>
      </c>
      <c r="AZ21" s="1">
        <f>countifs('5A'!$W$2:$W$522, AZ$1, '5A'!$C$2:$C$522, "Karl")</f>
        <v>0</v>
      </c>
      <c r="BA21" s="1">
        <f>countifs('5A'!$W$2:$W$522, BA$1, '5A'!$C$2:$C$522, "Karl")</f>
        <v>0</v>
      </c>
      <c r="BB21" s="1">
        <f>countifs('5A'!$W$2:$W$522, BB$1, '5A'!$C$2:$C$522, "Karl")</f>
        <v>0</v>
      </c>
      <c r="BC21" s="1">
        <f>countifs('5A'!$W$2:$W$522, BC$1, '5A'!$C$2:$C$522, "Kona")</f>
        <v>13</v>
      </c>
      <c r="BD21" s="1">
        <f>countifs('5A'!$W$2:$W$522, BD$1, '5A'!$C$2:$C$522, "Kona")</f>
        <v>5</v>
      </c>
      <c r="BE21" s="1">
        <f>countifs('5A'!$W$2:$W$522, BE$1, '5A'!$C$2:$C$522, "Kona")</f>
        <v>0</v>
      </c>
      <c r="BF21" s="1">
        <f>countifs('5A'!$W$2:$W$522, BF$1, '5A'!$C$2:$C$522, "Kona")</f>
        <v>0</v>
      </c>
      <c r="BG21" s="1">
        <f>countifs('5A'!$W$2:$W$522, BG$1, '5A'!$C$2:$C$522, "Kona")</f>
        <v>0</v>
      </c>
      <c r="BH21" s="1">
        <f>countifs('5A'!$W$2:$W$522, BH$1, '5A'!$C$2:$C$522, "Kona")</f>
        <v>2</v>
      </c>
      <c r="BI21" s="1">
        <f>countifs('5A'!$W$2:$W$522, BI$1, '5A'!$C$2:$C$522, "Kona")</f>
        <v>0</v>
      </c>
      <c r="BJ21" s="8">
        <f t="shared" si="11"/>
        <v>2</v>
      </c>
      <c r="BK21" s="8">
        <f t="shared" si="12"/>
        <v>20</v>
      </c>
      <c r="BL21" s="6">
        <f>IFERROR(__xludf.DUMMYFUNCTION("AVERAGE.WEIGHTED($AV$1:$BB$1,AV21:BB21)"),1.0)</f>
        <v>1</v>
      </c>
      <c r="BM21" s="6">
        <f>IFERROR(__xludf.DUMMYFUNCTION("AVERAGE.WEIGHTED($BC$1:$BI$1,BC21:BI21)"),1.75)</f>
        <v>1.75</v>
      </c>
      <c r="BN21" s="6">
        <f t="shared" ref="BN21:BO21" si="73">(BL21-1)*100/6</f>
        <v>0</v>
      </c>
      <c r="BO21" s="6">
        <f t="shared" si="73"/>
        <v>12.5</v>
      </c>
      <c r="BP21" s="6">
        <f t="shared" si="14"/>
        <v>6.25</v>
      </c>
      <c r="BQ21" s="6">
        <f t="shared" si="15"/>
        <v>6.25</v>
      </c>
      <c r="BR21" s="7">
        <f t="shared" si="16"/>
        <v>0.0004069520174</v>
      </c>
    </row>
    <row r="22">
      <c r="A22" s="3">
        <v>21.0</v>
      </c>
      <c r="B22" s="1" t="s">
        <v>23</v>
      </c>
      <c r="C22" s="1">
        <f>countif('5A'!$X$2:$X$522, C$1)</f>
        <v>11</v>
      </c>
      <c r="D22" s="1">
        <f>countif('5A'!$X$2:$X$522, D$1)</f>
        <v>5</v>
      </c>
      <c r="E22" s="1">
        <f>countif('5A'!$X$2:$X$522, E$1)</f>
        <v>0</v>
      </c>
      <c r="F22" s="1">
        <f>countif('5A'!$X$2:$X$522, F$1)</f>
        <v>2</v>
      </c>
      <c r="G22" s="1">
        <f>countif('5A'!$X$2:$X$522, G$1)</f>
        <v>2</v>
      </c>
      <c r="H22" s="1">
        <f>countif('5A'!$X$2:$X$522, H$1)</f>
        <v>0</v>
      </c>
      <c r="I22" s="1">
        <f>countif('5A'!$X$2:$X$522, I$1)</f>
        <v>3</v>
      </c>
      <c r="J22" s="1">
        <f t="shared" si="61"/>
        <v>23</v>
      </c>
      <c r="K22" s="6">
        <f t="shared" si="6"/>
        <v>2.608695652</v>
      </c>
      <c r="N22" s="1">
        <f>countifs('5A'!$X$2:$X$522, N$1, '5A'!$B$2:$B$522, "&gt;"&amp;$L$2, '5A'!$B$2:$B$522, "&lt;"&amp;$M$2)</f>
        <v>0</v>
      </c>
      <c r="O22" s="1">
        <f>countifs('5A'!$X$2:$X$522, O$1, '5A'!$B$2:$B$522, "&gt;"&amp;$L$2, '5A'!$B$2:$B$522, "&lt;"&amp;$M$2)</f>
        <v>0</v>
      </c>
      <c r="P22" s="1">
        <f>countifs('5A'!$X$2:$X$522, P$1, '5A'!$B$2:$B$522, "&gt;"&amp;$L$2, '5A'!$B$2:$B$522, "&lt;"&amp;$M$2)</f>
        <v>0</v>
      </c>
      <c r="Q22" s="1">
        <f>countifs('5A'!$X$2:$X$522, Q$1, '5A'!$B$2:$B$522, "&gt;"&amp;$L$2, '5A'!$B$2:$B$522, "&lt;"&amp;$M$2)</f>
        <v>0</v>
      </c>
      <c r="R22" s="1">
        <f>countifs('5A'!$X$2:$X$522, R$1, '5A'!$B$2:$B$522, "&gt;"&amp;$L$2, '5A'!$B$2:$B$522, "&lt;"&amp;$M$2)</f>
        <v>0</v>
      </c>
      <c r="S22" s="1">
        <f>countifs('5A'!$X$2:$X$522, S$1, '5A'!$B$2:$B$522, "&gt;"&amp;$L$2, '5A'!$B$2:$B$522, "&lt;"&amp;$M$2)</f>
        <v>0</v>
      </c>
      <c r="T22" s="1">
        <f>countifs('5A'!$X$2:$X$522, T$1, '5A'!$B$2:$B$522, "&gt;"&amp;$L$2, '5A'!$B$2:$B$522, "&lt;"&amp;$M$2)</f>
        <v>0</v>
      </c>
      <c r="U22" s="1">
        <f>countifs('5A'!$X$2:$X$522, U$1, '5A'!$B$2:$B$522, "&gt;"&amp;$L$3, '5A'!$B$2:$B$522, "&lt;"&amp;$M$3)</f>
        <v>0</v>
      </c>
      <c r="V22" s="1">
        <f>countifs('5A'!$X$2:$X$522, V$1, '5A'!$B$2:$B$522, "&gt;"&amp;$L$3, '5A'!$B$2:$B$522, "&lt;"&amp;$M$3)</f>
        <v>0</v>
      </c>
      <c r="W22" s="1">
        <f>countifs('5A'!$X$2:$X$522, W$1, '5A'!$B$2:$B$522, "&gt;"&amp;$L$3, '5A'!$B$2:$B$522, "&lt;"&amp;$M$3)</f>
        <v>0</v>
      </c>
      <c r="X22" s="1">
        <f>countifs('5A'!$X$2:$X$522, X$1, '5A'!$B$2:$B$522, "&gt;"&amp;$L$3, '5A'!$B$2:$B$522, "&lt;"&amp;$M$3)</f>
        <v>0</v>
      </c>
      <c r="Y22" s="1">
        <f>countifs('5A'!$X$2:$X$522, Y$1, '5A'!$B$2:$B$522, "&gt;"&amp;$L$3, '5A'!$B$2:$B$522, "&lt;"&amp;$M$3)</f>
        <v>0</v>
      </c>
      <c r="Z22" s="1">
        <f>countifs('5A'!$X$2:$X$522, Z$1, '5A'!$B$2:$B$522, "&gt;"&amp;$L$3, '5A'!$B$2:$B$522, "&lt;"&amp;$M$3)</f>
        <v>0</v>
      </c>
      <c r="AA22" s="1">
        <f>countifs('5A'!$X$2:$X$522, AA$1, '5A'!$B$2:$B$522, "&gt;"&amp;$L$3, '5A'!$B$2:$B$522, "&lt;"&amp;$M$3)</f>
        <v>0</v>
      </c>
      <c r="AB22" s="1">
        <f>countifs('5A'!$X$2:$X$522, AB$1, '5A'!$B$2:$B$522, "&gt;"&amp;$L$4, '5A'!$B$2:$B$522, "&lt;"&amp;$M$4)</f>
        <v>0</v>
      </c>
      <c r="AC22" s="1">
        <f>countifs('5A'!$X$2:$X$522, AC$1, '5A'!$B$2:$B$522, "&gt;"&amp;$L$4, '5A'!$B$2:$B$522, "&lt;"&amp;$M$4)</f>
        <v>0</v>
      </c>
      <c r="AD22" s="1">
        <f>countifs('5A'!$X$2:$X$522, AD$1, '5A'!$B$2:$B$522, "&gt;"&amp;$L$4, '5A'!$B$2:$B$522, "&lt;"&amp;$M$4)</f>
        <v>0</v>
      </c>
      <c r="AE22" s="1">
        <f>countifs('5A'!$X$2:$X$522, AE$1, '5A'!$B$2:$B$522, "&gt;"&amp;$L$4, '5A'!$B$2:$B$522, "&lt;"&amp;$M$4)</f>
        <v>0</v>
      </c>
      <c r="AF22" s="1">
        <f>countifs('5A'!$X$2:$X$522, AF$1, '5A'!$B$2:$B$522, "&gt;"&amp;$L$4, '5A'!$B$2:$B$522, "&lt;"&amp;$M$4)</f>
        <v>0</v>
      </c>
      <c r="AG22" s="1">
        <f>countifs('5A'!$X$2:$X$522, AG$1, '5A'!$B$2:$B$522, "&gt;"&amp;$L$4, '5A'!$B$2:$B$522, "&lt;"&amp;$M$4)</f>
        <v>0</v>
      </c>
      <c r="AH22" s="1">
        <f>countifs('5A'!$X$2:$X$522, AH$1, '5A'!$B$2:$B$522, "&gt;"&amp;$L$4, '5A'!$B$2:$B$522, "&lt;"&amp;$M$4)</f>
        <v>0</v>
      </c>
      <c r="AI22" s="3">
        <v>8.0</v>
      </c>
      <c r="AJ22" s="3">
        <v>4.0</v>
      </c>
      <c r="AK22" s="3">
        <v>0.0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6" t="str">
        <f>IFERROR(__xludf.DUMMYFUNCTION("AVERAGE.WEIGHTED($AB$1:$AH$1, AB22:AH22)"),"#DIV/0!")</f>
        <v>#DIV/0!</v>
      </c>
      <c r="AO22" s="6" t="str">
        <f t="shared" ref="AO22:AQ22" si="74">(AL22-1)*100/6</f>
        <v>#DIV/0!</v>
      </c>
      <c r="AP22" s="6" t="str">
        <f t="shared" si="74"/>
        <v>#DIV/0!</v>
      </c>
      <c r="AQ22" s="6" t="str">
        <f t="shared" si="74"/>
        <v>#DIV/0!</v>
      </c>
      <c r="AR22" s="7" t="str">
        <f t="shared" ref="AR22:AT22" si="75">average($AO22:$AQ22)</f>
        <v>#DIV/0!</v>
      </c>
      <c r="AS22" s="7" t="str">
        <f t="shared" si="75"/>
        <v>#DIV/0!</v>
      </c>
      <c r="AT22" s="7" t="str">
        <f t="shared" si="75"/>
        <v>#DIV/0!</v>
      </c>
      <c r="AU22" s="7" t="str">
        <f t="shared" si="10"/>
        <v>#DIV/0!</v>
      </c>
      <c r="AV22" s="1">
        <f>countifs('5A'!$X$2:$X$522, AV$1, '5A'!$C$2:$C$522, "Karl")</f>
        <v>1</v>
      </c>
      <c r="AW22" s="1">
        <f>countifs('5A'!$X$2:$X$522, AW$1, '5A'!$C$2:$C$522, "Karl")</f>
        <v>0</v>
      </c>
      <c r="AX22" s="1">
        <f>countifs('5A'!$X$2:$X$522, AX$1, '5A'!$C$2:$C$522, "Karl")</f>
        <v>0</v>
      </c>
      <c r="AY22" s="1">
        <f>countifs('5A'!$X$2:$X$522, AY$1, '5A'!$C$2:$C$522, "Karl")</f>
        <v>0</v>
      </c>
      <c r="AZ22" s="1">
        <f>countifs('5A'!$X$2:$X$522, AZ$1, '5A'!$C$2:$C$522, "Karl")</f>
        <v>1</v>
      </c>
      <c r="BA22" s="1">
        <f>countifs('5A'!$X$2:$X$522, BA$1, '5A'!$C$2:$C$522, "Karl")</f>
        <v>0</v>
      </c>
      <c r="BB22" s="1">
        <f>countifs('5A'!$X$2:$X$522, BB$1, '5A'!$C$2:$C$522, "Karl")</f>
        <v>0</v>
      </c>
      <c r="BC22" s="1">
        <f>countifs('5A'!$X$2:$X$522, BC$1, '5A'!$C$2:$C$522, "Kona")</f>
        <v>9</v>
      </c>
      <c r="BD22" s="1">
        <f>countifs('5A'!$X$2:$X$522, BD$1, '5A'!$C$2:$C$522, "Kona")</f>
        <v>5</v>
      </c>
      <c r="BE22" s="1">
        <f>countifs('5A'!$X$2:$X$522, BE$1, '5A'!$C$2:$C$522, "Kona")</f>
        <v>0</v>
      </c>
      <c r="BF22" s="1">
        <f>countifs('5A'!$X$2:$X$522, BF$1, '5A'!$C$2:$C$522, "Kona")</f>
        <v>2</v>
      </c>
      <c r="BG22" s="1">
        <f>countifs('5A'!$X$2:$X$522, BG$1, '5A'!$C$2:$C$522, "Kona")</f>
        <v>1</v>
      </c>
      <c r="BH22" s="1">
        <f>countifs('5A'!$X$2:$X$522, BH$1, '5A'!$C$2:$C$522, "Kona")</f>
        <v>0</v>
      </c>
      <c r="BI22" s="1">
        <f>countifs('5A'!$X$2:$X$522, BI$1, '5A'!$C$2:$C$522, "Kona")</f>
        <v>3</v>
      </c>
      <c r="BJ22" s="8">
        <f t="shared" si="11"/>
        <v>2</v>
      </c>
      <c r="BK22" s="8">
        <f t="shared" si="12"/>
        <v>20</v>
      </c>
      <c r="BL22" s="6">
        <f>IFERROR(__xludf.DUMMYFUNCTION("AVERAGE.WEIGHTED($AV$1:$BB$1,AV22:BB22)"),3.0)</f>
        <v>3</v>
      </c>
      <c r="BM22" s="6">
        <f>IFERROR(__xludf.DUMMYFUNCTION("AVERAGE.WEIGHTED($BC$1:$BI$1,BC22:BI22)"),2.65)</f>
        <v>2.65</v>
      </c>
      <c r="BN22" s="6">
        <f t="shared" ref="BN22:BO22" si="76">(BL22-1)*100/6</f>
        <v>33.33333333</v>
      </c>
      <c r="BO22" s="6">
        <f t="shared" si="76"/>
        <v>27.5</v>
      </c>
      <c r="BP22" s="6">
        <f t="shared" si="14"/>
        <v>30.41666667</v>
      </c>
      <c r="BQ22" s="6">
        <f t="shared" si="15"/>
        <v>30.41666667</v>
      </c>
      <c r="BR22" s="7">
        <f t="shared" si="16"/>
        <v>0.4545179286</v>
      </c>
    </row>
    <row r="23">
      <c r="A23" s="3">
        <v>22.0</v>
      </c>
      <c r="B23" s="1" t="s">
        <v>24</v>
      </c>
      <c r="C23" s="1">
        <f>countif('5A'!$Y$2:$Y$522, C$1)</f>
        <v>19</v>
      </c>
      <c r="D23" s="1">
        <f>countif('5A'!$Y$2:$Y$522, D$1)</f>
        <v>2</v>
      </c>
      <c r="E23" s="1">
        <f>countif('5A'!$Y$2:$Y$522, E$1)</f>
        <v>0</v>
      </c>
      <c r="F23" s="1">
        <f>countif('5A'!$Y$2:$Y$522, F$1)</f>
        <v>1</v>
      </c>
      <c r="G23" s="1">
        <f>countif('5A'!$Y$2:$Y$522, G$1)</f>
        <v>1</v>
      </c>
      <c r="H23" s="1">
        <f>countif('5A'!$Y$2:$Y$522, H$1)</f>
        <v>0</v>
      </c>
      <c r="I23" s="1">
        <f>countif('5A'!$Y$2:$Y$522, I$1)</f>
        <v>0</v>
      </c>
      <c r="J23" s="1">
        <f t="shared" si="61"/>
        <v>23</v>
      </c>
      <c r="K23" s="6">
        <f t="shared" si="6"/>
        <v>1.391304348</v>
      </c>
      <c r="N23" s="1">
        <f>countifs('5A'!$Y$2:$Y$522, N$1, '5A'!$B$2:$B$522, "&gt;"&amp;$L$2, '5A'!$B$2:$B$522, "&lt;"&amp;$M$2)</f>
        <v>0</v>
      </c>
      <c r="O23" s="1">
        <f>countifs('5A'!$Y$2:$Y$522, O$1, '5A'!$B$2:$B$522, "&gt;"&amp;$L$2, '5A'!$B$2:$B$522, "&lt;"&amp;$M$2)</f>
        <v>0</v>
      </c>
      <c r="P23" s="1">
        <f>countifs('5A'!$Y$2:$Y$522, P$1, '5A'!$B$2:$B$522, "&gt;"&amp;$L$2, '5A'!$B$2:$B$522, "&lt;"&amp;$M$2)</f>
        <v>0</v>
      </c>
      <c r="Q23" s="1">
        <f>countifs('5A'!$Y$2:$Y$522, Q$1, '5A'!$B$2:$B$522, "&gt;"&amp;$L$2, '5A'!$B$2:$B$522, "&lt;"&amp;$M$2)</f>
        <v>0</v>
      </c>
      <c r="R23" s="1">
        <f>countifs('5A'!$Y$2:$Y$522, R$1, '5A'!$B$2:$B$522, "&gt;"&amp;$L$2, '5A'!$B$2:$B$522, "&lt;"&amp;$M$2)</f>
        <v>0</v>
      </c>
      <c r="S23" s="1">
        <f>countifs('5A'!$Y$2:$Y$522, S$1, '5A'!$B$2:$B$522, "&gt;"&amp;$L$2, '5A'!$B$2:$B$522, "&lt;"&amp;$M$2)</f>
        <v>0</v>
      </c>
      <c r="T23" s="1">
        <f>countifs('5A'!$Y$2:$Y$522, T$1, '5A'!$B$2:$B$522, "&gt;"&amp;$L$2, '5A'!$B$2:$B$522, "&lt;"&amp;$M$2)</f>
        <v>0</v>
      </c>
      <c r="U23" s="1">
        <f>countifs('5A'!$Y$2:$Y$522, U$1, '5A'!$B$2:$B$522, "&gt;"&amp;$L$3, '5A'!$B$2:$B$522, "&lt;"&amp;$M$3)</f>
        <v>0</v>
      </c>
      <c r="V23" s="1">
        <f>countifs('5A'!$Y$2:$Y$522, V$1, '5A'!$B$2:$B$522, "&gt;"&amp;$L$3, '5A'!$B$2:$B$522, "&lt;"&amp;$M$3)</f>
        <v>0</v>
      </c>
      <c r="W23" s="1">
        <f>countifs('5A'!$Y$2:$Y$522, W$1, '5A'!$B$2:$B$522, "&gt;"&amp;$L$3, '5A'!$B$2:$B$522, "&lt;"&amp;$M$3)</f>
        <v>0</v>
      </c>
      <c r="X23" s="1">
        <f>countifs('5A'!$Y$2:$Y$522, X$1, '5A'!$B$2:$B$522, "&gt;"&amp;$L$3, '5A'!$B$2:$B$522, "&lt;"&amp;$M$3)</f>
        <v>0</v>
      </c>
      <c r="Y23" s="1">
        <f>countifs('5A'!$Y$2:$Y$522, Y$1, '5A'!$B$2:$B$522, "&gt;"&amp;$L$3, '5A'!$B$2:$B$522, "&lt;"&amp;$M$3)</f>
        <v>0</v>
      </c>
      <c r="Z23" s="1">
        <f>countifs('5A'!$Y$2:$Y$522, Z$1, '5A'!$B$2:$B$522, "&gt;"&amp;$L$3, '5A'!$B$2:$B$522, "&lt;"&amp;$M$3)</f>
        <v>0</v>
      </c>
      <c r="AA23" s="1">
        <f>countifs('5A'!$Y$2:$Y$522, AA$1, '5A'!$B$2:$B$522, "&gt;"&amp;$L$3, '5A'!$B$2:$B$522, "&lt;"&amp;$M$3)</f>
        <v>0</v>
      </c>
      <c r="AB23" s="1">
        <f>countifs('5A'!$Y$2:$Y$522, AB$1, '5A'!$B$2:$B$522, "&gt;"&amp;$L$4, '5A'!$B$2:$B$522, "&lt;"&amp;$M$4)</f>
        <v>0</v>
      </c>
      <c r="AC23" s="1">
        <f>countifs('5A'!$Y$2:$Y$522, AC$1, '5A'!$B$2:$B$522, "&gt;"&amp;$L$4, '5A'!$B$2:$B$522, "&lt;"&amp;$M$4)</f>
        <v>0</v>
      </c>
      <c r="AD23" s="1">
        <f>countifs('5A'!$Y$2:$Y$522, AD$1, '5A'!$B$2:$B$522, "&gt;"&amp;$L$4, '5A'!$B$2:$B$522, "&lt;"&amp;$M$4)</f>
        <v>0</v>
      </c>
      <c r="AE23" s="1">
        <f>countifs('5A'!$Y$2:$Y$522, AE$1, '5A'!$B$2:$B$522, "&gt;"&amp;$L$4, '5A'!$B$2:$B$522, "&lt;"&amp;$M$4)</f>
        <v>0</v>
      </c>
      <c r="AF23" s="1">
        <f>countifs('5A'!$Y$2:$Y$522, AF$1, '5A'!$B$2:$B$522, "&gt;"&amp;$L$4, '5A'!$B$2:$B$522, "&lt;"&amp;$M$4)</f>
        <v>0</v>
      </c>
      <c r="AG23" s="1">
        <f>countifs('5A'!$Y$2:$Y$522, AG$1, '5A'!$B$2:$B$522, "&gt;"&amp;$L$4, '5A'!$B$2:$B$522, "&lt;"&amp;$M$4)</f>
        <v>0</v>
      </c>
      <c r="AH23" s="1">
        <f>countifs('5A'!$Y$2:$Y$522, AH$1, '5A'!$B$2:$B$522, "&gt;"&amp;$L$4, '5A'!$B$2:$B$522, "&lt;"&amp;$M$4)</f>
        <v>0</v>
      </c>
      <c r="AI23" s="3">
        <v>8.0</v>
      </c>
      <c r="AJ23" s="3">
        <v>4.0</v>
      </c>
      <c r="AK23" s="3">
        <v>0.0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6" t="str">
        <f>IFERROR(__xludf.DUMMYFUNCTION("AVERAGE.WEIGHTED($AB$1:$AH$1, AB23:AH23)"),"#DIV/0!")</f>
        <v>#DIV/0!</v>
      </c>
      <c r="AO23" s="6" t="str">
        <f t="shared" ref="AO23:AQ23" si="77">(AL23-1)*100/6</f>
        <v>#DIV/0!</v>
      </c>
      <c r="AP23" s="6" t="str">
        <f t="shared" si="77"/>
        <v>#DIV/0!</v>
      </c>
      <c r="AQ23" s="6" t="str">
        <f t="shared" si="77"/>
        <v>#DIV/0!</v>
      </c>
      <c r="AR23" s="7" t="str">
        <f t="shared" ref="AR23:AT23" si="78">average($AO23:$AQ23)</f>
        <v>#DIV/0!</v>
      </c>
      <c r="AS23" s="7" t="str">
        <f t="shared" si="78"/>
        <v>#DIV/0!</v>
      </c>
      <c r="AT23" s="7" t="str">
        <f t="shared" si="78"/>
        <v>#DIV/0!</v>
      </c>
      <c r="AU23" s="7" t="str">
        <f t="shared" si="10"/>
        <v>#DIV/0!</v>
      </c>
      <c r="AV23" s="1">
        <f>countifs('5A'!$Y$2:$Y$522, AV$1, '5A'!$C$2:$C$522, "Karl")</f>
        <v>2</v>
      </c>
      <c r="AW23" s="1">
        <f>countifs('5A'!$Y$2:$Y$522, AW$1, '5A'!$C$2:$C$522, "Karl")</f>
        <v>0</v>
      </c>
      <c r="AX23" s="1">
        <f>countifs('5A'!$Y$2:$Y$522, AX$1, '5A'!$C$2:$C$522, "Karl")</f>
        <v>0</v>
      </c>
      <c r="AY23" s="1">
        <f>countifs('5A'!$Y$2:$Y$522, AY$1, '5A'!$C$2:$C$522, "Karl")</f>
        <v>0</v>
      </c>
      <c r="AZ23" s="1">
        <f>countifs('5A'!$Y$2:$Y$522, AZ$1, '5A'!$C$2:$C$522, "Karl")</f>
        <v>0</v>
      </c>
      <c r="BA23" s="1">
        <f>countifs('5A'!$Y$2:$Y$522, BA$1, '5A'!$C$2:$C$522, "Karl")</f>
        <v>0</v>
      </c>
      <c r="BB23" s="1">
        <f>countifs('5A'!$Y$2:$Y$522, BB$1, '5A'!$C$2:$C$522, "Karl")</f>
        <v>0</v>
      </c>
      <c r="BC23" s="1">
        <f>countifs('5A'!$Y$2:$Y$522, BC$1, '5A'!$C$2:$C$522, "Kona")</f>
        <v>16</v>
      </c>
      <c r="BD23" s="1">
        <f>countifs('5A'!$Y$2:$Y$522, BD$1, '5A'!$C$2:$C$522, "Kona")</f>
        <v>2</v>
      </c>
      <c r="BE23" s="1">
        <f>countifs('5A'!$Y$2:$Y$522, BE$1, '5A'!$C$2:$C$522, "Kona")</f>
        <v>0</v>
      </c>
      <c r="BF23" s="1">
        <f>countifs('5A'!$Y$2:$Y$522, BF$1, '5A'!$C$2:$C$522, "Kona")</f>
        <v>1</v>
      </c>
      <c r="BG23" s="1">
        <f>countifs('5A'!$Y$2:$Y$522, BG$1, '5A'!$C$2:$C$522, "Kona")</f>
        <v>1</v>
      </c>
      <c r="BH23" s="1">
        <f>countifs('5A'!$Y$2:$Y$522, BH$1, '5A'!$C$2:$C$522, "Kona")</f>
        <v>0</v>
      </c>
      <c r="BI23" s="1">
        <f>countifs('5A'!$Y$2:$Y$522, BI$1, '5A'!$C$2:$C$522, "Kona")</f>
        <v>0</v>
      </c>
      <c r="BJ23" s="8">
        <f t="shared" si="11"/>
        <v>2</v>
      </c>
      <c r="BK23" s="8">
        <f t="shared" si="12"/>
        <v>20</v>
      </c>
      <c r="BL23" s="6">
        <f>IFERROR(__xludf.DUMMYFUNCTION("AVERAGE.WEIGHTED($AV$1:$BB$1,AV23:BB23)"),1.0)</f>
        <v>1</v>
      </c>
      <c r="BM23" s="6">
        <f>IFERROR(__xludf.DUMMYFUNCTION("AVERAGE.WEIGHTED($BC$1:$BI$1,BC23:BI23)"),1.45)</f>
        <v>1.45</v>
      </c>
      <c r="BN23" s="6">
        <f t="shared" ref="BN23:BO23" si="79">(BL23-1)*100/6</f>
        <v>0</v>
      </c>
      <c r="BO23" s="6">
        <f t="shared" si="79"/>
        <v>7.5</v>
      </c>
      <c r="BP23" s="6">
        <f t="shared" si="14"/>
        <v>3.75</v>
      </c>
      <c r="BQ23" s="6">
        <f t="shared" si="15"/>
        <v>3.75</v>
      </c>
      <c r="BR23" s="7">
        <f t="shared" si="16"/>
        <v>0.006169899321</v>
      </c>
    </row>
    <row r="24">
      <c r="A24" s="3">
        <v>23.0</v>
      </c>
      <c r="B24" s="1" t="s">
        <v>25</v>
      </c>
      <c r="C24" s="1">
        <f>countif('5A'!$Z$2:$Z$522, C$1)</f>
        <v>2</v>
      </c>
      <c r="D24" s="1">
        <f>countif('5A'!$Z$2:$Z$522, D$1)</f>
        <v>0</v>
      </c>
      <c r="E24" s="1">
        <f>countif('5A'!$Z$2:$Z$522, E$1)</f>
        <v>0</v>
      </c>
      <c r="F24" s="1">
        <f>countif('5A'!$Z$2:$Z$522, F$1)</f>
        <v>0</v>
      </c>
      <c r="G24" s="1">
        <f>countif('5A'!$Z$2:$Z$522, G$1)</f>
        <v>4</v>
      </c>
      <c r="H24" s="1">
        <f>countif('5A'!$Z$2:$Z$522, H$1)</f>
        <v>6</v>
      </c>
      <c r="I24" s="1">
        <f>countif('5A'!$Z$2:$Z$522, I$1)</f>
        <v>11</v>
      </c>
      <c r="J24" s="1">
        <f t="shared" si="61"/>
        <v>23</v>
      </c>
      <c r="K24" s="6">
        <f t="shared" si="6"/>
        <v>5.869565217</v>
      </c>
      <c r="N24" s="1">
        <f>countifs('5A'!$Z$2:$Z$522, N$1, '5A'!$B$2:$B$522, "&gt;"&amp;$L$2, '5A'!$B$2:$B$522, "&lt;"&amp;$M$2)</f>
        <v>0</v>
      </c>
      <c r="O24" s="1">
        <f>countifs('5A'!$Z$2:$Z$522, O$1, '5A'!$B$2:$B$522, "&gt;"&amp;$L$2, '5A'!$B$2:$B$522, "&lt;"&amp;$M$2)</f>
        <v>0</v>
      </c>
      <c r="P24" s="1">
        <f>countifs('5A'!$Z$2:$Z$522, P$1, '5A'!$B$2:$B$522, "&gt;"&amp;$L$2, '5A'!$B$2:$B$522, "&lt;"&amp;$M$2)</f>
        <v>0</v>
      </c>
      <c r="Q24" s="1">
        <f>countifs('5A'!$Z$2:$Z$522, Q$1, '5A'!$B$2:$B$522, "&gt;"&amp;$L$2, '5A'!$B$2:$B$522, "&lt;"&amp;$M$2)</f>
        <v>0</v>
      </c>
      <c r="R24" s="1">
        <f>countifs('5A'!$Z$2:$Z$522, R$1, '5A'!$B$2:$B$522, "&gt;"&amp;$L$2, '5A'!$B$2:$B$522, "&lt;"&amp;$M$2)</f>
        <v>0</v>
      </c>
      <c r="S24" s="1">
        <f>countifs('5A'!$Z$2:$Z$522, S$1, '5A'!$B$2:$B$522, "&gt;"&amp;$L$2, '5A'!$B$2:$B$522, "&lt;"&amp;$M$2)</f>
        <v>0</v>
      </c>
      <c r="T24" s="1">
        <f>countifs('5A'!$Z$2:$Z$522, T$1, '5A'!$B$2:$B$522, "&gt;"&amp;$L$2, '5A'!$B$2:$B$522, "&lt;"&amp;$M$2)</f>
        <v>0</v>
      </c>
      <c r="U24" s="1">
        <f>countifs('5A'!$Z$2:$Z$522, U$1, '5A'!$B$2:$B$522, "&gt;"&amp;$L$3, '5A'!$B$2:$B$522, "&lt;"&amp;$M$3)</f>
        <v>0</v>
      </c>
      <c r="V24" s="1">
        <f>countifs('5A'!$Z$2:$Z$522, V$1, '5A'!$B$2:$B$522, "&gt;"&amp;$L$3, '5A'!$B$2:$B$522, "&lt;"&amp;$M$3)</f>
        <v>0</v>
      </c>
      <c r="W24" s="1">
        <f>countifs('5A'!$Z$2:$Z$522, W$1, '5A'!$B$2:$B$522, "&gt;"&amp;$L$3, '5A'!$B$2:$B$522, "&lt;"&amp;$M$3)</f>
        <v>0</v>
      </c>
      <c r="X24" s="1">
        <f>countifs('5A'!$Z$2:$Z$522, X$1, '5A'!$B$2:$B$522, "&gt;"&amp;$L$3, '5A'!$B$2:$B$522, "&lt;"&amp;$M$3)</f>
        <v>0</v>
      </c>
      <c r="Y24" s="1">
        <f>countifs('5A'!$Z$2:$Z$522, Y$1, '5A'!$B$2:$B$522, "&gt;"&amp;$L$3, '5A'!$B$2:$B$522, "&lt;"&amp;$M$3)</f>
        <v>0</v>
      </c>
      <c r="Z24" s="1">
        <f>countifs('5A'!$Z$2:$Z$522, Z$1, '5A'!$B$2:$B$522, "&gt;"&amp;$L$3, '5A'!$B$2:$B$522, "&lt;"&amp;$M$3)</f>
        <v>0</v>
      </c>
      <c r="AA24" s="1">
        <f>countifs('5A'!$Z$2:$Z$522, AA$1, '5A'!$B$2:$B$522, "&gt;"&amp;$L$3, '5A'!$B$2:$B$522, "&lt;"&amp;$M$3)</f>
        <v>0</v>
      </c>
      <c r="AB24" s="1">
        <f>countifs('5A'!$Z$2:$Z$522, AB$1, '5A'!$B$2:$B$522, "&gt;"&amp;$L$4, '5A'!$B$2:$B$522, "&lt;"&amp;$M$4)</f>
        <v>0</v>
      </c>
      <c r="AC24" s="1">
        <f>countifs('5A'!$Z$2:$Z$522, AC$1, '5A'!$B$2:$B$522, "&gt;"&amp;$L$4, '5A'!$B$2:$B$522, "&lt;"&amp;$M$4)</f>
        <v>0</v>
      </c>
      <c r="AD24" s="1">
        <f>countifs('5A'!$Z$2:$Z$522, AD$1, '5A'!$B$2:$B$522, "&gt;"&amp;$L$4, '5A'!$B$2:$B$522, "&lt;"&amp;$M$4)</f>
        <v>0</v>
      </c>
      <c r="AE24" s="1">
        <f>countifs('5A'!$Z$2:$Z$522, AE$1, '5A'!$B$2:$B$522, "&gt;"&amp;$L$4, '5A'!$B$2:$B$522, "&lt;"&amp;$M$4)</f>
        <v>0</v>
      </c>
      <c r="AF24" s="1">
        <f>countifs('5A'!$Z$2:$Z$522, AF$1, '5A'!$B$2:$B$522, "&gt;"&amp;$L$4, '5A'!$B$2:$B$522, "&lt;"&amp;$M$4)</f>
        <v>0</v>
      </c>
      <c r="AG24" s="1">
        <f>countifs('5A'!$Z$2:$Z$522, AG$1, '5A'!$B$2:$B$522, "&gt;"&amp;$L$4, '5A'!$B$2:$B$522, "&lt;"&amp;$M$4)</f>
        <v>0</v>
      </c>
      <c r="AH24" s="1">
        <f>countifs('5A'!$Z$2:$Z$522, AH$1, '5A'!$B$2:$B$522, "&gt;"&amp;$L$4, '5A'!$B$2:$B$522, "&lt;"&amp;$M$4)</f>
        <v>0</v>
      </c>
      <c r="AI24" s="3">
        <v>8.0</v>
      </c>
      <c r="AJ24" s="3">
        <v>4.0</v>
      </c>
      <c r="AK24" s="3">
        <v>0.0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6" t="str">
        <f>IFERROR(__xludf.DUMMYFUNCTION("AVERAGE.WEIGHTED($AB$1:$AH$1, AB24:AH24)"),"#DIV/0!")</f>
        <v>#DIV/0!</v>
      </c>
      <c r="AO24" s="6" t="str">
        <f t="shared" ref="AO24:AQ24" si="80">(AL24-1)*100/6</f>
        <v>#DIV/0!</v>
      </c>
      <c r="AP24" s="6" t="str">
        <f t="shared" si="80"/>
        <v>#DIV/0!</v>
      </c>
      <c r="AQ24" s="6" t="str">
        <f t="shared" si="80"/>
        <v>#DIV/0!</v>
      </c>
      <c r="AR24" s="7" t="str">
        <f t="shared" ref="AR24:AT24" si="81">average($AO24:$AQ24)</f>
        <v>#DIV/0!</v>
      </c>
      <c r="AS24" s="7" t="str">
        <f t="shared" si="81"/>
        <v>#DIV/0!</v>
      </c>
      <c r="AT24" s="7" t="str">
        <f t="shared" si="81"/>
        <v>#DIV/0!</v>
      </c>
      <c r="AU24" s="7" t="str">
        <f t="shared" si="10"/>
        <v>#DIV/0!</v>
      </c>
      <c r="AV24" s="1">
        <f>countifs('5A'!$Z$2:$Z$522, AV$1, '5A'!$C$2:$C$522, "Karl")</f>
        <v>0</v>
      </c>
      <c r="AW24" s="1">
        <f>countifs('5A'!$Z$2:$Z$522, AW$1, '5A'!$C$2:$C$522, "Karl")</f>
        <v>0</v>
      </c>
      <c r="AX24" s="1">
        <f>countifs('5A'!$Z$2:$Z$522, AX$1, '5A'!$C$2:$C$522, "Karl")</f>
        <v>0</v>
      </c>
      <c r="AY24" s="1">
        <f>countifs('5A'!$Z$2:$Z$522, AY$1, '5A'!$C$2:$C$522, "Karl")</f>
        <v>0</v>
      </c>
      <c r="AZ24" s="1">
        <f>countifs('5A'!$Z$2:$Z$522, AZ$1, '5A'!$C$2:$C$522, "Karl")</f>
        <v>1</v>
      </c>
      <c r="BA24" s="1">
        <f>countifs('5A'!$Z$2:$Z$522, BA$1, '5A'!$C$2:$C$522, "Karl")</f>
        <v>1</v>
      </c>
      <c r="BB24" s="1">
        <f>countifs('5A'!$Z$2:$Z$522, BB$1, '5A'!$C$2:$C$522, "Karl")</f>
        <v>0</v>
      </c>
      <c r="BC24" s="1">
        <f>countifs('5A'!$Z$2:$Z$522, BC$1, '5A'!$C$2:$C$522, "Kona")</f>
        <v>1</v>
      </c>
      <c r="BD24" s="1">
        <f>countifs('5A'!$Z$2:$Z$522, BD$1, '5A'!$C$2:$C$522, "Kona")</f>
        <v>0</v>
      </c>
      <c r="BE24" s="1">
        <f>countifs('5A'!$Z$2:$Z$522, BE$1, '5A'!$C$2:$C$522, "Kona")</f>
        <v>0</v>
      </c>
      <c r="BF24" s="1">
        <f>countifs('5A'!$Z$2:$Z$522, BF$1, '5A'!$C$2:$C$522, "Kona")</f>
        <v>0</v>
      </c>
      <c r="BG24" s="1">
        <f>countifs('5A'!$Z$2:$Z$522, BG$1, '5A'!$C$2:$C$522, "Kona")</f>
        <v>3</v>
      </c>
      <c r="BH24" s="1">
        <f>countifs('5A'!$Z$2:$Z$522, BH$1, '5A'!$C$2:$C$522, "Kona")</f>
        <v>5</v>
      </c>
      <c r="BI24" s="1">
        <f>countifs('5A'!$Z$2:$Z$522, BI$1, '5A'!$C$2:$C$522, "Kona")</f>
        <v>11</v>
      </c>
      <c r="BJ24" s="8">
        <f t="shared" si="11"/>
        <v>2</v>
      </c>
      <c r="BK24" s="8">
        <f t="shared" si="12"/>
        <v>20</v>
      </c>
      <c r="BL24" s="6">
        <f>IFERROR(__xludf.DUMMYFUNCTION("AVERAGE.WEIGHTED($AV$1:$BB$1,AV24:BB24)"),5.5)</f>
        <v>5.5</v>
      </c>
      <c r="BM24" s="6">
        <f>IFERROR(__xludf.DUMMYFUNCTION("AVERAGE.WEIGHTED($BC$1:$BI$1,BC24:BI24)"),6.15)</f>
        <v>6.15</v>
      </c>
      <c r="BN24" s="6">
        <f t="shared" ref="BN24:BO24" si="82">(BL24-1)*100/6</f>
        <v>75</v>
      </c>
      <c r="BO24" s="6">
        <f t="shared" si="82"/>
        <v>85.83333333</v>
      </c>
      <c r="BP24" s="6">
        <f t="shared" si="14"/>
        <v>80.41666667</v>
      </c>
      <c r="BQ24" s="6">
        <f t="shared" si="15"/>
        <v>80.41666667</v>
      </c>
      <c r="BR24" s="7">
        <f t="shared" si="16"/>
        <v>0.3929783754</v>
      </c>
    </row>
    <row r="25">
      <c r="A25" s="3">
        <v>24.0</v>
      </c>
      <c r="B25" s="1" t="s">
        <v>26</v>
      </c>
      <c r="C25" s="1">
        <f>countif('5A'!$AA$2:$AA$522, C$1)</f>
        <v>6</v>
      </c>
      <c r="D25" s="1">
        <f>countif('5A'!$AA$2:$AA$522, D$1)</f>
        <v>4</v>
      </c>
      <c r="E25" s="1">
        <f>countif('5A'!$AA$2:$AA$522, E$1)</f>
        <v>3</v>
      </c>
      <c r="F25" s="1">
        <f>countif('5A'!$AA$2:$AA$522, F$1)</f>
        <v>2</v>
      </c>
      <c r="G25" s="1">
        <f>countif('5A'!$AA$2:$AA$522, G$1)</f>
        <v>1</v>
      </c>
      <c r="H25" s="1">
        <f>countif('5A'!$AA$2:$AA$522, H$1)</f>
        <v>6</v>
      </c>
      <c r="I25" s="1">
        <f>countif('5A'!$AA$2:$AA$522, I$1)</f>
        <v>1</v>
      </c>
      <c r="J25" s="1">
        <f t="shared" si="61"/>
        <v>23</v>
      </c>
      <c r="K25" s="6">
        <f t="shared" si="6"/>
        <v>3.434782609</v>
      </c>
      <c r="N25" s="1">
        <f>countifs('5A'!$AA$2:$AA$522, N$1, '5A'!$B$2:$B$522, "&gt;"&amp;$L$2, '5A'!$B$2:$B$522, "&lt;"&amp;$M$2)</f>
        <v>0</v>
      </c>
      <c r="O25" s="1">
        <f>countifs('5A'!$AA$2:$AA$522, O$1, '5A'!$B$2:$B$522, "&gt;"&amp;$L$2, '5A'!$B$2:$B$522, "&lt;"&amp;$M$2)</f>
        <v>0</v>
      </c>
      <c r="P25" s="1">
        <f>countifs('5A'!$AA$2:$AA$522, P$1, '5A'!$B$2:$B$522, "&gt;"&amp;$L$2, '5A'!$B$2:$B$522, "&lt;"&amp;$M$2)</f>
        <v>0</v>
      </c>
      <c r="Q25" s="1">
        <f>countifs('5A'!$AA$2:$AA$522, Q$1, '5A'!$B$2:$B$522, "&gt;"&amp;$L$2, '5A'!$B$2:$B$522, "&lt;"&amp;$M$2)</f>
        <v>0</v>
      </c>
      <c r="R25" s="1">
        <f>countifs('5A'!$AA$2:$AA$522, R$1, '5A'!$B$2:$B$522, "&gt;"&amp;$L$2, '5A'!$B$2:$B$522, "&lt;"&amp;$M$2)</f>
        <v>0</v>
      </c>
      <c r="S25" s="1">
        <f>countifs('5A'!$AA$2:$AA$522, S$1, '5A'!$B$2:$B$522, "&gt;"&amp;$L$2, '5A'!$B$2:$B$522, "&lt;"&amp;$M$2)</f>
        <v>0</v>
      </c>
      <c r="T25" s="1">
        <f>countifs('5A'!$AA$2:$AA$522, T$1, '5A'!$B$2:$B$522, "&gt;"&amp;$L$2, '5A'!$B$2:$B$522, "&lt;"&amp;$M$2)</f>
        <v>0</v>
      </c>
      <c r="U25" s="1">
        <f>countifs('5A'!$AA$2:$AA$522, U$1, '5A'!$B$2:$B$522, "&gt;"&amp;$L$3, '5A'!$B$2:$B$522, "&lt;"&amp;$M$3)</f>
        <v>0</v>
      </c>
      <c r="V25" s="1">
        <f>countifs('5A'!$AA$2:$AA$522, V$1, '5A'!$B$2:$B$522, "&gt;"&amp;$L$3, '5A'!$B$2:$B$522, "&lt;"&amp;$M$3)</f>
        <v>0</v>
      </c>
      <c r="W25" s="1">
        <f>countifs('5A'!$AA$2:$AA$522, W$1, '5A'!$B$2:$B$522, "&gt;"&amp;$L$3, '5A'!$B$2:$B$522, "&lt;"&amp;$M$3)</f>
        <v>0</v>
      </c>
      <c r="X25" s="1">
        <f>countifs('5A'!$AA$2:$AA$522, X$1, '5A'!$B$2:$B$522, "&gt;"&amp;$L$3, '5A'!$B$2:$B$522, "&lt;"&amp;$M$3)</f>
        <v>0</v>
      </c>
      <c r="Y25" s="1">
        <f>countifs('5A'!$AA$2:$AA$522, Y$1, '5A'!$B$2:$B$522, "&gt;"&amp;$L$3, '5A'!$B$2:$B$522, "&lt;"&amp;$M$3)</f>
        <v>0</v>
      </c>
      <c r="Z25" s="1">
        <f>countifs('5A'!$AA$2:$AA$522, Z$1, '5A'!$B$2:$B$522, "&gt;"&amp;$L$3, '5A'!$B$2:$B$522, "&lt;"&amp;$M$3)</f>
        <v>0</v>
      </c>
      <c r="AA25" s="1">
        <f>countifs('5A'!$AA$2:$AA$522, AA$1, '5A'!$B$2:$B$522, "&gt;"&amp;$L$3, '5A'!$B$2:$B$522, "&lt;"&amp;$M$3)</f>
        <v>0</v>
      </c>
      <c r="AB25" s="1">
        <f>countifs('5A'!$AA$2:$AA$522, AB$1, '5A'!$B$2:$B$522, "&gt;"&amp;$L$4, '5A'!$B$2:$B$522, "&lt;"&amp;$M$4)</f>
        <v>0</v>
      </c>
      <c r="AC25" s="1">
        <f>countifs('5A'!$AA$2:$AA$522, AC$1, '5A'!$B$2:$B$522, "&gt;"&amp;$L$4, '5A'!$B$2:$B$522, "&lt;"&amp;$M$4)</f>
        <v>0</v>
      </c>
      <c r="AD25" s="1">
        <f>countifs('5A'!$AA$2:$AA$522, AD$1, '5A'!$B$2:$B$522, "&gt;"&amp;$L$4, '5A'!$B$2:$B$522, "&lt;"&amp;$M$4)</f>
        <v>0</v>
      </c>
      <c r="AE25" s="1">
        <f>countifs('5A'!$AA$2:$AA$522, AE$1, '5A'!$B$2:$B$522, "&gt;"&amp;$L$4, '5A'!$B$2:$B$522, "&lt;"&amp;$M$4)</f>
        <v>0</v>
      </c>
      <c r="AF25" s="1">
        <f>countifs('5A'!$AA$2:$AA$522, AF$1, '5A'!$B$2:$B$522, "&gt;"&amp;$L$4, '5A'!$B$2:$B$522, "&lt;"&amp;$M$4)</f>
        <v>0</v>
      </c>
      <c r="AG25" s="1">
        <f>countifs('5A'!$AA$2:$AA$522, AG$1, '5A'!$B$2:$B$522, "&gt;"&amp;$L$4, '5A'!$B$2:$B$522, "&lt;"&amp;$M$4)</f>
        <v>0</v>
      </c>
      <c r="AH25" s="1">
        <f>countifs('5A'!$AA$2:$AA$522, AH$1, '5A'!$B$2:$B$522, "&gt;"&amp;$L$4, '5A'!$B$2:$B$522, "&lt;"&amp;$M$4)</f>
        <v>0</v>
      </c>
      <c r="AI25" s="3">
        <v>8.0</v>
      </c>
      <c r="AJ25" s="3">
        <v>4.0</v>
      </c>
      <c r="AK25" s="3">
        <v>0.0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6" t="str">
        <f>IFERROR(__xludf.DUMMYFUNCTION("AVERAGE.WEIGHTED($AB$1:$AH$1, AB25:AH25)"),"#DIV/0!")</f>
        <v>#DIV/0!</v>
      </c>
      <c r="AO25" s="6" t="str">
        <f t="shared" ref="AO25:AQ25" si="83">(AL25-1)*100/6</f>
        <v>#DIV/0!</v>
      </c>
      <c r="AP25" s="6" t="str">
        <f t="shared" si="83"/>
        <v>#DIV/0!</v>
      </c>
      <c r="AQ25" s="6" t="str">
        <f t="shared" si="83"/>
        <v>#DIV/0!</v>
      </c>
      <c r="AR25" s="7" t="str">
        <f t="shared" ref="AR25:AT25" si="84">average($AO25:$AQ25)</f>
        <v>#DIV/0!</v>
      </c>
      <c r="AS25" s="7" t="str">
        <f t="shared" si="84"/>
        <v>#DIV/0!</v>
      </c>
      <c r="AT25" s="7" t="str">
        <f t="shared" si="84"/>
        <v>#DIV/0!</v>
      </c>
      <c r="AU25" s="7" t="str">
        <f t="shared" si="10"/>
        <v>#DIV/0!</v>
      </c>
      <c r="AV25" s="1">
        <f>countifs('5A'!$AA$2:$AA$522, AV$1, '5A'!$C$2:$C$522, "Karl")</f>
        <v>2</v>
      </c>
      <c r="AW25" s="1">
        <f>countifs('5A'!$AA$2:$AA$522, AW$1, '5A'!$C$2:$C$522, "Karl")</f>
        <v>0</v>
      </c>
      <c r="AX25" s="1">
        <f>countifs('5A'!$AA$2:$AA$522, AX$1, '5A'!$C$2:$C$522, "Karl")</f>
        <v>0</v>
      </c>
      <c r="AY25" s="1">
        <f>countifs('5A'!$AA$2:$AA$522, AY$1, '5A'!$C$2:$C$522, "Karl")</f>
        <v>0</v>
      </c>
      <c r="AZ25" s="1">
        <f>countifs('5A'!$AA$2:$AA$522, AZ$1, '5A'!$C$2:$C$522, "Karl")</f>
        <v>0</v>
      </c>
      <c r="BA25" s="1">
        <f>countifs('5A'!$AA$2:$AA$522, BA$1, '5A'!$C$2:$C$522, "Karl")</f>
        <v>0</v>
      </c>
      <c r="BB25" s="1">
        <f>countifs('5A'!$AA$2:$AA$522, BB$1, '5A'!$C$2:$C$522, "Karl")</f>
        <v>0</v>
      </c>
      <c r="BC25" s="1">
        <f>countifs('5A'!$AA$2:$AA$522, BC$1, '5A'!$C$2:$C$522, "Kona")</f>
        <v>3</v>
      </c>
      <c r="BD25" s="1">
        <f>countifs('5A'!$AA$2:$AA$522, BD$1, '5A'!$C$2:$C$522, "Kona")</f>
        <v>4</v>
      </c>
      <c r="BE25" s="1">
        <f>countifs('5A'!$AA$2:$AA$522, BE$1, '5A'!$C$2:$C$522, "Kona")</f>
        <v>3</v>
      </c>
      <c r="BF25" s="1">
        <f>countifs('5A'!$AA$2:$AA$522, BF$1, '5A'!$C$2:$C$522, "Kona")</f>
        <v>2</v>
      </c>
      <c r="BG25" s="1">
        <f>countifs('5A'!$AA$2:$AA$522, BG$1, '5A'!$C$2:$C$522, "Kona")</f>
        <v>1</v>
      </c>
      <c r="BH25" s="1">
        <f>countifs('5A'!$AA$2:$AA$522, BH$1, '5A'!$C$2:$C$522, "Kona")</f>
        <v>6</v>
      </c>
      <c r="BI25" s="1">
        <f>countifs('5A'!$AA$2:$AA$522, BI$1, '5A'!$C$2:$C$522, "Kona")</f>
        <v>1</v>
      </c>
      <c r="BJ25" s="8">
        <f t="shared" si="11"/>
        <v>2</v>
      </c>
      <c r="BK25" s="8">
        <f t="shared" si="12"/>
        <v>20</v>
      </c>
      <c r="BL25" s="6">
        <f>IFERROR(__xludf.DUMMYFUNCTION("AVERAGE.WEIGHTED($AV$1:$BB$1,AV25:BB25)"),1.0)</f>
        <v>1</v>
      </c>
      <c r="BM25" s="6">
        <f>IFERROR(__xludf.DUMMYFUNCTION("AVERAGE.WEIGHTED($BC$1:$BI$1,BC25:BI25)"),3.8000000000000003)</f>
        <v>3.8</v>
      </c>
      <c r="BN25" s="6">
        <f t="shared" ref="BN25:BO25" si="85">(BL25-1)*100/6</f>
        <v>0</v>
      </c>
      <c r="BO25" s="6">
        <f t="shared" si="85"/>
        <v>46.66666667</v>
      </c>
      <c r="BP25" s="6">
        <f t="shared" si="14"/>
        <v>23.33333333</v>
      </c>
      <c r="BQ25" s="6">
        <f t="shared" si="15"/>
        <v>23.33333333</v>
      </c>
      <c r="BR25" s="7">
        <f t="shared" si="16"/>
        <v>0</v>
      </c>
    </row>
    <row r="26">
      <c r="A26" s="3">
        <v>25.0</v>
      </c>
      <c r="B26" s="1" t="s">
        <v>27</v>
      </c>
      <c r="C26" s="1">
        <f>countif('5A'!$AB$2:$AB$522, C$1)</f>
        <v>2</v>
      </c>
      <c r="D26" s="1">
        <f>countif('5A'!$AB$2:$AB$522, D$1)</f>
        <v>1</v>
      </c>
      <c r="E26" s="1">
        <f>countif('5A'!$AB$2:$AB$522, E$1)</f>
        <v>1</v>
      </c>
      <c r="F26" s="1">
        <f>countif('5A'!$AB$2:$AB$522, F$1)</f>
        <v>0</v>
      </c>
      <c r="G26" s="1">
        <f>countif('5A'!$AB$2:$AB$522, G$1)</f>
        <v>1</v>
      </c>
      <c r="H26" s="1">
        <f>countif('5A'!$AB$2:$AB$522, H$1)</f>
        <v>8</v>
      </c>
      <c r="I26" s="1">
        <f>countif('5A'!$AB$2:$AB$522, I$1)</f>
        <v>10</v>
      </c>
      <c r="J26" s="1">
        <f t="shared" si="61"/>
        <v>23</v>
      </c>
      <c r="K26" s="6">
        <f t="shared" si="6"/>
        <v>5.652173913</v>
      </c>
      <c r="N26" s="1">
        <f>countifs('5A'!$AB$2:$AB$522, N$1, '5A'!$B$2:$B$522, "&gt;"&amp;$L$2, '5A'!$B$2:$B$522, "&lt;"&amp;$M$2)</f>
        <v>0</v>
      </c>
      <c r="O26" s="1">
        <f>countifs('5A'!$AB$2:$AB$522, O$1, '5A'!$B$2:$B$522, "&gt;"&amp;$L$2, '5A'!$B$2:$B$522, "&lt;"&amp;$M$2)</f>
        <v>0</v>
      </c>
      <c r="P26" s="1">
        <f>countifs('5A'!$AB$2:$AB$522, P$1, '5A'!$B$2:$B$522, "&gt;"&amp;$L$2, '5A'!$B$2:$B$522, "&lt;"&amp;$M$2)</f>
        <v>0</v>
      </c>
      <c r="Q26" s="1">
        <f>countifs('5A'!$AB$2:$AB$522, Q$1, '5A'!$B$2:$B$522, "&gt;"&amp;$L$2, '5A'!$B$2:$B$522, "&lt;"&amp;$M$2)</f>
        <v>0</v>
      </c>
      <c r="R26" s="1">
        <f>countifs('5A'!$AB$2:$AB$522, R$1, '5A'!$B$2:$B$522, "&gt;"&amp;$L$2, '5A'!$B$2:$B$522, "&lt;"&amp;$M$2)</f>
        <v>0</v>
      </c>
      <c r="S26" s="1">
        <f>countifs('5A'!$AB$2:$AB$522, S$1, '5A'!$B$2:$B$522, "&gt;"&amp;$L$2, '5A'!$B$2:$B$522, "&lt;"&amp;$M$2)</f>
        <v>0</v>
      </c>
      <c r="T26" s="1">
        <f>countifs('5A'!$AB$2:$AB$522, T$1, '5A'!$B$2:$B$522, "&gt;"&amp;$L$2, '5A'!$B$2:$B$522, "&lt;"&amp;$M$2)</f>
        <v>0</v>
      </c>
      <c r="U26" s="1">
        <f>countifs('5A'!$AB$2:$AB$522, U$1, '5A'!$B$2:$B$522, "&gt;"&amp;$L$3, '5A'!$B$2:$B$522, "&lt;"&amp;$M$3)</f>
        <v>0</v>
      </c>
      <c r="V26" s="1">
        <f>countifs('5A'!$AB$2:$AB$522, V$1, '5A'!$B$2:$B$522, "&gt;"&amp;$L$3, '5A'!$B$2:$B$522, "&lt;"&amp;$M$3)</f>
        <v>0</v>
      </c>
      <c r="W26" s="1">
        <f>countifs('5A'!$AB$2:$AB$522, W$1, '5A'!$B$2:$B$522, "&gt;"&amp;$L$3, '5A'!$B$2:$B$522, "&lt;"&amp;$M$3)</f>
        <v>0</v>
      </c>
      <c r="X26" s="1">
        <f>countifs('5A'!$AB$2:$AB$522, X$1, '5A'!$B$2:$B$522, "&gt;"&amp;$L$3, '5A'!$B$2:$B$522, "&lt;"&amp;$M$3)</f>
        <v>0</v>
      </c>
      <c r="Y26" s="1">
        <f>countifs('5A'!$AB$2:$AB$522, Y$1, '5A'!$B$2:$B$522, "&gt;"&amp;$L$3, '5A'!$B$2:$B$522, "&lt;"&amp;$M$3)</f>
        <v>0</v>
      </c>
      <c r="Z26" s="1">
        <f>countifs('5A'!$AB$2:$AB$522, Z$1, '5A'!$B$2:$B$522, "&gt;"&amp;$L$3, '5A'!$B$2:$B$522, "&lt;"&amp;$M$3)</f>
        <v>0</v>
      </c>
      <c r="AA26" s="1">
        <f>countifs('5A'!$AB$2:$AB$522, AA$1, '5A'!$B$2:$B$522, "&gt;"&amp;$L$3, '5A'!$B$2:$B$522, "&lt;"&amp;$M$3)</f>
        <v>0</v>
      </c>
      <c r="AB26" s="1">
        <f>countifs('5A'!$AB$2:$AB$522, AB$1, '5A'!$B$2:$B$522, "&gt;"&amp;$L$4, '5A'!$B$2:$B$522, "&lt;"&amp;$M$4)</f>
        <v>0</v>
      </c>
      <c r="AC26" s="1">
        <f>countifs('5A'!$AB$2:$AB$522, AC$1, '5A'!$B$2:$B$522, "&gt;"&amp;$L$4, '5A'!$B$2:$B$522, "&lt;"&amp;$M$4)</f>
        <v>0</v>
      </c>
      <c r="AD26" s="1">
        <f>countifs('5A'!$AB$2:$AB$522, AD$1, '5A'!$B$2:$B$522, "&gt;"&amp;$L$4, '5A'!$B$2:$B$522, "&lt;"&amp;$M$4)</f>
        <v>0</v>
      </c>
      <c r="AE26" s="1">
        <f>countifs('5A'!$AB$2:$AB$522, AE$1, '5A'!$B$2:$B$522, "&gt;"&amp;$L$4, '5A'!$B$2:$B$522, "&lt;"&amp;$M$4)</f>
        <v>0</v>
      </c>
      <c r="AF26" s="1">
        <f>countifs('5A'!$AB$2:$AB$522, AF$1, '5A'!$B$2:$B$522, "&gt;"&amp;$L$4, '5A'!$B$2:$B$522, "&lt;"&amp;$M$4)</f>
        <v>0</v>
      </c>
      <c r="AG26" s="1">
        <f>countifs('5A'!$AB$2:$AB$522, AG$1, '5A'!$B$2:$B$522, "&gt;"&amp;$L$4, '5A'!$B$2:$B$522, "&lt;"&amp;$M$4)</f>
        <v>0</v>
      </c>
      <c r="AH26" s="1">
        <f>countifs('5A'!$AB$2:$AB$522, AH$1, '5A'!$B$2:$B$522, "&gt;"&amp;$L$4, '5A'!$B$2:$B$522, "&lt;"&amp;$M$4)</f>
        <v>0</v>
      </c>
      <c r="AI26" s="3">
        <v>8.0</v>
      </c>
      <c r="AJ26" s="3">
        <v>4.0</v>
      </c>
      <c r="AK26" s="3">
        <v>0.0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6" t="str">
        <f>IFERROR(__xludf.DUMMYFUNCTION("AVERAGE.WEIGHTED($AB$1:$AH$1, AB26:AH26)"),"#DIV/0!")</f>
        <v>#DIV/0!</v>
      </c>
      <c r="AO26" s="6" t="str">
        <f t="shared" ref="AO26:AQ26" si="86">(AL26-1)*100/6</f>
        <v>#DIV/0!</v>
      </c>
      <c r="AP26" s="6" t="str">
        <f t="shared" si="86"/>
        <v>#DIV/0!</v>
      </c>
      <c r="AQ26" s="6" t="str">
        <f t="shared" si="86"/>
        <v>#DIV/0!</v>
      </c>
      <c r="AR26" s="7" t="str">
        <f t="shared" ref="AR26:AT26" si="87">average($AO26:$AQ26)</f>
        <v>#DIV/0!</v>
      </c>
      <c r="AS26" s="7" t="str">
        <f t="shared" si="87"/>
        <v>#DIV/0!</v>
      </c>
      <c r="AT26" s="7" t="str">
        <f t="shared" si="87"/>
        <v>#DIV/0!</v>
      </c>
      <c r="AU26" s="7" t="str">
        <f t="shared" si="10"/>
        <v>#DIV/0!</v>
      </c>
      <c r="AV26" s="1">
        <f>countifs('5A'!$AB$2:$AB$522, AV$1, '5A'!$C$2:$C$522, "Karl")</f>
        <v>1</v>
      </c>
      <c r="AW26" s="1">
        <f>countifs('5A'!$AB$2:$AB$522, AW$1, '5A'!$C$2:$C$522, "Karl")</f>
        <v>0</v>
      </c>
      <c r="AX26" s="1">
        <f>countifs('5A'!$AB$2:$AB$522, AX$1, '5A'!$C$2:$C$522, "Karl")</f>
        <v>0</v>
      </c>
      <c r="AY26" s="1">
        <f>countifs('5A'!$AB$2:$AB$522, AY$1, '5A'!$C$2:$C$522, "Karl")</f>
        <v>0</v>
      </c>
      <c r="AZ26" s="1">
        <f>countifs('5A'!$AB$2:$AB$522, AZ$1, '5A'!$C$2:$C$522, "Karl")</f>
        <v>0</v>
      </c>
      <c r="BA26" s="1">
        <f>countifs('5A'!$AB$2:$AB$522, BA$1, '5A'!$C$2:$C$522, "Karl")</f>
        <v>1</v>
      </c>
      <c r="BB26" s="1">
        <f>countifs('5A'!$AB$2:$AB$522, BB$1, '5A'!$C$2:$C$522, "Karl")</f>
        <v>0</v>
      </c>
      <c r="BC26" s="1">
        <f>countifs('5A'!$AB$2:$AB$522, BC$1, '5A'!$C$2:$C$522, "Kona")</f>
        <v>1</v>
      </c>
      <c r="BD26" s="1">
        <f>countifs('5A'!$AB$2:$AB$522, BD$1, '5A'!$C$2:$C$522, "Kona")</f>
        <v>1</v>
      </c>
      <c r="BE26" s="1">
        <f>countifs('5A'!$AB$2:$AB$522, BE$1, '5A'!$C$2:$C$522, "Kona")</f>
        <v>1</v>
      </c>
      <c r="BF26" s="1">
        <f>countifs('5A'!$AB$2:$AB$522, BF$1, '5A'!$C$2:$C$522, "Kona")</f>
        <v>0</v>
      </c>
      <c r="BG26" s="1">
        <f>countifs('5A'!$AB$2:$AB$522, BG$1, '5A'!$C$2:$C$522, "Kona")</f>
        <v>1</v>
      </c>
      <c r="BH26" s="1">
        <f>countifs('5A'!$AB$2:$AB$522, BH$1, '5A'!$C$2:$C$522, "Kona")</f>
        <v>7</v>
      </c>
      <c r="BI26" s="1">
        <f>countifs('5A'!$AB$2:$AB$522, BI$1, '5A'!$C$2:$C$522, "Kona")</f>
        <v>9</v>
      </c>
      <c r="BJ26" s="8">
        <f t="shared" si="11"/>
        <v>2</v>
      </c>
      <c r="BK26" s="8">
        <f t="shared" si="12"/>
        <v>20</v>
      </c>
      <c r="BL26" s="6">
        <f>IFERROR(__xludf.DUMMYFUNCTION("AVERAGE.WEIGHTED($AV$1:$BB$1,AV26:BB26)"),3.5)</f>
        <v>3.5</v>
      </c>
      <c r="BM26" s="6">
        <f>IFERROR(__xludf.DUMMYFUNCTION("AVERAGE.WEIGHTED($BC$1:$BI$1,BC26:BI26)"),5.8)</f>
        <v>5.8</v>
      </c>
      <c r="BN26" s="6">
        <f t="shared" ref="BN26:BO26" si="88">(BL26-1)*100/6</f>
        <v>41.66666667</v>
      </c>
      <c r="BO26" s="6">
        <f t="shared" si="88"/>
        <v>80</v>
      </c>
      <c r="BP26" s="6">
        <f t="shared" si="14"/>
        <v>60.83333333</v>
      </c>
      <c r="BQ26" s="6">
        <f t="shared" si="15"/>
        <v>60.83333333</v>
      </c>
      <c r="BR26" s="7">
        <f t="shared" si="16"/>
        <v>0.0005103054712</v>
      </c>
    </row>
    <row r="27">
      <c r="A27" s="3"/>
      <c r="K27" s="6"/>
      <c r="AL27" s="6"/>
      <c r="AM27" s="6"/>
      <c r="AN27" s="6"/>
      <c r="AO27" s="7"/>
      <c r="AP27" s="7"/>
      <c r="AQ27" s="7"/>
      <c r="AR27" s="7"/>
      <c r="AS27" s="7"/>
      <c r="AT27" s="7"/>
      <c r="AU27" s="7"/>
    </row>
    <row r="28">
      <c r="K28" s="6"/>
      <c r="AL28" s="6"/>
      <c r="AM28" s="6"/>
      <c r="AN28" s="6"/>
      <c r="AO28" s="7"/>
      <c r="AP28" s="7"/>
      <c r="AQ28" s="7"/>
      <c r="AR28" s="7"/>
      <c r="AS28" s="7"/>
      <c r="AT28" s="7"/>
      <c r="AU28" s="7"/>
    </row>
    <row r="29">
      <c r="K29" s="6"/>
      <c r="AL29" s="6"/>
      <c r="AM29" s="6"/>
      <c r="AN29" s="6"/>
      <c r="AO29" s="7"/>
      <c r="AP29" s="7"/>
      <c r="AQ29" s="7"/>
      <c r="AR29" s="7"/>
      <c r="AS29" s="7"/>
      <c r="AT29" s="7"/>
      <c r="AU29" s="7"/>
    </row>
    <row r="30">
      <c r="A30" s="3"/>
      <c r="K30" s="6"/>
      <c r="AL30" s="6"/>
      <c r="AM30" s="6"/>
      <c r="AN30" s="6"/>
      <c r="AO30" s="7"/>
      <c r="AP30" s="7"/>
      <c r="AQ30" s="7"/>
      <c r="AR30" s="7"/>
      <c r="AS30" s="7"/>
      <c r="AT30" s="7"/>
      <c r="AU30" s="7"/>
    </row>
    <row r="31">
      <c r="K31" s="6"/>
      <c r="AL31" s="6"/>
      <c r="AM31" s="6"/>
      <c r="AN31" s="6"/>
      <c r="AO31" s="7"/>
      <c r="AP31" s="7"/>
      <c r="AQ31" s="7"/>
      <c r="AR31" s="7"/>
      <c r="AS31" s="7"/>
      <c r="AT31" s="7"/>
      <c r="AU31" s="7"/>
    </row>
    <row r="32">
      <c r="K32" s="6"/>
      <c r="AL32" s="6"/>
      <c r="AM32" s="6"/>
      <c r="AN32" s="6"/>
      <c r="AO32" s="7"/>
      <c r="AP32" s="7"/>
      <c r="AQ32" s="7"/>
      <c r="AR32" s="7"/>
      <c r="AS32" s="7"/>
      <c r="AT32" s="7"/>
      <c r="AU32" s="7"/>
    </row>
    <row r="33">
      <c r="A33" s="3"/>
      <c r="K33" s="6"/>
      <c r="AL33" s="6"/>
      <c r="AM33" s="6"/>
      <c r="AN33" s="6"/>
      <c r="AO33" s="7"/>
      <c r="AP33" s="7"/>
      <c r="AQ33" s="7"/>
      <c r="AR33" s="7"/>
      <c r="AS33" s="7"/>
      <c r="AT33" s="7"/>
      <c r="AU33" s="7"/>
    </row>
    <row r="34">
      <c r="K34" s="6"/>
      <c r="AL34" s="6"/>
      <c r="AM34" s="6"/>
      <c r="AN34" s="6"/>
      <c r="AO34" s="7"/>
      <c r="AP34" s="7"/>
      <c r="AQ34" s="7"/>
      <c r="AR34" s="7"/>
      <c r="AS34" s="7"/>
      <c r="AT34" s="7"/>
      <c r="AU34" s="7"/>
    </row>
    <row r="35">
      <c r="K35" s="6"/>
      <c r="AL35" s="6"/>
      <c r="AM35" s="6"/>
      <c r="AN35" s="6"/>
      <c r="AO35" s="7"/>
      <c r="AP35" s="7"/>
      <c r="AQ35" s="7"/>
      <c r="AR35" s="7"/>
      <c r="AS35" s="7"/>
      <c r="AT35" s="7"/>
      <c r="AU35" s="7"/>
    </row>
    <row r="36">
      <c r="A36" s="3"/>
      <c r="K36" s="6"/>
      <c r="AL36" s="6"/>
      <c r="AM36" s="6"/>
      <c r="AN36" s="6"/>
      <c r="AO36" s="7"/>
      <c r="AP36" s="7"/>
      <c r="AQ36" s="7"/>
      <c r="AR36" s="7"/>
      <c r="AS36" s="7"/>
      <c r="AT36" s="7"/>
      <c r="AU36" s="7"/>
    </row>
    <row r="37">
      <c r="K37" s="6"/>
      <c r="AL37" s="6"/>
      <c r="AM37" s="6"/>
      <c r="AN37" s="6"/>
      <c r="AO37" s="7"/>
      <c r="AP37" s="7"/>
      <c r="AQ37" s="7"/>
      <c r="AR37" s="7"/>
      <c r="AS37" s="7"/>
      <c r="AT37" s="7"/>
      <c r="AU37" s="7"/>
    </row>
    <row r="38">
      <c r="K38" s="6"/>
      <c r="AL38" s="6"/>
      <c r="AM38" s="6"/>
      <c r="AN38" s="6"/>
      <c r="AO38" s="7"/>
      <c r="AP38" s="7"/>
      <c r="AQ38" s="7"/>
      <c r="AR38" s="7"/>
      <c r="AS38" s="7"/>
      <c r="AT38" s="7"/>
      <c r="AU38" s="7"/>
    </row>
    <row r="39">
      <c r="A39" s="3"/>
      <c r="K39" s="6"/>
      <c r="AL39" s="6"/>
      <c r="AM39" s="6"/>
      <c r="AN39" s="6"/>
      <c r="AO39" s="7"/>
      <c r="AP39" s="7"/>
      <c r="AQ39" s="7"/>
      <c r="AR39" s="7"/>
      <c r="AS39" s="7"/>
      <c r="AT39" s="7"/>
      <c r="AU39" s="7"/>
    </row>
    <row r="40">
      <c r="K40" s="6"/>
      <c r="AL40" s="6"/>
      <c r="AM40" s="6"/>
      <c r="AN40" s="6"/>
      <c r="AO40" s="7"/>
      <c r="AP40" s="7"/>
      <c r="AQ40" s="7"/>
      <c r="AR40" s="7"/>
      <c r="AS40" s="7"/>
      <c r="AT40" s="7"/>
      <c r="AU40" s="7"/>
    </row>
    <row r="41">
      <c r="K41" s="6"/>
      <c r="AL41" s="6"/>
      <c r="AM41" s="6"/>
      <c r="AN41" s="6"/>
      <c r="AO41" s="7"/>
      <c r="AP41" s="7"/>
      <c r="AQ41" s="7"/>
      <c r="AR41" s="7"/>
      <c r="AS41" s="7"/>
      <c r="AT41" s="7"/>
      <c r="AU41" s="7"/>
    </row>
    <row r="42">
      <c r="A42" s="3"/>
      <c r="K42" s="6"/>
      <c r="AL42" s="6"/>
      <c r="AM42" s="6"/>
      <c r="AN42" s="6"/>
      <c r="AO42" s="7"/>
      <c r="AP42" s="7"/>
      <c r="AQ42" s="7"/>
      <c r="AR42" s="7"/>
      <c r="AS42" s="7"/>
      <c r="AT42" s="7"/>
      <c r="AU42" s="7"/>
    </row>
    <row r="43">
      <c r="K43" s="6"/>
      <c r="AL43" s="6"/>
      <c r="AM43" s="6"/>
      <c r="AN43" s="6"/>
      <c r="AO43" s="7"/>
      <c r="AP43" s="7"/>
      <c r="AQ43" s="7"/>
      <c r="AR43" s="7"/>
      <c r="AS43" s="7"/>
      <c r="AT43" s="7"/>
      <c r="AU43" s="7"/>
    </row>
    <row r="44">
      <c r="K44" s="6"/>
      <c r="AL44" s="6"/>
      <c r="AM44" s="6"/>
      <c r="AN44" s="6"/>
      <c r="AO44" s="7"/>
      <c r="AP44" s="7"/>
      <c r="AQ44" s="7"/>
      <c r="AR44" s="7"/>
      <c r="AS44" s="7"/>
      <c r="AT44" s="7"/>
      <c r="AU44" s="7"/>
    </row>
    <row r="45">
      <c r="A45" s="3"/>
      <c r="K45" s="6"/>
      <c r="AL45" s="6"/>
      <c r="AM45" s="6"/>
      <c r="AN45" s="6"/>
      <c r="AO45" s="7"/>
      <c r="AP45" s="7"/>
      <c r="AQ45" s="7"/>
      <c r="AR45" s="7"/>
      <c r="AS45" s="7"/>
      <c r="AT45" s="7"/>
      <c r="AU45" s="7"/>
    </row>
    <row r="46">
      <c r="K46" s="6"/>
      <c r="AL46" s="6"/>
      <c r="AM46" s="6"/>
      <c r="AN46" s="6"/>
      <c r="AO46" s="7"/>
      <c r="AP46" s="7"/>
      <c r="AQ46" s="7"/>
      <c r="AR46" s="7"/>
      <c r="AS46" s="7"/>
      <c r="AT46" s="7"/>
      <c r="AU46" s="7"/>
    </row>
    <row r="47">
      <c r="K47" s="6"/>
      <c r="AL47" s="6"/>
      <c r="AM47" s="6"/>
      <c r="AN47" s="6"/>
      <c r="AO47" s="7"/>
      <c r="AP47" s="7"/>
      <c r="AQ47" s="7"/>
      <c r="AR47" s="7"/>
      <c r="AS47" s="7"/>
      <c r="AT47" s="7"/>
      <c r="AU47" s="7"/>
    </row>
    <row r="48">
      <c r="A48" s="3"/>
      <c r="K48" s="6"/>
      <c r="AL48" s="6"/>
      <c r="AM48" s="6"/>
      <c r="AN48" s="6"/>
      <c r="AO48" s="7"/>
      <c r="AP48" s="7"/>
      <c r="AQ48" s="7"/>
      <c r="AR48" s="7"/>
      <c r="AS48" s="7"/>
      <c r="AT48" s="7"/>
      <c r="AU48" s="7"/>
    </row>
    <row r="49">
      <c r="K49" s="6"/>
      <c r="AL49" s="6"/>
      <c r="AM49" s="6"/>
      <c r="AN49" s="6"/>
      <c r="AO49" s="7"/>
      <c r="AP49" s="7"/>
      <c r="AQ49" s="7"/>
      <c r="AR49" s="7"/>
      <c r="AS49" s="7"/>
      <c r="AT49" s="7"/>
      <c r="AU49" s="7"/>
    </row>
    <row r="50">
      <c r="K50" s="6"/>
      <c r="AL50" s="6"/>
      <c r="AM50" s="6"/>
      <c r="AN50" s="6"/>
      <c r="AO50" s="7"/>
      <c r="AP50" s="7"/>
      <c r="AQ50" s="7"/>
      <c r="AR50" s="7"/>
      <c r="AS50" s="7"/>
      <c r="AT50" s="7"/>
      <c r="AU50" s="7"/>
    </row>
    <row r="51">
      <c r="A51" s="3"/>
      <c r="K51" s="6"/>
      <c r="AL51" s="6"/>
      <c r="AM51" s="6"/>
      <c r="AN51" s="6"/>
      <c r="AO51" s="7"/>
      <c r="AP51" s="7"/>
      <c r="AQ51" s="7"/>
      <c r="AR51" s="7"/>
      <c r="AS51" s="7"/>
      <c r="AT51" s="7"/>
      <c r="AU51" s="7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55</v>
      </c>
      <c r="B1" s="4" t="s">
        <v>56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57</v>
      </c>
      <c r="K1" s="4" t="s">
        <v>58</v>
      </c>
      <c r="L1" s="4" t="s">
        <v>59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/>
      <c r="AP1" s="4"/>
      <c r="AQ1" s="4"/>
      <c r="AR1" s="4" t="s">
        <v>72</v>
      </c>
      <c r="AS1" s="4"/>
      <c r="AT1" s="4"/>
      <c r="AU1" s="9" t="s">
        <v>67</v>
      </c>
      <c r="AV1" s="10">
        <v>1.0</v>
      </c>
      <c r="AW1" s="10">
        <v>2.0</v>
      </c>
      <c r="AX1" s="10">
        <v>3.0</v>
      </c>
      <c r="AY1" s="10">
        <v>4.0</v>
      </c>
      <c r="AZ1" s="10">
        <v>5.0</v>
      </c>
      <c r="BA1" s="10">
        <v>6.0</v>
      </c>
      <c r="BB1" s="10">
        <v>7.0</v>
      </c>
      <c r="BC1" s="10">
        <v>1.0</v>
      </c>
      <c r="BD1" s="10">
        <v>2.0</v>
      </c>
      <c r="BE1" s="10">
        <v>3.0</v>
      </c>
      <c r="BF1" s="10">
        <v>4.0</v>
      </c>
      <c r="BG1" s="10">
        <v>5.0</v>
      </c>
      <c r="BH1" s="10">
        <v>6.0</v>
      </c>
      <c r="BI1" s="10">
        <v>7.0</v>
      </c>
      <c r="BJ1" s="11" t="s">
        <v>73</v>
      </c>
      <c r="BK1" s="11" t="s">
        <v>74</v>
      </c>
      <c r="BL1" s="11" t="s">
        <v>75</v>
      </c>
      <c r="BM1" s="11" t="s">
        <v>76</v>
      </c>
      <c r="BN1" s="10"/>
      <c r="BO1" s="9"/>
      <c r="BP1" s="9"/>
      <c r="BQ1" s="9"/>
      <c r="BR1" s="9" t="s">
        <v>67</v>
      </c>
    </row>
    <row r="2">
      <c r="A2" s="3">
        <v>1.0</v>
      </c>
      <c r="B2" s="1" t="s">
        <v>31</v>
      </c>
      <c r="C2" s="1">
        <f>countif('5B'!$D$2:$D$614, C$1)</f>
        <v>2</v>
      </c>
      <c r="D2" s="1">
        <f>countif('5B'!$D$2:$D$614, D$1)</f>
        <v>2</v>
      </c>
      <c r="E2" s="1">
        <f>countif('5B'!$D$2:$D$614, E$1)</f>
        <v>2</v>
      </c>
      <c r="F2" s="1">
        <f>countif('5B'!$D$2:$D$614, F$1)</f>
        <v>0</v>
      </c>
      <c r="G2" s="1">
        <f>countif('5B'!$D$2:$D$614, G$1)</f>
        <v>3</v>
      </c>
      <c r="H2" s="1">
        <f>countif('5B'!$D$2:$D$614, H$1)</f>
        <v>5</v>
      </c>
      <c r="I2" s="1">
        <f>countif('5B'!$D$2:$D$614, I$1)</f>
        <v>6</v>
      </c>
      <c r="J2" s="1">
        <f t="shared" ref="J2:J26" si="4">SUM(C2:I2)</f>
        <v>20</v>
      </c>
      <c r="K2" s="6">
        <f t="shared" ref="K2:K26" si="5">((C2*1)+(D2*2)+(E2*3)+(F2*4)+(G2*5)+(H2*6)+(I2*7))/J2</f>
        <v>4.95</v>
      </c>
      <c r="L2" s="4" t="str">
        <f>'General average A'!L2</f>
        <v>#REF!</v>
      </c>
      <c r="M2" s="4" t="str">
        <f>'General average A'!M2</f>
        <v>#REF!</v>
      </c>
      <c r="N2" s="1">
        <f>countifs('5B'!$D$2:$D$614, N$1, '5B'!$B$2:$B$614, "&gt;"&amp;$L$2, '5B'!$B$2:$B$614, "&lt;"&amp;$M$2)</f>
        <v>0</v>
      </c>
      <c r="O2" s="1">
        <f>countifs('5B'!$D$2:$D$614, O$1, '5B'!$B$2:$B$614, "&gt;"&amp;$L$2, '5B'!$B$2:$B$614, "&lt;"&amp;$M$2)</f>
        <v>0</v>
      </c>
      <c r="P2" s="1">
        <f>countifs('5B'!$D$2:$D$614, P$1, '5B'!$B$2:$B$614, "&gt;"&amp;$L$2, '5B'!$B$2:$B$614, "&lt;"&amp;$M$2)</f>
        <v>0</v>
      </c>
      <c r="Q2" s="1">
        <f>countifs('5B'!$D$2:$D$614, Q$1, '5B'!$B$2:$B$614, "&gt;"&amp;$L$2, '5B'!$B$2:$B$614, "&lt;"&amp;$M$2)</f>
        <v>0</v>
      </c>
      <c r="R2" s="1">
        <f>countifs('5B'!$D$2:$D$614, R$1, '5B'!$B$2:$B$614, "&gt;"&amp;$L$2, '5B'!$B$2:$B$614, "&lt;"&amp;$M$2)</f>
        <v>0</v>
      </c>
      <c r="S2" s="1">
        <f>countifs('5B'!$D$2:$D$614, S$1, '5B'!$B$2:$B$614, "&gt;"&amp;$L$2, '5B'!$B$2:$B$614, "&lt;"&amp;$M$2)</f>
        <v>0</v>
      </c>
      <c r="T2" s="1">
        <f>countifs('5B'!$D$2:$D$614, T$1, '5B'!$B$2:$B$614, "&gt;"&amp;$L$2, '5B'!$B$2:$B$614, "&lt;"&amp;$M$2)</f>
        <v>0</v>
      </c>
      <c r="U2" s="1">
        <f>countifs('5B'!$D$2:$D$614, U$1, '5B'!$B$2:$B$614, "&gt;"&amp;$L$3, '5B'!$B$2:$B$614, "&lt;"&amp;$M$3)</f>
        <v>0</v>
      </c>
      <c r="V2" s="1">
        <f>countifs('5B'!$D$2:$D$614, V$1, '5B'!$B$2:$B$614, "&gt;"&amp;$L$3, '5B'!$B$2:$B$614, "&lt;"&amp;$M$3)</f>
        <v>0</v>
      </c>
      <c r="W2" s="1">
        <f>countifs('5B'!$D$2:$D$614, W$1, '5B'!$B$2:$B$614, "&gt;"&amp;$L$3, '5B'!$B$2:$B$614, "&lt;"&amp;$M$3)</f>
        <v>0</v>
      </c>
      <c r="X2" s="1">
        <f>countifs('5B'!$D$2:$D$614, X$1, '5B'!$B$2:$B$614, "&gt;"&amp;$L$3, '5B'!$B$2:$B$614, "&lt;"&amp;$M$3)</f>
        <v>0</v>
      </c>
      <c r="Y2" s="1">
        <f>countifs('5B'!$D$2:$D$614, Y$1, '5B'!$B$2:$B$614, "&gt;"&amp;$L$3, '5B'!$B$2:$B$614, "&lt;"&amp;$M$3)</f>
        <v>0</v>
      </c>
      <c r="Z2" s="1">
        <f>countifs('5B'!$D$2:$D$614, Z$1, '5B'!$B$2:$B$614, "&gt;"&amp;$L$3, '5B'!$B$2:$B$614, "&lt;"&amp;$M$3)</f>
        <v>0</v>
      </c>
      <c r="AA2" s="1">
        <f>countifs('5B'!$D$2:$D$614, AA$1, '5B'!$B$2:$B$614, "&gt;"&amp;$L$3, '5B'!$B$2:$B$614, "&lt;"&amp;$M$3)</f>
        <v>0</v>
      </c>
      <c r="AB2" s="1">
        <f>countifs('5B'!$D$2:$D$614, AB$1, '5B'!$B$2:$B$614, "&gt;"&amp;$L$4, '5B'!$B$2:$B$614, "&lt;"&amp;$M$4)</f>
        <v>0</v>
      </c>
      <c r="AC2" s="1">
        <f>countifs('5B'!$D$2:$D$614, AC$1, '5B'!$B$2:$B$614, "&gt;"&amp;$L$4, '5B'!$B$2:$B$614, "&lt;"&amp;$M$4)</f>
        <v>0</v>
      </c>
      <c r="AD2" s="1">
        <f>countifs('5B'!$D$2:$D$614, AD$1, '5B'!$B$2:$B$614, "&gt;"&amp;$L$4, '5B'!$B$2:$B$614, "&lt;"&amp;$M$4)</f>
        <v>0</v>
      </c>
      <c r="AE2" s="1">
        <f>countifs('5B'!$D$2:$D$614, AE$1, '5B'!$B$2:$B$614, "&gt;"&amp;$L$4, '5B'!$B$2:$B$614, "&lt;"&amp;$M$4)</f>
        <v>0</v>
      </c>
      <c r="AF2" s="1">
        <f>countifs('5B'!$D$2:$D$614, AF$1, '5B'!$B$2:$B$614, "&gt;"&amp;$L$4, '5B'!$B$2:$B$614, "&lt;"&amp;$M$4)</f>
        <v>0</v>
      </c>
      <c r="AG2" s="1">
        <f>countifs('5B'!$D$2:$D$614, AG$1, '5B'!$B$2:$B$614, "&gt;"&amp;$L$4, '5B'!$B$2:$B$614, "&lt;"&amp;$M$4)</f>
        <v>0</v>
      </c>
      <c r="AH2" s="1">
        <f>countifs('5B'!$D$2:$D$614, AH$1, '5B'!$B$2:$B$614, "&gt;"&amp;$L$4, '5B'!$B$2:$B$614, "&lt;"&amp;$M$4)</f>
        <v>0</v>
      </c>
      <c r="AI2" s="3">
        <v>9.0</v>
      </c>
      <c r="AJ2" s="3">
        <v>2.0</v>
      </c>
      <c r="AK2" s="3">
        <v>1.0</v>
      </c>
      <c r="AL2" s="6" t="str">
        <f>IFERROR(__xludf.DUMMYFUNCTION("AVERAGE.WEIGHTED($N$1:$T$1, N2:T2)"),"#DIV/0!")</f>
        <v>#DIV/0!</v>
      </c>
      <c r="AM2" s="6" t="str">
        <f>IFERROR(__xludf.DUMMYFUNCTION("AVERAGE.WEIGHTED($U$1:$AA$1, U2:AA2)"),"#DIV/0!")</f>
        <v>#DIV/0!</v>
      </c>
      <c r="AN2" s="12" t="str">
        <f>IFERROR(__xludf.DUMMYFUNCTION("AVERAGE.WEIGHTED($AB$1:$AH$1, AB2:AH2)"),"#DIV/0!")</f>
        <v>#DIV/0!</v>
      </c>
      <c r="AO2" s="6" t="str">
        <f t="shared" ref="AO2:AQ2" si="1">(AL2-1)*100/6</f>
        <v>#DIV/0!</v>
      </c>
      <c r="AP2" s="6" t="str">
        <f t="shared" si="1"/>
        <v>#DIV/0!</v>
      </c>
      <c r="AQ2" s="6" t="str">
        <f t="shared" si="1"/>
        <v>#DIV/0!</v>
      </c>
      <c r="AR2" s="1" t="str">
        <f t="shared" ref="AR2:AT2" si="2">Average($AO2:$AQ2)</f>
        <v>#DIV/0!</v>
      </c>
      <c r="AS2" s="1" t="str">
        <f t="shared" si="2"/>
        <v>#DIV/0!</v>
      </c>
      <c r="AT2" s="1" t="str">
        <f t="shared" si="2"/>
        <v>#DIV/0!</v>
      </c>
      <c r="AU2" s="7" t="str">
        <f t="shared" ref="AU2:AU26" si="8">_xlfn.CHISQ.TEST(AO2:AQ2,AR2:AT2)</f>
        <v>#DIV/0!</v>
      </c>
      <c r="AV2" s="8">
        <f>countifs('5B'!$D$2:$D$529, AV$1, '5B'!$C$2:$C$529, "Karl")</f>
        <v>1</v>
      </c>
      <c r="AW2" s="8">
        <f>countifs('5B'!$D$2:$D$529, AW$1, '5B'!$C$2:$C$529, "Karl")</f>
        <v>0</v>
      </c>
      <c r="AX2" s="8">
        <f>countifs('5B'!$D$2:$D$529, AX$1, '5B'!$C$2:$C$529, "Karl")</f>
        <v>1</v>
      </c>
      <c r="AY2" s="8">
        <f>countifs('5B'!$D$2:$D$529, AY$1, '5B'!$C$2:$C$529, "Karl")</f>
        <v>0</v>
      </c>
      <c r="AZ2" s="8">
        <f>countifs('5B'!$D$2:$D$529, AZ$1, '5B'!$C$2:$C$529, "Karl")</f>
        <v>0</v>
      </c>
      <c r="BA2" s="8">
        <f>countifs('5B'!$D$2:$D$529, BA$1, '5B'!$C$2:$C$529, "Karl")</f>
        <v>0</v>
      </c>
      <c r="BB2" s="8">
        <f>countifs('5B'!$D$2:$D$529, BB$1, '5B'!$C$2:$C$529, "Karl")</f>
        <v>1</v>
      </c>
      <c r="BC2" s="8">
        <f>countifs('5B'!$D$2:$D$529, BC$1, '5B'!$C$2:$C$529, "Kona")</f>
        <v>1</v>
      </c>
      <c r="BD2" s="8">
        <f>countifs('5B'!$D$2:$D$529, BD$1, '5B'!$C$2:$C$529, "Kona")</f>
        <v>2</v>
      </c>
      <c r="BE2" s="8">
        <f>countifs('5B'!$D$2:$D$529, BE$1, '5B'!$C$2:$C$529, "Kona")</f>
        <v>1</v>
      </c>
      <c r="BF2" s="8">
        <f>countifs('5B'!$D$2:$D$529, BF$1, '5B'!$C$2:$C$529, "Kona")</f>
        <v>0</v>
      </c>
      <c r="BG2" s="8">
        <f>countifs('5B'!$D$2:$D$529, BG$1, '5B'!$C$2:$C$529, "Kona")</f>
        <v>3</v>
      </c>
      <c r="BH2" s="8">
        <f>countifs('5B'!$D$2:$D$529, BH$1, '5B'!$C$2:$C$529, "Kona")</f>
        <v>4</v>
      </c>
      <c r="BI2" s="8">
        <f>countifs('5B'!$D$2:$D$529, BI$1, '5B'!$C$2:$C$529, "Kona")</f>
        <v>5</v>
      </c>
      <c r="BJ2" s="8">
        <f t="shared" ref="BJ2:BJ26" si="9">sum(AV2:BB2)</f>
        <v>3</v>
      </c>
      <c r="BK2" s="8">
        <f t="shared" ref="BK2:BK26" si="10">sum(BC2:BI2)</f>
        <v>16</v>
      </c>
      <c r="BL2" s="6">
        <f>IFERROR(__xludf.DUMMYFUNCTION("AVERAGE.WEIGHTED($AV$1:$BB$1,AV2:BB2)"),3.6666666666666665)</f>
        <v>3.666666667</v>
      </c>
      <c r="BM2" s="6">
        <f>IFERROR(__xludf.DUMMYFUNCTION("AVERAGE.WEIGHTED($BC$1:$BI$1,BC2:BI2)"),5.125)</f>
        <v>5.125</v>
      </c>
      <c r="BN2" s="6">
        <f t="shared" ref="BN2:BO2" si="3">(BL2-1)*100/6</f>
        <v>44.44444444</v>
      </c>
      <c r="BO2" s="6">
        <f t="shared" si="3"/>
        <v>68.75</v>
      </c>
      <c r="BP2" s="7">
        <f t="shared" ref="BP2:BP26" si="12">AVERAGE(BN2:BO2)</f>
        <v>56.59722222</v>
      </c>
      <c r="BQ2" s="7">
        <f t="shared" ref="BQ2:BQ26" si="13">AVERAGE(BN2:BO2)</f>
        <v>56.59722222</v>
      </c>
      <c r="BR2" s="7">
        <f t="shared" ref="BR2:BR26" si="14">_xlfn.CHISQ.TEST(BN2:BO2,BP2:BQ2)</f>
        <v>0.02234159636</v>
      </c>
    </row>
    <row r="3">
      <c r="A3" s="3">
        <v>2.0</v>
      </c>
      <c r="B3" s="1" t="s">
        <v>32</v>
      </c>
      <c r="C3" s="1">
        <f>countif('5B'!$E$2:$E$614, C$1)</f>
        <v>1</v>
      </c>
      <c r="D3" s="1">
        <f>countif('5B'!$E$2:$E$614, D$1)</f>
        <v>3</v>
      </c>
      <c r="E3" s="1">
        <f>countif('5B'!$E$2:$E$614, E$1)</f>
        <v>1</v>
      </c>
      <c r="F3" s="1">
        <f>countif('5B'!$E$2:$E$614, F$1)</f>
        <v>2</v>
      </c>
      <c r="G3" s="1">
        <f>countif('5B'!$E$2:$E$614, G$1)</f>
        <v>1</v>
      </c>
      <c r="H3" s="1">
        <f>countif('5B'!$E$2:$E$614, H$1)</f>
        <v>4</v>
      </c>
      <c r="I3" s="1">
        <f>countif('5B'!$E$2:$E$614, I$1)</f>
        <v>8</v>
      </c>
      <c r="J3" s="1">
        <f t="shared" si="4"/>
        <v>20</v>
      </c>
      <c r="K3" s="6">
        <f t="shared" si="5"/>
        <v>5.15</v>
      </c>
      <c r="L3" s="4" t="str">
        <f>'General average A'!L3</f>
        <v>#REF!</v>
      </c>
      <c r="M3" s="4" t="str">
        <f>'General average A'!M3</f>
        <v>#REF!</v>
      </c>
      <c r="N3" s="1">
        <f>countifs('5B'!$E$2:$E$614, N$1, '5B'!$B$2:$B$614, "&gt;"&amp;$L$2, '5B'!$B$2:$B$614, "&lt;"&amp;$M$2)</f>
        <v>0</v>
      </c>
      <c r="O3" s="1">
        <f>countifs('5B'!$E$2:$E$614, O$1, '5B'!$B$2:$B$614, "&gt;"&amp;$L$2, '5B'!$B$2:$B$614, "&lt;"&amp;$M$2)</f>
        <v>0</v>
      </c>
      <c r="P3" s="1">
        <f>countifs('5B'!$E$2:$E$614, P$1, '5B'!$B$2:$B$614, "&gt;"&amp;$L$2, '5B'!$B$2:$B$614, "&lt;"&amp;$M$2)</f>
        <v>0</v>
      </c>
      <c r="Q3" s="1">
        <f>countifs('5B'!$E$2:$E$614, Q$1, '5B'!$B$2:$B$614, "&gt;"&amp;$L$2, '5B'!$B$2:$B$614, "&lt;"&amp;$M$2)</f>
        <v>0</v>
      </c>
      <c r="R3" s="1">
        <f>countifs('5B'!$E$2:$E$614, R$1, '5B'!$B$2:$B$614, "&gt;"&amp;$L$2, '5B'!$B$2:$B$614, "&lt;"&amp;$M$2)</f>
        <v>0</v>
      </c>
      <c r="S3" s="1">
        <f>countifs('5B'!$E$2:$E$614, S$1, '5B'!$B$2:$B$614, "&gt;"&amp;$L$2, '5B'!$B$2:$B$614, "&lt;"&amp;$M$2)</f>
        <v>0</v>
      </c>
      <c r="T3" s="1">
        <f>countifs('5B'!$E$2:$E$614, T$1, '5B'!$B$2:$B$614, "&gt;"&amp;$L$2, '5B'!$B$2:$B$614, "&lt;"&amp;$M$2)</f>
        <v>0</v>
      </c>
      <c r="U3" s="1">
        <f>countifs('5B'!$E$2:$E$614, U$1, '5B'!$B$2:$B$614, "&gt;"&amp;$L$3, '5B'!$B$2:$B$614, "&lt;"&amp;$M$3)</f>
        <v>0</v>
      </c>
      <c r="V3" s="1">
        <f>countifs('5B'!$E$2:$E$614, V$1, '5B'!$B$2:$B$614, "&gt;"&amp;$L$3, '5B'!$B$2:$B$614, "&lt;"&amp;$M$3)</f>
        <v>0</v>
      </c>
      <c r="W3" s="1">
        <f>countifs('5B'!$E$2:$E$614, W$1, '5B'!$B$2:$B$614, "&gt;"&amp;$L$3, '5B'!$B$2:$B$614, "&lt;"&amp;$M$3)</f>
        <v>0</v>
      </c>
      <c r="X3" s="1">
        <f>countifs('5B'!$E$2:$E$614, X$1, '5B'!$B$2:$B$614, "&gt;"&amp;$L$3, '5B'!$B$2:$B$614, "&lt;"&amp;$M$3)</f>
        <v>0</v>
      </c>
      <c r="Y3" s="1">
        <f>countifs('5B'!$E$2:$E$614, Y$1, '5B'!$B$2:$B$614, "&gt;"&amp;$L$3, '5B'!$B$2:$B$614, "&lt;"&amp;$M$3)</f>
        <v>0</v>
      </c>
      <c r="Z3" s="1">
        <f>countifs('5B'!$E$2:$E$614, Z$1, '5B'!$B$2:$B$614, "&gt;"&amp;$L$3, '5B'!$B$2:$B$614, "&lt;"&amp;$M$3)</f>
        <v>0</v>
      </c>
      <c r="AA3" s="1">
        <f>countifs('5B'!$E$2:$E$614, AA$1, '5B'!$B$2:$B$614, "&gt;"&amp;$L$3, '5B'!$B$2:$B$614, "&lt;"&amp;$M$3)</f>
        <v>0</v>
      </c>
      <c r="AB3" s="1">
        <f>countifs('5B'!$E$2:$E$614, AB$1, '5B'!$B$2:$B$614, "&gt;"&amp;$L$4, '5B'!$B$2:$B$614, "&lt;"&amp;$M$4)</f>
        <v>0</v>
      </c>
      <c r="AC3" s="1">
        <f>countifs('5B'!$E$2:$E$614, AC$1, '5B'!$B$2:$B$614, "&gt;"&amp;$L$4, '5B'!$B$2:$B$614, "&lt;"&amp;$M$4)</f>
        <v>0</v>
      </c>
      <c r="AD3" s="1">
        <f>countifs('5B'!$E$2:$E$614, AD$1, '5B'!$B$2:$B$614, "&gt;"&amp;$L$4, '5B'!$B$2:$B$614, "&lt;"&amp;$M$4)</f>
        <v>0</v>
      </c>
      <c r="AE3" s="1">
        <f>countifs('5B'!$E$2:$E$614, AE$1, '5B'!$B$2:$B$614, "&gt;"&amp;$L$4, '5B'!$B$2:$B$614, "&lt;"&amp;$M$4)</f>
        <v>0</v>
      </c>
      <c r="AF3" s="1">
        <f>countifs('5B'!$E$2:$E$614, AF$1, '5B'!$B$2:$B$614, "&gt;"&amp;$L$4, '5B'!$B$2:$B$614, "&lt;"&amp;$M$4)</f>
        <v>0</v>
      </c>
      <c r="AG3" s="1">
        <f>countifs('5B'!$E$2:$E$614, AG$1, '5B'!$B$2:$B$614, "&gt;"&amp;$L$4, '5B'!$B$2:$B$614, "&lt;"&amp;$M$4)</f>
        <v>0</v>
      </c>
      <c r="AH3" s="1">
        <f>countifs('5B'!$E$2:$E$614, AH$1, '5B'!$B$2:$B$614, "&gt;"&amp;$L$4, '5B'!$B$2:$B$614, "&lt;"&amp;$M$4)</f>
        <v>0</v>
      </c>
      <c r="AI3" s="3">
        <v>9.0</v>
      </c>
      <c r="AJ3" s="3">
        <v>2.0</v>
      </c>
      <c r="AK3" s="3">
        <v>1.0</v>
      </c>
      <c r="AL3" s="6" t="str">
        <f>IFERROR(__xludf.DUMMYFUNCTION("AVERAGE.WEIGHTED($N$1:$T$1, N3:T3)"),"#DIV/0!")</f>
        <v>#DIV/0!</v>
      </c>
      <c r="AM3" s="6" t="str">
        <f>IFERROR(__xludf.DUMMYFUNCTION("AVERAGE.WEIGHTED($U$1:$AA$1, U3:AA3)"),"#DIV/0!")</f>
        <v>#DIV/0!</v>
      </c>
      <c r="AN3" s="12" t="str">
        <f>IFERROR(__xludf.DUMMYFUNCTION("AVERAGE.WEIGHTED($AB$1:$AH$1, AB3:AH3)"),"#DIV/0!")</f>
        <v>#DIV/0!</v>
      </c>
      <c r="AO3" s="6" t="str">
        <f t="shared" ref="AO3:AQ3" si="6">(AL3-1)*100/6</f>
        <v>#DIV/0!</v>
      </c>
      <c r="AP3" s="6" t="str">
        <f t="shared" si="6"/>
        <v>#DIV/0!</v>
      </c>
      <c r="AQ3" s="6" t="str">
        <f t="shared" si="6"/>
        <v>#DIV/0!</v>
      </c>
      <c r="AR3" s="1" t="str">
        <f t="shared" ref="AR3:AT3" si="7">Average($AO3:$AQ3)</f>
        <v>#DIV/0!</v>
      </c>
      <c r="AS3" s="1" t="str">
        <f t="shared" si="7"/>
        <v>#DIV/0!</v>
      </c>
      <c r="AT3" s="1" t="str">
        <f t="shared" si="7"/>
        <v>#DIV/0!</v>
      </c>
      <c r="AU3" s="7" t="str">
        <f t="shared" si="8"/>
        <v>#DIV/0!</v>
      </c>
      <c r="AV3" s="8">
        <f>countifs('5B'!$E$2:$E$529, AV$1, '5B'!$C$2:$C$529, "Karl")</f>
        <v>1</v>
      </c>
      <c r="AW3" s="8">
        <f>countifs('5B'!$E$2:$E$529, AW$1, '5B'!$C$2:$C$529, "Karl")</f>
        <v>1</v>
      </c>
      <c r="AX3" s="8">
        <f>countifs('5B'!$E$2:$E$529, AX$1, '5B'!$C$2:$C$529, "Karl")</f>
        <v>0</v>
      </c>
      <c r="AY3" s="8">
        <f>countifs('5B'!$E$2:$E$529, AY$1, '5B'!$C$2:$C$529, "Karl")</f>
        <v>0</v>
      </c>
      <c r="AZ3" s="8">
        <f>countifs('5B'!$E$2:$E$529, AZ$1, '5B'!$C$2:$C$529, "Karl")</f>
        <v>0</v>
      </c>
      <c r="BA3" s="8">
        <f>countifs('5B'!$E$2:$E$529, BA$1, '5B'!$C$2:$C$529, "Karl")</f>
        <v>0</v>
      </c>
      <c r="BB3" s="8">
        <f>countifs('5B'!$E$2:$E$529, BB$1, '5B'!$C$2:$C$529, "Karl")</f>
        <v>1</v>
      </c>
      <c r="BC3" s="8">
        <f>countifs('5B'!$E$2:$E$529, BC$1, '5B'!$C$2:$C$529, "Kona")</f>
        <v>0</v>
      </c>
      <c r="BD3" s="8">
        <f>countifs('5B'!$E$2:$E$529, BD$1, '5B'!$C$2:$C$529, "Kona")</f>
        <v>2</v>
      </c>
      <c r="BE3" s="8">
        <f>countifs('5B'!$E$2:$E$529, BE$1, '5B'!$C$2:$C$529, "Kona")</f>
        <v>1</v>
      </c>
      <c r="BF3" s="8">
        <f>countifs('5B'!$E$2:$E$529, BF$1, '5B'!$C$2:$C$529, "Kona")</f>
        <v>2</v>
      </c>
      <c r="BG3" s="8">
        <f>countifs('5B'!$E$2:$E$529, BG$1, '5B'!$C$2:$C$529, "Kona")</f>
        <v>1</v>
      </c>
      <c r="BH3" s="8">
        <f>countifs('5B'!$E$2:$E$529, BH$1, '5B'!$C$2:$C$529, "Kona")</f>
        <v>3</v>
      </c>
      <c r="BI3" s="8">
        <f>countifs('5B'!$E$2:$E$529, BI$1, '5B'!$C$2:$C$529, "Kona")</f>
        <v>7</v>
      </c>
      <c r="BJ3" s="8">
        <f t="shared" si="9"/>
        <v>3</v>
      </c>
      <c r="BK3" s="8">
        <f t="shared" si="10"/>
        <v>16</v>
      </c>
      <c r="BL3" s="6">
        <f>IFERROR(__xludf.DUMMYFUNCTION("AVERAGE.WEIGHTED($AV$1:$BB$1,AV3:BB3)"),3.3333333333333335)</f>
        <v>3.333333333</v>
      </c>
      <c r="BM3" s="6">
        <f>IFERROR(__xludf.DUMMYFUNCTION("AVERAGE.WEIGHTED($BC$1:$BI$1,BC3:BI3)"),5.4375)</f>
        <v>5.4375</v>
      </c>
      <c r="BN3" s="6">
        <f t="shared" ref="BN3:BO3" si="11">(BL3-1)*100/6</f>
        <v>38.88888889</v>
      </c>
      <c r="BO3" s="6">
        <f t="shared" si="11"/>
        <v>73.95833333</v>
      </c>
      <c r="BP3" s="7">
        <f t="shared" si="12"/>
        <v>56.42361111</v>
      </c>
      <c r="BQ3" s="7">
        <f t="shared" si="13"/>
        <v>56.42361111</v>
      </c>
      <c r="BR3" s="7">
        <f t="shared" si="14"/>
        <v>0.0009624194225</v>
      </c>
    </row>
    <row r="4">
      <c r="A4" s="3">
        <v>3.0</v>
      </c>
      <c r="B4" s="1" t="s">
        <v>33</v>
      </c>
      <c r="C4" s="1">
        <f>countif('5B'!$F$2:$F$614, C$1)</f>
        <v>1</v>
      </c>
      <c r="D4" s="1">
        <f>countif('5B'!$F$2:$F$614, D$1)</f>
        <v>0</v>
      </c>
      <c r="E4" s="1">
        <f>countif('5B'!$F$2:$F$614, E$1)</f>
        <v>0</v>
      </c>
      <c r="F4" s="1">
        <f>countif('5B'!$F$2:$F$614, F$1)</f>
        <v>2</v>
      </c>
      <c r="G4" s="1">
        <f>countif('5B'!$F$2:$F$614, G$1)</f>
        <v>3</v>
      </c>
      <c r="H4" s="1">
        <f>countif('5B'!$F$2:$F$614, H$1)</f>
        <v>6</v>
      </c>
      <c r="I4" s="1">
        <f>countif('5B'!$F$2:$F$614, I$1)</f>
        <v>8</v>
      </c>
      <c r="J4" s="1">
        <f t="shared" si="4"/>
        <v>20</v>
      </c>
      <c r="K4" s="6">
        <f t="shared" si="5"/>
        <v>5.8</v>
      </c>
      <c r="L4" s="4" t="str">
        <f>'General average A'!L4</f>
        <v>#REF!</v>
      </c>
      <c r="M4" s="4" t="str">
        <f>'General average A'!M4</f>
        <v>#REF!</v>
      </c>
      <c r="N4" s="1">
        <f>countifs('5B'!$F$2:$F$614, N$1, '5B'!$B$2:$B$614, "&gt;"&amp;$L$2, '5B'!$B$2:$B$614, "&lt;"&amp;$M$2)</f>
        <v>0</v>
      </c>
      <c r="O4" s="1">
        <f>countifs('5B'!$F$2:$F$614, O$1, '5B'!$B$2:$B$614, "&gt;"&amp;$L$2, '5B'!$B$2:$B$614, "&lt;"&amp;$M$2)</f>
        <v>0</v>
      </c>
      <c r="P4" s="1">
        <f>countifs('5B'!$F$2:$F$614, P$1, '5B'!$B$2:$B$614, "&gt;"&amp;$L$2, '5B'!$B$2:$B$614, "&lt;"&amp;$M$2)</f>
        <v>0</v>
      </c>
      <c r="Q4" s="1">
        <f>countifs('5B'!$F$2:$F$614, Q$1, '5B'!$B$2:$B$614, "&gt;"&amp;$L$2, '5B'!$B$2:$B$614, "&lt;"&amp;$M$2)</f>
        <v>0</v>
      </c>
      <c r="R4" s="1">
        <f>countifs('5B'!$F$2:$F$614, R$1, '5B'!$B$2:$B$614, "&gt;"&amp;$L$2, '5B'!$B$2:$B$614, "&lt;"&amp;$M$2)</f>
        <v>0</v>
      </c>
      <c r="S4" s="1">
        <f>countifs('5B'!$F$2:$F$614, S$1, '5B'!$B$2:$B$614, "&gt;"&amp;$L$2, '5B'!$B$2:$B$614, "&lt;"&amp;$M$2)</f>
        <v>0</v>
      </c>
      <c r="T4" s="1">
        <f>countifs('5B'!$F$2:$F$614, T$1, '5B'!$B$2:$B$614, "&gt;"&amp;$L$2, '5B'!$B$2:$B$614, "&lt;"&amp;$M$2)</f>
        <v>0</v>
      </c>
      <c r="U4" s="1">
        <f>countifs('5B'!$F$2:$F$614, U$1, '5B'!$B$2:$B$614, "&gt;"&amp;$L$3, '5B'!$B$2:$B$614, "&lt;"&amp;$M$3)</f>
        <v>0</v>
      </c>
      <c r="V4" s="1">
        <f>countifs('5B'!$F$2:$F$614, V$1, '5B'!$B$2:$B$614, "&gt;"&amp;$L$3, '5B'!$B$2:$B$614, "&lt;"&amp;$M$3)</f>
        <v>0</v>
      </c>
      <c r="W4" s="1">
        <f>countifs('5B'!$F$2:$F$614, W$1, '5B'!$B$2:$B$614, "&gt;"&amp;$L$3, '5B'!$B$2:$B$614, "&lt;"&amp;$M$3)</f>
        <v>0</v>
      </c>
      <c r="X4" s="1">
        <f>countifs('5B'!$F$2:$F$614, X$1, '5B'!$B$2:$B$614, "&gt;"&amp;$L$3, '5B'!$B$2:$B$614, "&lt;"&amp;$M$3)</f>
        <v>0</v>
      </c>
      <c r="Y4" s="1">
        <f>countifs('5B'!$F$2:$F$614, Y$1, '5B'!$B$2:$B$614, "&gt;"&amp;$L$3, '5B'!$B$2:$B$614, "&lt;"&amp;$M$3)</f>
        <v>0</v>
      </c>
      <c r="Z4" s="1">
        <f>countifs('5B'!$F$2:$F$614, Z$1, '5B'!$B$2:$B$614, "&gt;"&amp;$L$3, '5B'!$B$2:$B$614, "&lt;"&amp;$M$3)</f>
        <v>0</v>
      </c>
      <c r="AA4" s="1">
        <f>countifs('5B'!$F$2:$F$614, AA$1, '5B'!$B$2:$B$614, "&gt;"&amp;$L$3, '5B'!$B$2:$B$614, "&lt;"&amp;$M$3)</f>
        <v>0</v>
      </c>
      <c r="AB4" s="1">
        <f>countifs('5B'!$F$2:$F$614, AB$1, '5B'!$B$2:$B$614, "&gt;"&amp;$L$4, '5B'!$B$2:$B$614, "&lt;"&amp;$M$4)</f>
        <v>0</v>
      </c>
      <c r="AC4" s="1">
        <f>countifs('5B'!$F$2:$F$614, AC$1, '5B'!$B$2:$B$614, "&gt;"&amp;$L$4, '5B'!$B$2:$B$614, "&lt;"&amp;$M$4)</f>
        <v>0</v>
      </c>
      <c r="AD4" s="1">
        <f>countifs('5B'!$F$2:$F$614, AD$1, '5B'!$B$2:$B$614, "&gt;"&amp;$L$4, '5B'!$B$2:$B$614, "&lt;"&amp;$M$4)</f>
        <v>0</v>
      </c>
      <c r="AE4" s="1">
        <f>countifs('5B'!$F$2:$F$614, AE$1, '5B'!$B$2:$B$614, "&gt;"&amp;$L$4, '5B'!$B$2:$B$614, "&lt;"&amp;$M$4)</f>
        <v>0</v>
      </c>
      <c r="AF4" s="1">
        <f>countifs('5B'!$F$2:$F$614, AF$1, '5B'!$B$2:$B$614, "&gt;"&amp;$L$4, '5B'!$B$2:$B$614, "&lt;"&amp;$M$4)</f>
        <v>0</v>
      </c>
      <c r="AG4" s="1">
        <f>countifs('5B'!$F$2:$F$614, AG$1, '5B'!$B$2:$B$614, "&gt;"&amp;$L$4, '5B'!$B$2:$B$614, "&lt;"&amp;$M$4)</f>
        <v>0</v>
      </c>
      <c r="AH4" s="1">
        <f>countifs('5B'!$F$2:$F$614, AH$1, '5B'!$B$2:$B$614, "&gt;"&amp;$L$4, '5B'!$B$2:$B$614, "&lt;"&amp;$M$4)</f>
        <v>0</v>
      </c>
      <c r="AI4" s="3">
        <v>9.0</v>
      </c>
      <c r="AJ4" s="3">
        <v>2.0</v>
      </c>
      <c r="AK4" s="3">
        <v>1.0</v>
      </c>
      <c r="AL4" s="6" t="str">
        <f>IFERROR(__xludf.DUMMYFUNCTION("AVERAGE.WEIGHTED($N$1:$T$1, N4:T4)"),"#DIV/0!")</f>
        <v>#DIV/0!</v>
      </c>
      <c r="AM4" s="6" t="str">
        <f>IFERROR(__xludf.DUMMYFUNCTION("AVERAGE.WEIGHTED($U$1:$AA$1, U4:AA4)"),"#DIV/0!")</f>
        <v>#DIV/0!</v>
      </c>
      <c r="AN4" s="12" t="str">
        <f>IFERROR(__xludf.DUMMYFUNCTION("AVERAGE.WEIGHTED($AB$1:$AH$1, AB4:AH4)"),"#DIV/0!")</f>
        <v>#DIV/0!</v>
      </c>
      <c r="AO4" s="6" t="str">
        <f t="shared" ref="AO4:AQ4" si="15">(AL4-1)*100/6</f>
        <v>#DIV/0!</v>
      </c>
      <c r="AP4" s="6" t="str">
        <f t="shared" si="15"/>
        <v>#DIV/0!</v>
      </c>
      <c r="AQ4" s="6" t="str">
        <f t="shared" si="15"/>
        <v>#DIV/0!</v>
      </c>
      <c r="AR4" s="1" t="str">
        <f t="shared" ref="AR4:AT4" si="16">Average($AO4:$AQ4)</f>
        <v>#DIV/0!</v>
      </c>
      <c r="AS4" s="1" t="str">
        <f t="shared" si="16"/>
        <v>#DIV/0!</v>
      </c>
      <c r="AT4" s="1" t="str">
        <f t="shared" si="16"/>
        <v>#DIV/0!</v>
      </c>
      <c r="AU4" s="7" t="str">
        <f t="shared" si="8"/>
        <v>#DIV/0!</v>
      </c>
      <c r="AV4" s="8">
        <f>countifs('5B'!$F$2:$F$529, AV$1, '5B'!$C$2:$C$529, "Karl")</f>
        <v>0</v>
      </c>
      <c r="AW4" s="8">
        <f>countifs('5B'!$F$2:$F$529, AW$1, '5B'!$C$2:$C$529, "Karl")</f>
        <v>0</v>
      </c>
      <c r="AX4" s="8">
        <f>countifs('5B'!$F$2:$F$529, AX$1, '5B'!$C$2:$C$529, "Karl")</f>
        <v>0</v>
      </c>
      <c r="AY4" s="8">
        <f>countifs('5B'!$F$2:$F$529, AY$1, '5B'!$C$2:$C$529, "Karl")</f>
        <v>0</v>
      </c>
      <c r="AZ4" s="8">
        <f>countifs('5B'!$F$2:$F$529, AZ$1, '5B'!$C$2:$C$529, "Karl")</f>
        <v>1</v>
      </c>
      <c r="BA4" s="8">
        <f>countifs('5B'!$F$2:$F$529, BA$1, '5B'!$C$2:$C$529, "Karl")</f>
        <v>0</v>
      </c>
      <c r="BB4" s="8">
        <f>countifs('5B'!$F$2:$F$529, BB$1, '5B'!$C$2:$C$529, "Karl")</f>
        <v>2</v>
      </c>
      <c r="BC4" s="8">
        <f>countifs('5B'!$F$2:$F$529, BC$1, '5B'!$C$2:$C$529, "Kona")</f>
        <v>1</v>
      </c>
      <c r="BD4" s="8">
        <f>countifs('5B'!$F$2:$F$529, BD$1, '5B'!$C$2:$C$529, "Kona")</f>
        <v>0</v>
      </c>
      <c r="BE4" s="8">
        <f>countifs('5B'!$F$2:$F$529, BE$1, '5B'!$C$2:$C$529, "Kona")</f>
        <v>0</v>
      </c>
      <c r="BF4" s="8">
        <f>countifs('5B'!$F$2:$F$529, BF$1, '5B'!$C$2:$C$529, "Kona")</f>
        <v>1</v>
      </c>
      <c r="BG4" s="8">
        <f>countifs('5B'!$F$2:$F$529, BG$1, '5B'!$C$2:$C$529, "Kona")</f>
        <v>2</v>
      </c>
      <c r="BH4" s="8">
        <f>countifs('5B'!$F$2:$F$529, BH$1, '5B'!$C$2:$C$529, "Kona")</f>
        <v>6</v>
      </c>
      <c r="BI4" s="8">
        <f>countifs('5B'!$F$2:$F$529, BI$1, '5B'!$C$2:$C$529, "Kona")</f>
        <v>6</v>
      </c>
      <c r="BJ4" s="8">
        <f t="shared" si="9"/>
        <v>3</v>
      </c>
      <c r="BK4" s="8">
        <f t="shared" si="10"/>
        <v>16</v>
      </c>
      <c r="BL4" s="6">
        <f>IFERROR(__xludf.DUMMYFUNCTION("AVERAGE.WEIGHTED($AV$1:$BB$1,AV4:BB4)"),6.333333333333333)</f>
        <v>6.333333333</v>
      </c>
      <c r="BM4" s="6">
        <f>IFERROR(__xludf.DUMMYFUNCTION("AVERAGE.WEIGHTED($BC$1:$BI$1,BC4:BI4)"),5.8125)</f>
        <v>5.8125</v>
      </c>
      <c r="BN4" s="6">
        <f t="shared" ref="BN4:BO4" si="17">(BL4-1)*100/6</f>
        <v>88.88888889</v>
      </c>
      <c r="BO4" s="6">
        <f t="shared" si="17"/>
        <v>80.20833333</v>
      </c>
      <c r="BP4" s="7">
        <f t="shared" si="12"/>
        <v>84.54861111</v>
      </c>
      <c r="BQ4" s="7">
        <f t="shared" si="13"/>
        <v>84.54861111</v>
      </c>
      <c r="BR4" s="7">
        <f t="shared" si="14"/>
        <v>0.5044253155</v>
      </c>
    </row>
    <row r="5">
      <c r="A5" s="3">
        <v>4.0</v>
      </c>
      <c r="B5" s="1" t="s">
        <v>34</v>
      </c>
      <c r="C5" s="1">
        <f>countif('5B'!$G$2:$G$614, C$1)</f>
        <v>18</v>
      </c>
      <c r="D5" s="1">
        <f>countif('5B'!$G$2:$G$614, D$1)</f>
        <v>0</v>
      </c>
      <c r="E5" s="1">
        <f>countif('5B'!$G$2:$G$614, E$1)</f>
        <v>1</v>
      </c>
      <c r="F5" s="1">
        <f>countif('5B'!$G$2:$G$614, F$1)</f>
        <v>0</v>
      </c>
      <c r="G5" s="1">
        <f>countif('5B'!$G$2:$G$614, G$1)</f>
        <v>0</v>
      </c>
      <c r="H5" s="1">
        <f>countif('5B'!$G$2:$G$614, H$1)</f>
        <v>0</v>
      </c>
      <c r="I5" s="1">
        <f>countif('5B'!$G$2:$G$614, I$1)</f>
        <v>1</v>
      </c>
      <c r="J5" s="1">
        <f t="shared" si="4"/>
        <v>20</v>
      </c>
      <c r="K5" s="6">
        <f t="shared" si="5"/>
        <v>1.4</v>
      </c>
      <c r="N5" s="1">
        <f>countifs('5B'!$G$2:$G$614, N$1, '5B'!$B$2:$B$614, "&gt;"&amp;$L$2, '5B'!$B$2:$B$614, "&lt;"&amp;$M$2)</f>
        <v>0</v>
      </c>
      <c r="O5" s="1">
        <f>countifs('5B'!$G$2:$G$614, O$1, '5B'!$B$2:$B$614, "&gt;"&amp;$L$2, '5B'!$B$2:$B$614, "&lt;"&amp;$M$2)</f>
        <v>0</v>
      </c>
      <c r="P5" s="1">
        <f>countifs('5B'!$G$2:$G$614, P$1, '5B'!$B$2:$B$614, "&gt;"&amp;$L$2, '5B'!$B$2:$B$614, "&lt;"&amp;$M$2)</f>
        <v>0</v>
      </c>
      <c r="Q5" s="1">
        <f>countifs('5B'!$G$2:$G$614, Q$1, '5B'!$B$2:$B$614, "&gt;"&amp;$L$2, '5B'!$B$2:$B$614, "&lt;"&amp;$M$2)</f>
        <v>0</v>
      </c>
      <c r="R5" s="1">
        <f>countifs('5B'!$G$2:$G$614, R$1, '5B'!$B$2:$B$614, "&gt;"&amp;$L$2, '5B'!$B$2:$B$614, "&lt;"&amp;$M$2)</f>
        <v>0</v>
      </c>
      <c r="S5" s="1">
        <f>countifs('5B'!$G$2:$G$614, S$1, '5B'!$B$2:$B$614, "&gt;"&amp;$L$2, '5B'!$B$2:$B$614, "&lt;"&amp;$M$2)</f>
        <v>0</v>
      </c>
      <c r="T5" s="1">
        <f>countifs('5B'!$G$2:$G$614, T$1, '5B'!$B$2:$B$614, "&gt;"&amp;$L$2, '5B'!$B$2:$B$614, "&lt;"&amp;$M$2)</f>
        <v>0</v>
      </c>
      <c r="U5" s="1">
        <f>countifs('5B'!$G$2:$G$614, U$1, '5B'!$B$2:$B$614, "&gt;"&amp;$L$3, '5B'!$B$2:$B$614, "&lt;"&amp;$M$3)</f>
        <v>0</v>
      </c>
      <c r="V5" s="1">
        <f>countifs('5B'!$G$2:$G$614, V$1, '5B'!$B$2:$B$614, "&gt;"&amp;$L$3, '5B'!$B$2:$B$614, "&lt;"&amp;$M$3)</f>
        <v>0</v>
      </c>
      <c r="W5" s="1">
        <f>countifs('5B'!$G$2:$G$614, W$1, '5B'!$B$2:$B$614, "&gt;"&amp;$L$3, '5B'!$B$2:$B$614, "&lt;"&amp;$M$3)</f>
        <v>0</v>
      </c>
      <c r="X5" s="1">
        <f>countifs('5B'!$G$2:$G$614, X$1, '5B'!$B$2:$B$614, "&gt;"&amp;$L$3, '5B'!$B$2:$B$614, "&lt;"&amp;$M$3)</f>
        <v>0</v>
      </c>
      <c r="Y5" s="1">
        <f>countifs('5B'!$G$2:$G$614, Y$1, '5B'!$B$2:$B$614, "&gt;"&amp;$L$3, '5B'!$B$2:$B$614, "&lt;"&amp;$M$3)</f>
        <v>0</v>
      </c>
      <c r="Z5" s="1">
        <f>countifs('5B'!$G$2:$G$614, Z$1, '5B'!$B$2:$B$614, "&gt;"&amp;$L$3, '5B'!$B$2:$B$614, "&lt;"&amp;$M$3)</f>
        <v>0</v>
      </c>
      <c r="AA5" s="1">
        <f>countifs('5B'!$G$2:$G$614, AA$1, '5B'!$B$2:$B$614, "&gt;"&amp;$L$3, '5B'!$B$2:$B$614, "&lt;"&amp;$M$3)</f>
        <v>0</v>
      </c>
      <c r="AB5" s="1">
        <f>countifs('5B'!$G$2:$G$614, AB$1, '5B'!$B$2:$B$614, "&gt;"&amp;$L$4, '5B'!$B$2:$B$614, "&lt;"&amp;$M$4)</f>
        <v>0</v>
      </c>
      <c r="AC5" s="1">
        <f>countifs('5B'!$G$2:$G$614, AC$1, '5B'!$B$2:$B$614, "&gt;"&amp;$L$4, '5B'!$B$2:$B$614, "&lt;"&amp;$M$4)</f>
        <v>0</v>
      </c>
      <c r="AD5" s="1">
        <f>countifs('5B'!$G$2:$G$614, AD$1, '5B'!$B$2:$B$614, "&gt;"&amp;$L$4, '5B'!$B$2:$B$614, "&lt;"&amp;$M$4)</f>
        <v>0</v>
      </c>
      <c r="AE5" s="1">
        <f>countifs('5B'!$G$2:$G$614, AE$1, '5B'!$B$2:$B$614, "&gt;"&amp;$L$4, '5B'!$B$2:$B$614, "&lt;"&amp;$M$4)</f>
        <v>0</v>
      </c>
      <c r="AF5" s="1">
        <f>countifs('5B'!$G$2:$G$614, AF$1, '5B'!$B$2:$B$614, "&gt;"&amp;$L$4, '5B'!$B$2:$B$614, "&lt;"&amp;$M$4)</f>
        <v>0</v>
      </c>
      <c r="AG5" s="1">
        <f>countifs('5B'!$G$2:$G$614, AG$1, '5B'!$B$2:$B$614, "&gt;"&amp;$L$4, '5B'!$B$2:$B$614, "&lt;"&amp;$M$4)</f>
        <v>0</v>
      </c>
      <c r="AH5" s="1">
        <f>countifs('5B'!$G$2:$G$614, AH$1, '5B'!$B$2:$B$614, "&gt;"&amp;$L$4, '5B'!$B$2:$B$614, "&lt;"&amp;$M$4)</f>
        <v>0</v>
      </c>
      <c r="AI5" s="3">
        <v>9.0</v>
      </c>
      <c r="AJ5" s="3">
        <v>2.0</v>
      </c>
      <c r="AK5" s="3">
        <v>1.0</v>
      </c>
      <c r="AL5" s="6" t="str">
        <f>IFERROR(__xludf.DUMMYFUNCTION("AVERAGE.WEIGHTED($N$1:$T$1, N5:T5)"),"#DIV/0!")</f>
        <v>#DIV/0!</v>
      </c>
      <c r="AM5" s="6" t="str">
        <f>IFERROR(__xludf.DUMMYFUNCTION("AVERAGE.WEIGHTED($U$1:$AA$1, U5:AA5)"),"#DIV/0!")</f>
        <v>#DIV/0!</v>
      </c>
      <c r="AN5" s="12" t="str">
        <f>IFERROR(__xludf.DUMMYFUNCTION("AVERAGE.WEIGHTED($AB$1:$AH$1, AB5:AH5)"),"#DIV/0!")</f>
        <v>#DIV/0!</v>
      </c>
      <c r="AO5" s="6" t="str">
        <f t="shared" ref="AO5:AQ5" si="18">(AL5-1)*100/6</f>
        <v>#DIV/0!</v>
      </c>
      <c r="AP5" s="6" t="str">
        <f t="shared" si="18"/>
        <v>#DIV/0!</v>
      </c>
      <c r="AQ5" s="6" t="str">
        <f t="shared" si="18"/>
        <v>#DIV/0!</v>
      </c>
      <c r="AR5" s="1" t="str">
        <f t="shared" ref="AR5:AT5" si="19">Average($AO5:$AQ5)</f>
        <v>#DIV/0!</v>
      </c>
      <c r="AS5" s="1" t="str">
        <f t="shared" si="19"/>
        <v>#DIV/0!</v>
      </c>
      <c r="AT5" s="1" t="str">
        <f t="shared" si="19"/>
        <v>#DIV/0!</v>
      </c>
      <c r="AU5" s="7" t="str">
        <f t="shared" si="8"/>
        <v>#DIV/0!</v>
      </c>
      <c r="AV5" s="8">
        <f>countifs('5B'!$G$2:$G$529, AV$1, '5B'!$C$2:$C$529, "Karl")</f>
        <v>2</v>
      </c>
      <c r="AW5" s="8">
        <f>countifs('5B'!$G$2:$G$529, AW$1, '5B'!$C$2:$C$529, "Karl")</f>
        <v>0</v>
      </c>
      <c r="AX5" s="8">
        <f>countifs('5B'!$G$2:$G$529, AX$1, '5B'!$C$2:$C$529, "Karl")</f>
        <v>0</v>
      </c>
      <c r="AY5" s="8">
        <f>countifs('5B'!$G$2:$G$529, AY$1, '5B'!$C$2:$C$529, "Karl")</f>
        <v>0</v>
      </c>
      <c r="AZ5" s="8">
        <f>countifs('5B'!$G$2:$G$529, AZ$1, '5B'!$C$2:$C$529, "Karl")</f>
        <v>0</v>
      </c>
      <c r="BA5" s="8">
        <f>countifs('5B'!$G$2:$G$529, BA$1, '5B'!$C$2:$C$529, "Karl")</f>
        <v>0</v>
      </c>
      <c r="BB5" s="8">
        <f>countifs('5B'!$G$2:$G$529, BB$1, '5B'!$C$2:$C$529, "Karl")</f>
        <v>1</v>
      </c>
      <c r="BC5" s="8">
        <f>countifs('5B'!$G$2:$G$529, BC$1, '5B'!$C$2:$C$529, "Kona")</f>
        <v>15</v>
      </c>
      <c r="BD5" s="8">
        <f>countifs('5B'!$G$2:$G$529, BD$1, '5B'!$C$2:$C$529, "Kona")</f>
        <v>0</v>
      </c>
      <c r="BE5" s="8">
        <f>countifs('5B'!$G$2:$G$529, BE$1, '5B'!$C$2:$C$529, "Kona")</f>
        <v>1</v>
      </c>
      <c r="BF5" s="8">
        <f>countifs('5B'!$G$2:$G$529, BF$1, '5B'!$C$2:$C$529, "Kona")</f>
        <v>0</v>
      </c>
      <c r="BG5" s="8">
        <f>countifs('5B'!$G$2:$G$529, BG$1, '5B'!$C$2:$C$529, "Kona")</f>
        <v>0</v>
      </c>
      <c r="BH5" s="8">
        <f>countifs('5B'!$G$2:$G$529, BH$1, '5B'!$C$2:$C$529, "Kona")</f>
        <v>0</v>
      </c>
      <c r="BI5" s="8">
        <f>countifs('5B'!$G$2:$G$529, BI$1, '5B'!$C$2:$C$529, "Kona")</f>
        <v>0</v>
      </c>
      <c r="BJ5" s="8">
        <f t="shared" si="9"/>
        <v>3</v>
      </c>
      <c r="BK5" s="8">
        <f t="shared" si="10"/>
        <v>16</v>
      </c>
      <c r="BL5" s="6">
        <f>IFERROR(__xludf.DUMMYFUNCTION("AVERAGE.WEIGHTED($AV$1:$BB$1,AV5:BB5)"),3.0)</f>
        <v>3</v>
      </c>
      <c r="BM5" s="6">
        <f>IFERROR(__xludf.DUMMYFUNCTION("AVERAGE.WEIGHTED($BC$1:$BI$1,BC5:BI5)"),1.125)</f>
        <v>1.125</v>
      </c>
      <c r="BN5" s="6">
        <f t="shared" ref="BN5:BO5" si="20">(BL5-1)*100/6</f>
        <v>33.33333333</v>
      </c>
      <c r="BO5" s="6">
        <f t="shared" si="20"/>
        <v>2.083333333</v>
      </c>
      <c r="BP5" s="7">
        <f t="shared" si="12"/>
        <v>17.70833333</v>
      </c>
      <c r="BQ5" s="7">
        <f t="shared" si="13"/>
        <v>17.70833333</v>
      </c>
      <c r="BR5" s="7">
        <f t="shared" si="14"/>
        <v>0.000000151234358</v>
      </c>
    </row>
    <row r="6">
      <c r="A6" s="3">
        <v>5.0</v>
      </c>
      <c r="B6" s="1" t="s">
        <v>35</v>
      </c>
      <c r="C6" s="1">
        <f>countif('5B'!$H$2:$H$614, C$1)</f>
        <v>10</v>
      </c>
      <c r="D6" s="1">
        <f>countif('5B'!$H$2:$H$614, D$1)</f>
        <v>3</v>
      </c>
      <c r="E6" s="1">
        <f>countif('5B'!$H$2:$H$614, E$1)</f>
        <v>0</v>
      </c>
      <c r="F6" s="1">
        <f>countif('5B'!$H$2:$H$614, F$1)</f>
        <v>0</v>
      </c>
      <c r="G6" s="1">
        <f>countif('5B'!$H$2:$H$614, G$1)</f>
        <v>2</v>
      </c>
      <c r="H6" s="1">
        <f>countif('5B'!$H$2:$H$614, H$1)</f>
        <v>1</v>
      </c>
      <c r="I6" s="1">
        <f>countif('5B'!$H$2:$H$614, I$1)</f>
        <v>4</v>
      </c>
      <c r="J6" s="1">
        <f t="shared" si="4"/>
        <v>20</v>
      </c>
      <c r="K6" s="6">
        <f t="shared" si="5"/>
        <v>3</v>
      </c>
      <c r="N6" s="1">
        <f>countifs('5B'!$H$2:$H$614, N$1, '5B'!$B$2:$B$614, "&gt;"&amp;$L$2, '5B'!$B$2:$B$614, "&lt;"&amp;$M$2)</f>
        <v>0</v>
      </c>
      <c r="O6" s="1">
        <f>countifs('5B'!$H$2:$H$614, O$1, '5B'!$B$2:$B$614, "&gt;"&amp;$L$2, '5B'!$B$2:$B$614, "&lt;"&amp;$M$2)</f>
        <v>0</v>
      </c>
      <c r="P6" s="1">
        <f>countifs('5B'!$H$2:$H$614, P$1, '5B'!$B$2:$B$614, "&gt;"&amp;$L$2, '5B'!$B$2:$B$614, "&lt;"&amp;$M$2)</f>
        <v>0</v>
      </c>
      <c r="Q6" s="1">
        <f>countifs('5B'!$H$2:$H$614, Q$1, '5B'!$B$2:$B$614, "&gt;"&amp;$L$2, '5B'!$B$2:$B$614, "&lt;"&amp;$M$2)</f>
        <v>0</v>
      </c>
      <c r="R6" s="1">
        <f>countifs('5B'!$H$2:$H$614, R$1, '5B'!$B$2:$B$614, "&gt;"&amp;$L$2, '5B'!$B$2:$B$614, "&lt;"&amp;$M$2)</f>
        <v>0</v>
      </c>
      <c r="S6" s="1">
        <f>countifs('5B'!$H$2:$H$614, S$1, '5B'!$B$2:$B$614, "&gt;"&amp;$L$2, '5B'!$B$2:$B$614, "&lt;"&amp;$M$2)</f>
        <v>0</v>
      </c>
      <c r="T6" s="1">
        <f>countifs('5B'!$H$2:$H$614, T$1, '5B'!$B$2:$B$614, "&gt;"&amp;$L$2, '5B'!$B$2:$B$614, "&lt;"&amp;$M$2)</f>
        <v>0</v>
      </c>
      <c r="U6" s="1">
        <f>countifs('5B'!$H$2:$H$614, U$1, '5B'!$B$2:$B$614, "&gt;"&amp;$L$3, '5B'!$B$2:$B$614, "&lt;"&amp;$M$3)</f>
        <v>0</v>
      </c>
      <c r="V6" s="1">
        <f>countifs('5B'!$H$2:$H$614, V$1, '5B'!$B$2:$B$614, "&gt;"&amp;$L$3, '5B'!$B$2:$B$614, "&lt;"&amp;$M$3)</f>
        <v>0</v>
      </c>
      <c r="W6" s="1">
        <f>countifs('5B'!$H$2:$H$614, W$1, '5B'!$B$2:$B$614, "&gt;"&amp;$L$3, '5B'!$B$2:$B$614, "&lt;"&amp;$M$3)</f>
        <v>0</v>
      </c>
      <c r="X6" s="1">
        <f>countifs('5B'!$H$2:$H$614, X$1, '5B'!$B$2:$B$614, "&gt;"&amp;$L$3, '5B'!$B$2:$B$614, "&lt;"&amp;$M$3)</f>
        <v>0</v>
      </c>
      <c r="Y6" s="1">
        <f>countifs('5B'!$H$2:$H$614, Y$1, '5B'!$B$2:$B$614, "&gt;"&amp;$L$3, '5B'!$B$2:$B$614, "&lt;"&amp;$M$3)</f>
        <v>0</v>
      </c>
      <c r="Z6" s="1">
        <f>countifs('5B'!$H$2:$H$614, Z$1, '5B'!$B$2:$B$614, "&gt;"&amp;$L$3, '5B'!$B$2:$B$614, "&lt;"&amp;$M$3)</f>
        <v>0</v>
      </c>
      <c r="AA6" s="1">
        <f>countifs('5B'!$H$2:$H$614, AA$1, '5B'!$B$2:$B$614, "&gt;"&amp;$L$3, '5B'!$B$2:$B$614, "&lt;"&amp;$M$3)</f>
        <v>0</v>
      </c>
      <c r="AB6" s="1">
        <f>countifs('5B'!$H$2:$H$614, AB$1, '5B'!$B$2:$B$614, "&gt;"&amp;$L$4, '5B'!$B$2:$B$614, "&lt;"&amp;$M$4)</f>
        <v>0</v>
      </c>
      <c r="AC6" s="1">
        <f>countifs('5B'!$H$2:$H$614, AC$1, '5B'!$B$2:$B$614, "&gt;"&amp;$L$4, '5B'!$B$2:$B$614, "&lt;"&amp;$M$4)</f>
        <v>0</v>
      </c>
      <c r="AD6" s="1">
        <f>countifs('5B'!$H$2:$H$614, AD$1, '5B'!$B$2:$B$614, "&gt;"&amp;$L$4, '5B'!$B$2:$B$614, "&lt;"&amp;$M$4)</f>
        <v>0</v>
      </c>
      <c r="AE6" s="1">
        <f>countifs('5B'!$H$2:$H$614, AE$1, '5B'!$B$2:$B$614, "&gt;"&amp;$L$4, '5B'!$B$2:$B$614, "&lt;"&amp;$M$4)</f>
        <v>0</v>
      </c>
      <c r="AF6" s="1">
        <f>countifs('5B'!$H$2:$H$614, AF$1, '5B'!$B$2:$B$614, "&gt;"&amp;$L$4, '5B'!$B$2:$B$614, "&lt;"&amp;$M$4)</f>
        <v>0</v>
      </c>
      <c r="AG6" s="1">
        <f>countifs('5B'!$H$2:$H$614, AG$1, '5B'!$B$2:$B$614, "&gt;"&amp;$L$4, '5B'!$B$2:$B$614, "&lt;"&amp;$M$4)</f>
        <v>0</v>
      </c>
      <c r="AH6" s="1">
        <f>countifs('5B'!$H$2:$H$614, AH$1, '5B'!$B$2:$B$614, "&gt;"&amp;$L$4, '5B'!$B$2:$B$614, "&lt;"&amp;$M$4)</f>
        <v>0</v>
      </c>
      <c r="AI6" s="3">
        <v>9.0</v>
      </c>
      <c r="AJ6" s="3">
        <v>2.0</v>
      </c>
      <c r="AK6" s="3">
        <v>1.0</v>
      </c>
      <c r="AL6" s="6" t="str">
        <f>IFERROR(__xludf.DUMMYFUNCTION("AVERAGE.WEIGHTED($N$1:$T$1, N6:T6)"),"#DIV/0!")</f>
        <v>#DIV/0!</v>
      </c>
      <c r="AM6" s="6" t="str">
        <f>IFERROR(__xludf.DUMMYFUNCTION("AVERAGE.WEIGHTED($U$1:$AA$1, U6:AA6)"),"#DIV/0!")</f>
        <v>#DIV/0!</v>
      </c>
      <c r="AN6" s="12" t="str">
        <f>IFERROR(__xludf.DUMMYFUNCTION("AVERAGE.WEIGHTED($AB$1:$AH$1, AB6:AH6)"),"#DIV/0!")</f>
        <v>#DIV/0!</v>
      </c>
      <c r="AO6" s="6" t="str">
        <f t="shared" ref="AO6:AQ6" si="21">(AL6-1)*100/6</f>
        <v>#DIV/0!</v>
      </c>
      <c r="AP6" s="6" t="str">
        <f t="shared" si="21"/>
        <v>#DIV/0!</v>
      </c>
      <c r="AQ6" s="6" t="str">
        <f t="shared" si="21"/>
        <v>#DIV/0!</v>
      </c>
      <c r="AR6" s="1" t="str">
        <f t="shared" ref="AR6:AT6" si="22">Average($AO6:$AQ6)</f>
        <v>#DIV/0!</v>
      </c>
      <c r="AS6" s="1" t="str">
        <f t="shared" si="22"/>
        <v>#DIV/0!</v>
      </c>
      <c r="AT6" s="1" t="str">
        <f t="shared" si="22"/>
        <v>#DIV/0!</v>
      </c>
      <c r="AU6" s="7" t="str">
        <f t="shared" si="8"/>
        <v>#DIV/0!</v>
      </c>
      <c r="AV6" s="8">
        <f>countifs('5B'!$H$2:$H$529, AV$1, '5B'!$C$2:$C$529, "Karl")</f>
        <v>1</v>
      </c>
      <c r="AW6" s="8">
        <f>countifs('5B'!$H$2:$H$529, AW$1, '5B'!$C$2:$C$529, "Karl")</f>
        <v>0</v>
      </c>
      <c r="AX6" s="8">
        <f>countifs('5B'!$H$2:$H$529, AX$1, '5B'!$C$2:$C$529, "Karl")</f>
        <v>0</v>
      </c>
      <c r="AY6" s="8">
        <f>countifs('5B'!$H$2:$H$529, AY$1, '5B'!$C$2:$C$529, "Karl")</f>
        <v>0</v>
      </c>
      <c r="AZ6" s="8">
        <f>countifs('5B'!$H$2:$H$529, AZ$1, '5B'!$C$2:$C$529, "Karl")</f>
        <v>0</v>
      </c>
      <c r="BA6" s="8">
        <f>countifs('5B'!$H$2:$H$529, BA$1, '5B'!$C$2:$C$529, "Karl")</f>
        <v>0</v>
      </c>
      <c r="BB6" s="8">
        <f>countifs('5B'!$H$2:$H$529, BB$1, '5B'!$C$2:$C$529, "Karl")</f>
        <v>2</v>
      </c>
      <c r="BC6" s="8">
        <f>countifs('5B'!$H$2:$H$529, BC$1, '5B'!$C$2:$C$529, "Kona")</f>
        <v>9</v>
      </c>
      <c r="BD6" s="8">
        <f>countifs('5B'!$H$2:$H$529, BD$1, '5B'!$C$2:$C$529, "Kona")</f>
        <v>2</v>
      </c>
      <c r="BE6" s="8">
        <f>countifs('5B'!$H$2:$H$529, BE$1, '5B'!$C$2:$C$529, "Kona")</f>
        <v>0</v>
      </c>
      <c r="BF6" s="8">
        <f>countifs('5B'!$H$2:$H$529, BF$1, '5B'!$C$2:$C$529, "Kona")</f>
        <v>0</v>
      </c>
      <c r="BG6" s="8">
        <f>countifs('5B'!$H$2:$H$529, BG$1, '5B'!$C$2:$C$529, "Kona")</f>
        <v>2</v>
      </c>
      <c r="BH6" s="8">
        <f>countifs('5B'!$H$2:$H$529, BH$1, '5B'!$C$2:$C$529, "Kona")</f>
        <v>1</v>
      </c>
      <c r="BI6" s="8">
        <f>countifs('5B'!$H$2:$H$529, BI$1, '5B'!$C$2:$C$529, "Kona")</f>
        <v>2</v>
      </c>
      <c r="BJ6" s="8">
        <f t="shared" si="9"/>
        <v>3</v>
      </c>
      <c r="BK6" s="8">
        <f t="shared" si="10"/>
        <v>16</v>
      </c>
      <c r="BL6" s="6">
        <f>IFERROR(__xludf.DUMMYFUNCTION("AVERAGE.WEIGHTED($AV$1:$BB$1,AV6:BB6)"),5.0)</f>
        <v>5</v>
      </c>
      <c r="BM6" s="6">
        <f>IFERROR(__xludf.DUMMYFUNCTION("AVERAGE.WEIGHTED($BC$1:$BI$1,BC6:BI6)"),2.6875)</f>
        <v>2.6875</v>
      </c>
      <c r="BN6" s="6">
        <f t="shared" ref="BN6:BO6" si="23">(BL6-1)*100/6</f>
        <v>66.66666667</v>
      </c>
      <c r="BO6" s="6">
        <f t="shared" si="23"/>
        <v>28.125</v>
      </c>
      <c r="BP6" s="7">
        <f t="shared" si="12"/>
        <v>47.39583333</v>
      </c>
      <c r="BQ6" s="7">
        <f t="shared" si="13"/>
        <v>47.39583333</v>
      </c>
      <c r="BR6" s="7">
        <f t="shared" si="14"/>
        <v>0.00007537947037</v>
      </c>
    </row>
    <row r="7">
      <c r="A7" s="3">
        <v>6.0</v>
      </c>
      <c r="B7" s="1" t="s">
        <v>36</v>
      </c>
      <c r="C7" s="1">
        <f>countif('5B'!$I$2:$I$614, C$1)</f>
        <v>1</v>
      </c>
      <c r="D7" s="1">
        <f>countif('5B'!$I$2:$I$614, D$1)</f>
        <v>4</v>
      </c>
      <c r="E7" s="1">
        <f>countif('5B'!$I$2:$I$614, E$1)</f>
        <v>0</v>
      </c>
      <c r="F7" s="1">
        <f>countif('5B'!$I$2:$I$614, F$1)</f>
        <v>1</v>
      </c>
      <c r="G7" s="1">
        <f>countif('5B'!$I$2:$I$614, G$1)</f>
        <v>2</v>
      </c>
      <c r="H7" s="1">
        <f>countif('5B'!$I$2:$I$614, H$1)</f>
        <v>3</v>
      </c>
      <c r="I7" s="1">
        <f>countif('5B'!$I$2:$I$614, I$1)</f>
        <v>9</v>
      </c>
      <c r="J7" s="1">
        <f t="shared" si="4"/>
        <v>20</v>
      </c>
      <c r="K7" s="6">
        <f t="shared" si="5"/>
        <v>5.2</v>
      </c>
      <c r="N7" s="1">
        <f>countifs('5B'!$I$2:$I$614, N$1, '5B'!$B$2:$B$614, "&gt;"&amp;$L$2, '5B'!$B$2:$B$614, "&lt;"&amp;$M$2)</f>
        <v>0</v>
      </c>
      <c r="O7" s="1">
        <f>countifs('5B'!$I$2:$I$614, O$1, '5B'!$B$2:$B$614, "&gt;"&amp;$L$2, '5B'!$B$2:$B$614, "&lt;"&amp;$M$2)</f>
        <v>0</v>
      </c>
      <c r="P7" s="1">
        <f>countifs('5B'!$I$2:$I$614, P$1, '5B'!$B$2:$B$614, "&gt;"&amp;$L$2, '5B'!$B$2:$B$614, "&lt;"&amp;$M$2)</f>
        <v>0</v>
      </c>
      <c r="Q7" s="1">
        <f>countifs('5B'!$I$2:$I$614, Q$1, '5B'!$B$2:$B$614, "&gt;"&amp;$L$2, '5B'!$B$2:$B$614, "&lt;"&amp;$M$2)</f>
        <v>0</v>
      </c>
      <c r="R7" s="1">
        <f>countifs('5B'!$I$2:$I$614, R$1, '5B'!$B$2:$B$614, "&gt;"&amp;$L$2, '5B'!$B$2:$B$614, "&lt;"&amp;$M$2)</f>
        <v>0</v>
      </c>
      <c r="S7" s="1">
        <f>countifs('5B'!$I$2:$I$614, S$1, '5B'!$B$2:$B$614, "&gt;"&amp;$L$2, '5B'!$B$2:$B$614, "&lt;"&amp;$M$2)</f>
        <v>0</v>
      </c>
      <c r="T7" s="1">
        <f>countifs('5B'!$I$2:$I$614, T$1, '5B'!$B$2:$B$614, "&gt;"&amp;$L$2, '5B'!$B$2:$B$614, "&lt;"&amp;$M$2)</f>
        <v>0</v>
      </c>
      <c r="U7" s="1">
        <f>countifs('5B'!$I$2:$I$614, U$1, '5B'!$B$2:$B$614, "&gt;"&amp;$L$3, '5B'!$B$2:$B$614, "&lt;"&amp;$M$3)</f>
        <v>0</v>
      </c>
      <c r="V7" s="1">
        <f>countifs('5B'!$I$2:$I$614, V$1, '5B'!$B$2:$B$614, "&gt;"&amp;$L$3, '5B'!$B$2:$B$614, "&lt;"&amp;$M$3)</f>
        <v>0</v>
      </c>
      <c r="W7" s="1">
        <f>countifs('5B'!$I$2:$I$614, W$1, '5B'!$B$2:$B$614, "&gt;"&amp;$L$3, '5B'!$B$2:$B$614, "&lt;"&amp;$M$3)</f>
        <v>0</v>
      </c>
      <c r="X7" s="1">
        <f>countifs('5B'!$I$2:$I$614, X$1, '5B'!$B$2:$B$614, "&gt;"&amp;$L$3, '5B'!$B$2:$B$614, "&lt;"&amp;$M$3)</f>
        <v>0</v>
      </c>
      <c r="Y7" s="1">
        <f>countifs('5B'!$I$2:$I$614, Y$1, '5B'!$B$2:$B$614, "&gt;"&amp;$L$3, '5B'!$B$2:$B$614, "&lt;"&amp;$M$3)</f>
        <v>0</v>
      </c>
      <c r="Z7" s="1">
        <f>countifs('5B'!$I$2:$I$614, Z$1, '5B'!$B$2:$B$614, "&gt;"&amp;$L$3, '5B'!$B$2:$B$614, "&lt;"&amp;$M$3)</f>
        <v>0</v>
      </c>
      <c r="AA7" s="1">
        <f>countifs('5B'!$I$2:$I$614, AA$1, '5B'!$B$2:$B$614, "&gt;"&amp;$L$3, '5B'!$B$2:$B$614, "&lt;"&amp;$M$3)</f>
        <v>0</v>
      </c>
      <c r="AB7" s="1">
        <f>countifs('5B'!$I$2:$I$614, AB$1, '5B'!$B$2:$B$614, "&gt;"&amp;$L$4, '5B'!$B$2:$B$614, "&lt;"&amp;$M$4)</f>
        <v>0</v>
      </c>
      <c r="AC7" s="1">
        <f>countifs('5B'!$I$2:$I$614, AC$1, '5B'!$B$2:$B$614, "&gt;"&amp;$L$4, '5B'!$B$2:$B$614, "&lt;"&amp;$M$4)</f>
        <v>0</v>
      </c>
      <c r="AD7" s="1">
        <f>countifs('5B'!$I$2:$I$614, AD$1, '5B'!$B$2:$B$614, "&gt;"&amp;$L$4, '5B'!$B$2:$B$614, "&lt;"&amp;$M$4)</f>
        <v>0</v>
      </c>
      <c r="AE7" s="1">
        <f>countifs('5B'!$I$2:$I$614, AE$1, '5B'!$B$2:$B$614, "&gt;"&amp;$L$4, '5B'!$B$2:$B$614, "&lt;"&amp;$M$4)</f>
        <v>0</v>
      </c>
      <c r="AF7" s="1">
        <f>countifs('5B'!$I$2:$I$614, AF$1, '5B'!$B$2:$B$614, "&gt;"&amp;$L$4, '5B'!$B$2:$B$614, "&lt;"&amp;$M$4)</f>
        <v>0</v>
      </c>
      <c r="AG7" s="1">
        <f>countifs('5B'!$I$2:$I$614, AG$1, '5B'!$B$2:$B$614, "&gt;"&amp;$L$4, '5B'!$B$2:$B$614, "&lt;"&amp;$M$4)</f>
        <v>0</v>
      </c>
      <c r="AH7" s="1">
        <f>countifs('5B'!$I$2:$I$614, AH$1, '5B'!$B$2:$B$614, "&gt;"&amp;$L$4, '5B'!$B$2:$B$614, "&lt;"&amp;$M$4)</f>
        <v>0</v>
      </c>
      <c r="AI7" s="3">
        <v>9.0</v>
      </c>
      <c r="AJ7" s="3">
        <v>2.0</v>
      </c>
      <c r="AK7" s="3">
        <v>1.0</v>
      </c>
      <c r="AL7" s="6" t="str">
        <f>IFERROR(__xludf.DUMMYFUNCTION("AVERAGE.WEIGHTED($N$1:$T$1, N7:T7)"),"#DIV/0!")</f>
        <v>#DIV/0!</v>
      </c>
      <c r="AM7" s="6" t="str">
        <f>IFERROR(__xludf.DUMMYFUNCTION("AVERAGE.WEIGHTED($U$1:$AA$1, U7:AA7)"),"#DIV/0!")</f>
        <v>#DIV/0!</v>
      </c>
      <c r="AN7" s="12" t="str">
        <f>IFERROR(__xludf.DUMMYFUNCTION("AVERAGE.WEIGHTED($AB$1:$AH$1, AB7:AH7)"),"#DIV/0!")</f>
        <v>#DIV/0!</v>
      </c>
      <c r="AO7" s="6" t="str">
        <f t="shared" ref="AO7:AQ7" si="24">(AL7-1)*100/6</f>
        <v>#DIV/0!</v>
      </c>
      <c r="AP7" s="6" t="str">
        <f t="shared" si="24"/>
        <v>#DIV/0!</v>
      </c>
      <c r="AQ7" s="6" t="str">
        <f t="shared" si="24"/>
        <v>#DIV/0!</v>
      </c>
      <c r="AR7" s="1" t="str">
        <f t="shared" ref="AR7:AT7" si="25">Average($AO7:$AQ7)</f>
        <v>#DIV/0!</v>
      </c>
      <c r="AS7" s="1" t="str">
        <f t="shared" si="25"/>
        <v>#DIV/0!</v>
      </c>
      <c r="AT7" s="1" t="str">
        <f t="shared" si="25"/>
        <v>#DIV/0!</v>
      </c>
      <c r="AU7" s="7" t="str">
        <f t="shared" si="8"/>
        <v>#DIV/0!</v>
      </c>
      <c r="AV7" s="8">
        <f>countifs('5B'!$I$2:$I$529, AV$1, '5B'!$C$2:$C$529, "Karl")</f>
        <v>0</v>
      </c>
      <c r="AW7" s="8">
        <f>countifs('5B'!$I$2:$I$529, AW$1, '5B'!$C$2:$C$529, "Karl")</f>
        <v>2</v>
      </c>
      <c r="AX7" s="8">
        <f>countifs('5B'!$I$2:$I$529, AX$1, '5B'!$C$2:$C$529, "Karl")</f>
        <v>0</v>
      </c>
      <c r="AY7" s="8">
        <f>countifs('5B'!$I$2:$I$529, AY$1, '5B'!$C$2:$C$529, "Karl")</f>
        <v>0</v>
      </c>
      <c r="AZ7" s="8">
        <f>countifs('5B'!$I$2:$I$529, AZ$1, '5B'!$C$2:$C$529, "Karl")</f>
        <v>0</v>
      </c>
      <c r="BA7" s="8">
        <f>countifs('5B'!$I$2:$I$529, BA$1, '5B'!$C$2:$C$529, "Karl")</f>
        <v>0</v>
      </c>
      <c r="BB7" s="8">
        <f>countifs('5B'!$I$2:$I$529, BB$1, '5B'!$C$2:$C$529, "Karl")</f>
        <v>1</v>
      </c>
      <c r="BC7" s="8">
        <f>countifs('5B'!$I$2:$I$529, BC$1, '5B'!$C$2:$C$529, "Kona")</f>
        <v>1</v>
      </c>
      <c r="BD7" s="8">
        <f>countifs('5B'!$I$2:$I$529, BD$1, '5B'!$C$2:$C$529, "Kona")</f>
        <v>2</v>
      </c>
      <c r="BE7" s="8">
        <f>countifs('5B'!$I$2:$I$529, BE$1, '5B'!$C$2:$C$529, "Kona")</f>
        <v>0</v>
      </c>
      <c r="BF7" s="8">
        <f>countifs('5B'!$I$2:$I$529, BF$1, '5B'!$C$2:$C$529, "Kona")</f>
        <v>1</v>
      </c>
      <c r="BG7" s="8">
        <f>countifs('5B'!$I$2:$I$529, BG$1, '5B'!$C$2:$C$529, "Kona")</f>
        <v>2</v>
      </c>
      <c r="BH7" s="8">
        <f>countifs('5B'!$I$2:$I$529, BH$1, '5B'!$C$2:$C$529, "Kona")</f>
        <v>2</v>
      </c>
      <c r="BI7" s="8">
        <f>countifs('5B'!$I$2:$I$529, BI$1, '5B'!$C$2:$C$529, "Kona")</f>
        <v>8</v>
      </c>
      <c r="BJ7" s="8">
        <f t="shared" si="9"/>
        <v>3</v>
      </c>
      <c r="BK7" s="8">
        <f t="shared" si="10"/>
        <v>16</v>
      </c>
      <c r="BL7" s="6">
        <f>IFERROR(__xludf.DUMMYFUNCTION("AVERAGE.WEIGHTED($AV$1:$BB$1,AV7:BB7)"),3.6666666666666665)</f>
        <v>3.666666667</v>
      </c>
      <c r="BM7" s="6">
        <f>IFERROR(__xludf.DUMMYFUNCTION("AVERAGE.WEIGHTED($BC$1:$BI$1,BC7:BI7)"),5.4375)</f>
        <v>5.4375</v>
      </c>
      <c r="BN7" s="6">
        <f t="shared" ref="BN7:BO7" si="26">(BL7-1)*100/6</f>
        <v>44.44444444</v>
      </c>
      <c r="BO7" s="6">
        <f t="shared" si="26"/>
        <v>73.95833333</v>
      </c>
      <c r="BP7" s="7">
        <f t="shared" si="12"/>
        <v>59.20138889</v>
      </c>
      <c r="BQ7" s="7">
        <f t="shared" si="13"/>
        <v>59.20138889</v>
      </c>
      <c r="BR7" s="7">
        <f t="shared" si="14"/>
        <v>0.006680830953</v>
      </c>
    </row>
    <row r="8">
      <c r="A8" s="3">
        <v>7.0</v>
      </c>
      <c r="B8" s="1" t="s">
        <v>37</v>
      </c>
      <c r="C8" s="1">
        <f>countif('5B'!$J$2:$J$614, C$1)</f>
        <v>7</v>
      </c>
      <c r="D8" s="1">
        <f>countif('5B'!$J$2:$J$614, D$1)</f>
        <v>7</v>
      </c>
      <c r="E8" s="1">
        <f>countif('5B'!$J$2:$J$614, E$1)</f>
        <v>1</v>
      </c>
      <c r="F8" s="1">
        <f>countif('5B'!$J$2:$J$614, F$1)</f>
        <v>0</v>
      </c>
      <c r="G8" s="1">
        <f>countif('5B'!$J$2:$J$614, G$1)</f>
        <v>2</v>
      </c>
      <c r="H8" s="1">
        <f>countif('5B'!$J$2:$J$614, H$1)</f>
        <v>1</v>
      </c>
      <c r="I8" s="1">
        <f>countif('5B'!$J$2:$J$614, I$1)</f>
        <v>2</v>
      </c>
      <c r="J8" s="1">
        <f t="shared" si="4"/>
        <v>20</v>
      </c>
      <c r="K8" s="6">
        <f t="shared" si="5"/>
        <v>2.7</v>
      </c>
      <c r="N8" s="1">
        <f>countifs('5B'!$J$2:$J$614, N$1, '5B'!$B$2:$B$614, "&gt;"&amp;$L$2, '5B'!$B$2:$B$614, "&lt;"&amp;$M$2)</f>
        <v>0</v>
      </c>
      <c r="O8" s="1">
        <f>countifs('5B'!$J$2:$J$614, O$1, '5B'!$B$2:$B$614, "&gt;"&amp;$L$2, '5B'!$B$2:$B$614, "&lt;"&amp;$M$2)</f>
        <v>0</v>
      </c>
      <c r="P8" s="1">
        <f>countifs('5B'!$J$2:$J$614, P$1, '5B'!$B$2:$B$614, "&gt;"&amp;$L$2, '5B'!$B$2:$B$614, "&lt;"&amp;$M$2)</f>
        <v>0</v>
      </c>
      <c r="Q8" s="1">
        <f>countifs('5B'!$J$2:$J$614, Q$1, '5B'!$B$2:$B$614, "&gt;"&amp;$L$2, '5B'!$B$2:$B$614, "&lt;"&amp;$M$2)</f>
        <v>0</v>
      </c>
      <c r="R8" s="1">
        <f>countifs('5B'!$J$2:$J$614, R$1, '5B'!$B$2:$B$614, "&gt;"&amp;$L$2, '5B'!$B$2:$B$614, "&lt;"&amp;$M$2)</f>
        <v>0</v>
      </c>
      <c r="S8" s="1">
        <f>countifs('5B'!$J$2:$J$614, S$1, '5B'!$B$2:$B$614, "&gt;"&amp;$L$2, '5B'!$B$2:$B$614, "&lt;"&amp;$M$2)</f>
        <v>0</v>
      </c>
      <c r="T8" s="1">
        <f>countifs('5B'!$J$2:$J$614, T$1, '5B'!$B$2:$B$614, "&gt;"&amp;$L$2, '5B'!$B$2:$B$614, "&lt;"&amp;$M$2)</f>
        <v>0</v>
      </c>
      <c r="U8" s="1">
        <f>countifs('5B'!$J$2:$J$614, U$1, '5B'!$B$2:$B$614, "&gt;"&amp;$L$3, '5B'!$B$2:$B$614, "&lt;"&amp;$M$3)</f>
        <v>0</v>
      </c>
      <c r="V8" s="1">
        <f>countifs('5B'!$J$2:$J$614, V$1, '5B'!$B$2:$B$614, "&gt;"&amp;$L$3, '5B'!$B$2:$B$614, "&lt;"&amp;$M$3)</f>
        <v>0</v>
      </c>
      <c r="W8" s="1">
        <f>countifs('5B'!$J$2:$J$614, W$1, '5B'!$B$2:$B$614, "&gt;"&amp;$L$3, '5B'!$B$2:$B$614, "&lt;"&amp;$M$3)</f>
        <v>0</v>
      </c>
      <c r="X8" s="1">
        <f>countifs('5B'!$J$2:$J$614, X$1, '5B'!$B$2:$B$614, "&gt;"&amp;$L$3, '5B'!$B$2:$B$614, "&lt;"&amp;$M$3)</f>
        <v>0</v>
      </c>
      <c r="Y8" s="1">
        <f>countifs('5B'!$J$2:$J$614, Y$1, '5B'!$B$2:$B$614, "&gt;"&amp;$L$3, '5B'!$B$2:$B$614, "&lt;"&amp;$M$3)</f>
        <v>0</v>
      </c>
      <c r="Z8" s="1">
        <f>countifs('5B'!$J$2:$J$614, Z$1, '5B'!$B$2:$B$614, "&gt;"&amp;$L$3, '5B'!$B$2:$B$614, "&lt;"&amp;$M$3)</f>
        <v>0</v>
      </c>
      <c r="AA8" s="1">
        <f>countifs('5B'!$J$2:$J$614, AA$1, '5B'!$B$2:$B$614, "&gt;"&amp;$L$3, '5B'!$B$2:$B$614, "&lt;"&amp;$M$3)</f>
        <v>0</v>
      </c>
      <c r="AB8" s="1">
        <f>countifs('5B'!$J$2:$J$614, AB$1, '5B'!$B$2:$B$614, "&gt;"&amp;$L$4, '5B'!$B$2:$B$614, "&lt;"&amp;$M$4)</f>
        <v>0</v>
      </c>
      <c r="AC8" s="1">
        <f>countifs('5B'!$J$2:$J$614, AC$1, '5B'!$B$2:$B$614, "&gt;"&amp;$L$4, '5B'!$B$2:$B$614, "&lt;"&amp;$M$4)</f>
        <v>0</v>
      </c>
      <c r="AD8" s="1">
        <f>countifs('5B'!$J$2:$J$614, AD$1, '5B'!$B$2:$B$614, "&gt;"&amp;$L$4, '5B'!$B$2:$B$614, "&lt;"&amp;$M$4)</f>
        <v>0</v>
      </c>
      <c r="AE8" s="1">
        <f>countifs('5B'!$J$2:$J$614, AE$1, '5B'!$B$2:$B$614, "&gt;"&amp;$L$4, '5B'!$B$2:$B$614, "&lt;"&amp;$M$4)</f>
        <v>0</v>
      </c>
      <c r="AF8" s="1">
        <f>countifs('5B'!$J$2:$J$614, AF$1, '5B'!$B$2:$B$614, "&gt;"&amp;$L$4, '5B'!$B$2:$B$614, "&lt;"&amp;$M$4)</f>
        <v>0</v>
      </c>
      <c r="AG8" s="1">
        <f>countifs('5B'!$J$2:$J$614, AG$1, '5B'!$B$2:$B$614, "&gt;"&amp;$L$4, '5B'!$B$2:$B$614, "&lt;"&amp;$M$4)</f>
        <v>0</v>
      </c>
      <c r="AH8" s="1">
        <f>countifs('5B'!$J$2:$J$614, AH$1, '5B'!$B$2:$B$614, "&gt;"&amp;$L$4, '5B'!$B$2:$B$614, "&lt;"&amp;$M$4)</f>
        <v>0</v>
      </c>
      <c r="AI8" s="3">
        <v>9.0</v>
      </c>
      <c r="AJ8" s="3">
        <v>2.0</v>
      </c>
      <c r="AK8" s="3">
        <v>1.0</v>
      </c>
      <c r="AL8" s="6" t="str">
        <f>IFERROR(__xludf.DUMMYFUNCTION("AVERAGE.WEIGHTED($N$1:$T$1, N8:T8)"),"#DIV/0!")</f>
        <v>#DIV/0!</v>
      </c>
      <c r="AM8" s="6" t="str">
        <f>IFERROR(__xludf.DUMMYFUNCTION("AVERAGE.WEIGHTED($U$1:$AA$1, U8:AA8)"),"#DIV/0!")</f>
        <v>#DIV/0!</v>
      </c>
      <c r="AN8" s="12" t="str">
        <f>IFERROR(__xludf.DUMMYFUNCTION("AVERAGE.WEIGHTED($AB$1:$AH$1, AB8:AH8)"),"#DIV/0!")</f>
        <v>#DIV/0!</v>
      </c>
      <c r="AO8" s="6" t="str">
        <f t="shared" ref="AO8:AQ8" si="27">(AL8-1)*100/6</f>
        <v>#DIV/0!</v>
      </c>
      <c r="AP8" s="6" t="str">
        <f t="shared" si="27"/>
        <v>#DIV/0!</v>
      </c>
      <c r="AQ8" s="6" t="str">
        <f t="shared" si="27"/>
        <v>#DIV/0!</v>
      </c>
      <c r="AR8" s="1" t="str">
        <f t="shared" ref="AR8:AT8" si="28">Average($AO8:$AQ8)</f>
        <v>#DIV/0!</v>
      </c>
      <c r="AS8" s="1" t="str">
        <f t="shared" si="28"/>
        <v>#DIV/0!</v>
      </c>
      <c r="AT8" s="1" t="str">
        <f t="shared" si="28"/>
        <v>#DIV/0!</v>
      </c>
      <c r="AU8" s="7" t="str">
        <f t="shared" si="8"/>
        <v>#DIV/0!</v>
      </c>
      <c r="AV8" s="8">
        <f>countifs('5B'!$J$2:$J$529, AV$1, '5B'!$C$2:$C$529, "Karl")</f>
        <v>1</v>
      </c>
      <c r="AW8" s="8">
        <f>countifs('5B'!$J$2:$J$529, AW$1, '5B'!$C$2:$C$529, "Karl")</f>
        <v>1</v>
      </c>
      <c r="AX8" s="8">
        <f>countifs('5B'!$J$2:$J$529, AX$1, '5B'!$C$2:$C$529, "Karl")</f>
        <v>0</v>
      </c>
      <c r="AY8" s="8">
        <f>countifs('5B'!$J$2:$J$529, AY$1, '5B'!$C$2:$C$529, "Karl")</f>
        <v>0</v>
      </c>
      <c r="AZ8" s="8">
        <f>countifs('5B'!$J$2:$J$529, AZ$1, '5B'!$C$2:$C$529, "Karl")</f>
        <v>0</v>
      </c>
      <c r="BA8" s="8">
        <f>countifs('5B'!$J$2:$J$529, BA$1, '5B'!$C$2:$C$529, "Karl")</f>
        <v>0</v>
      </c>
      <c r="BB8" s="8">
        <f>countifs('5B'!$J$2:$J$529, BB$1, '5B'!$C$2:$C$529, "Karl")</f>
        <v>1</v>
      </c>
      <c r="BC8" s="8">
        <f>countifs('5B'!$J$2:$J$529, BC$1, '5B'!$C$2:$C$529, "Kona")</f>
        <v>6</v>
      </c>
      <c r="BD8" s="8">
        <f>countifs('5B'!$J$2:$J$529, BD$1, '5B'!$C$2:$C$529, "Kona")</f>
        <v>6</v>
      </c>
      <c r="BE8" s="8">
        <f>countifs('5B'!$J$2:$J$529, BE$1, '5B'!$C$2:$C$529, "Kona")</f>
        <v>1</v>
      </c>
      <c r="BF8" s="8">
        <f>countifs('5B'!$J$2:$J$529, BF$1, '5B'!$C$2:$C$529, "Kona")</f>
        <v>0</v>
      </c>
      <c r="BG8" s="8">
        <f>countifs('5B'!$J$2:$J$529, BG$1, '5B'!$C$2:$C$529, "Kona")</f>
        <v>1</v>
      </c>
      <c r="BH8" s="8">
        <f>countifs('5B'!$J$2:$J$529, BH$1, '5B'!$C$2:$C$529, "Kona")</f>
        <v>1</v>
      </c>
      <c r="BI8" s="8">
        <f>countifs('5B'!$J$2:$J$529, BI$1, '5B'!$C$2:$C$529, "Kona")</f>
        <v>1</v>
      </c>
      <c r="BJ8" s="8">
        <f t="shared" si="9"/>
        <v>3</v>
      </c>
      <c r="BK8" s="8">
        <f t="shared" si="10"/>
        <v>16</v>
      </c>
      <c r="BL8" s="6">
        <f>IFERROR(__xludf.DUMMYFUNCTION("AVERAGE.WEIGHTED($AV$1:$BB$1,AV8:BB8)"),3.3333333333333335)</f>
        <v>3.333333333</v>
      </c>
      <c r="BM8" s="6">
        <f>IFERROR(__xludf.DUMMYFUNCTION("AVERAGE.WEIGHTED($BC$1:$BI$1,BC8:BI8)"),2.4375)</f>
        <v>2.4375</v>
      </c>
      <c r="BN8" s="6">
        <f t="shared" ref="BN8:BO8" si="29">(BL8-1)*100/6</f>
        <v>38.88888889</v>
      </c>
      <c r="BO8" s="6">
        <f t="shared" si="29"/>
        <v>23.95833333</v>
      </c>
      <c r="BP8" s="7">
        <f t="shared" si="12"/>
        <v>31.42361111</v>
      </c>
      <c r="BQ8" s="7">
        <f t="shared" si="13"/>
        <v>31.42361111</v>
      </c>
      <c r="BR8" s="7">
        <f t="shared" si="14"/>
        <v>0.05965184283</v>
      </c>
    </row>
    <row r="9">
      <c r="A9" s="3">
        <v>8.0</v>
      </c>
      <c r="B9" s="1" t="s">
        <v>38</v>
      </c>
      <c r="C9" s="1">
        <f>countif('5B'!$K$2:$K$614, C$1)</f>
        <v>18</v>
      </c>
      <c r="D9" s="1">
        <f>countif('5B'!$K$2:$K$614, D$1)</f>
        <v>1</v>
      </c>
      <c r="E9" s="1">
        <f>countif('5B'!$K$2:$K$614, E$1)</f>
        <v>0</v>
      </c>
      <c r="F9" s="1">
        <f>countif('5B'!$K$2:$K$614, F$1)</f>
        <v>0</v>
      </c>
      <c r="G9" s="1">
        <f>countif('5B'!$K$2:$K$614, G$1)</f>
        <v>1</v>
      </c>
      <c r="H9" s="1">
        <f>countif('5B'!$K$2:$K$614, H$1)</f>
        <v>0</v>
      </c>
      <c r="I9" s="1">
        <f>countif('5B'!$K$2:$K$614, I$1)</f>
        <v>0</v>
      </c>
      <c r="J9" s="1">
        <f t="shared" si="4"/>
        <v>20</v>
      </c>
      <c r="K9" s="6">
        <f t="shared" si="5"/>
        <v>1.25</v>
      </c>
      <c r="N9" s="1">
        <f>countifs('5B'!$K$2:$K$614, N$1, '5B'!$B$2:$B$614, "&gt;"&amp;$L$2, '5B'!$B$2:$B$614, "&lt;"&amp;$M$2)</f>
        <v>0</v>
      </c>
      <c r="O9" s="1">
        <f>countifs('5B'!$K$2:$K$614, O$1, '5B'!$B$2:$B$614, "&gt;"&amp;$L$2, '5B'!$B$2:$B$614, "&lt;"&amp;$M$2)</f>
        <v>0</v>
      </c>
      <c r="P9" s="1">
        <f>countifs('5B'!$K$2:$K$614, P$1, '5B'!$B$2:$B$614, "&gt;"&amp;$L$2, '5B'!$B$2:$B$614, "&lt;"&amp;$M$2)</f>
        <v>0</v>
      </c>
      <c r="Q9" s="1">
        <f>countifs('5B'!$K$2:$K$614, Q$1, '5B'!$B$2:$B$614, "&gt;"&amp;$L$2, '5B'!$B$2:$B$614, "&lt;"&amp;$M$2)</f>
        <v>0</v>
      </c>
      <c r="R9" s="1">
        <f>countifs('5B'!$K$2:$K$614, R$1, '5B'!$B$2:$B$614, "&gt;"&amp;$L$2, '5B'!$B$2:$B$614, "&lt;"&amp;$M$2)</f>
        <v>0</v>
      </c>
      <c r="S9" s="1">
        <f>countifs('5B'!$K$2:$K$614, S$1, '5B'!$B$2:$B$614, "&gt;"&amp;$L$2, '5B'!$B$2:$B$614, "&lt;"&amp;$M$2)</f>
        <v>0</v>
      </c>
      <c r="T9" s="1">
        <f>countifs('5B'!$K$2:$K$614, T$1, '5B'!$B$2:$B$614, "&gt;"&amp;$L$2, '5B'!$B$2:$B$614, "&lt;"&amp;$M$2)</f>
        <v>0</v>
      </c>
      <c r="U9" s="1">
        <f>countifs('5B'!$K$2:$K$614, U$1, '5B'!$B$2:$B$614, "&gt;"&amp;$L$3, '5B'!$B$2:$B$614, "&lt;"&amp;$M$3)</f>
        <v>0</v>
      </c>
      <c r="V9" s="1">
        <f>countifs('5B'!$K$2:$K$614, V$1, '5B'!$B$2:$B$614, "&gt;"&amp;$L$3, '5B'!$B$2:$B$614, "&lt;"&amp;$M$3)</f>
        <v>0</v>
      </c>
      <c r="W9" s="1">
        <f>countifs('5B'!$K$2:$K$614, W$1, '5B'!$B$2:$B$614, "&gt;"&amp;$L$3, '5B'!$B$2:$B$614, "&lt;"&amp;$M$3)</f>
        <v>0</v>
      </c>
      <c r="X9" s="1">
        <f>countifs('5B'!$K$2:$K$614, X$1, '5B'!$B$2:$B$614, "&gt;"&amp;$L$3, '5B'!$B$2:$B$614, "&lt;"&amp;$M$3)</f>
        <v>0</v>
      </c>
      <c r="Y9" s="1">
        <f>countifs('5B'!$K$2:$K$614, Y$1, '5B'!$B$2:$B$614, "&gt;"&amp;$L$3, '5B'!$B$2:$B$614, "&lt;"&amp;$M$3)</f>
        <v>0</v>
      </c>
      <c r="Z9" s="1">
        <f>countifs('5B'!$K$2:$K$614, Z$1, '5B'!$B$2:$B$614, "&gt;"&amp;$L$3, '5B'!$B$2:$B$614, "&lt;"&amp;$M$3)</f>
        <v>0</v>
      </c>
      <c r="AA9" s="1">
        <f>countifs('5B'!$K$2:$K$614, AA$1, '5B'!$B$2:$B$614, "&gt;"&amp;$L$3, '5B'!$B$2:$B$614, "&lt;"&amp;$M$3)</f>
        <v>0</v>
      </c>
      <c r="AB9" s="1">
        <f>countifs('5B'!$K$2:$K$614, AB$1, '5B'!$B$2:$B$614, "&gt;"&amp;$L$4, '5B'!$B$2:$B$614, "&lt;"&amp;$M$4)</f>
        <v>0</v>
      </c>
      <c r="AC9" s="1">
        <f>countifs('5B'!$K$2:$K$614, AC$1, '5B'!$B$2:$B$614, "&gt;"&amp;$L$4, '5B'!$B$2:$B$614, "&lt;"&amp;$M$4)</f>
        <v>0</v>
      </c>
      <c r="AD9" s="1">
        <f>countifs('5B'!$K$2:$K$614, AD$1, '5B'!$B$2:$B$614, "&gt;"&amp;$L$4, '5B'!$B$2:$B$614, "&lt;"&amp;$M$4)</f>
        <v>0</v>
      </c>
      <c r="AE9" s="1">
        <f>countifs('5B'!$K$2:$K$614, AE$1, '5B'!$B$2:$B$614, "&gt;"&amp;$L$4, '5B'!$B$2:$B$614, "&lt;"&amp;$M$4)</f>
        <v>0</v>
      </c>
      <c r="AF9" s="1">
        <f>countifs('5B'!$K$2:$K$614, AF$1, '5B'!$B$2:$B$614, "&gt;"&amp;$L$4, '5B'!$B$2:$B$614, "&lt;"&amp;$M$4)</f>
        <v>0</v>
      </c>
      <c r="AG9" s="1">
        <f>countifs('5B'!$K$2:$K$614, AG$1, '5B'!$B$2:$B$614, "&gt;"&amp;$L$4, '5B'!$B$2:$B$614, "&lt;"&amp;$M$4)</f>
        <v>0</v>
      </c>
      <c r="AH9" s="1">
        <f>countifs('5B'!$K$2:$K$614, AH$1, '5B'!$B$2:$B$614, "&gt;"&amp;$L$4, '5B'!$B$2:$B$614, "&lt;"&amp;$M$4)</f>
        <v>0</v>
      </c>
      <c r="AI9" s="3">
        <v>9.0</v>
      </c>
      <c r="AJ9" s="3">
        <v>2.0</v>
      </c>
      <c r="AK9" s="3">
        <v>1.0</v>
      </c>
      <c r="AL9" s="6" t="str">
        <f>IFERROR(__xludf.DUMMYFUNCTION("AVERAGE.WEIGHTED($N$1:$T$1, N9:T9)"),"#DIV/0!")</f>
        <v>#DIV/0!</v>
      </c>
      <c r="AM9" s="6" t="str">
        <f>IFERROR(__xludf.DUMMYFUNCTION("AVERAGE.WEIGHTED($U$1:$AA$1, U9:AA9)"),"#DIV/0!")</f>
        <v>#DIV/0!</v>
      </c>
      <c r="AN9" s="12" t="str">
        <f>IFERROR(__xludf.DUMMYFUNCTION("AVERAGE.WEIGHTED($AB$1:$AH$1, AB9:AH9)"),"#DIV/0!")</f>
        <v>#DIV/0!</v>
      </c>
      <c r="AO9" s="6" t="str">
        <f t="shared" ref="AO9:AQ9" si="30">(AL9-1)*100/6</f>
        <v>#DIV/0!</v>
      </c>
      <c r="AP9" s="6" t="str">
        <f t="shared" si="30"/>
        <v>#DIV/0!</v>
      </c>
      <c r="AQ9" s="6" t="str">
        <f t="shared" si="30"/>
        <v>#DIV/0!</v>
      </c>
      <c r="AR9" s="1" t="str">
        <f t="shared" ref="AR9:AT9" si="31">Average($AO9:$AQ9)</f>
        <v>#DIV/0!</v>
      </c>
      <c r="AS9" s="1" t="str">
        <f t="shared" si="31"/>
        <v>#DIV/0!</v>
      </c>
      <c r="AT9" s="1" t="str">
        <f t="shared" si="31"/>
        <v>#DIV/0!</v>
      </c>
      <c r="AU9" s="7" t="str">
        <f t="shared" si="8"/>
        <v>#DIV/0!</v>
      </c>
      <c r="AV9" s="8">
        <f>countifs('5B'!$K$2:$K$529, AV$1, '5B'!$C$2:$C$529, "Karl")</f>
        <v>3</v>
      </c>
      <c r="AW9" s="8">
        <f>countifs('5B'!$K$2:$K$529, AW$1, '5B'!$C$2:$C$529, "Karl")</f>
        <v>0</v>
      </c>
      <c r="AX9" s="8">
        <f>countifs('5B'!$K$2:$K$529, AX$1, '5B'!$C$2:$C$529, "Karl")</f>
        <v>0</v>
      </c>
      <c r="AY9" s="8">
        <f>countifs('5B'!$K$2:$K$529, AY$1, '5B'!$C$2:$C$529, "Karl")</f>
        <v>0</v>
      </c>
      <c r="AZ9" s="8">
        <f>countifs('5B'!$K$2:$K$529, AZ$1, '5B'!$C$2:$C$529, "Karl")</f>
        <v>0</v>
      </c>
      <c r="BA9" s="8">
        <f>countifs('5B'!$K$2:$K$529, BA$1, '5B'!$C$2:$C$529, "Karl")</f>
        <v>0</v>
      </c>
      <c r="BB9" s="8">
        <f>countifs('5B'!$K$2:$K$529, BB$1, '5B'!$C$2:$C$529, "Karl")</f>
        <v>0</v>
      </c>
      <c r="BC9" s="8">
        <f>countifs('5B'!$K$2:$K$529, BC$1, '5B'!$C$2:$C$529, "Kona")</f>
        <v>14</v>
      </c>
      <c r="BD9" s="8">
        <f>countifs('5B'!$K$2:$K$529, BD$1, '5B'!$C$2:$C$529, "Kona")</f>
        <v>1</v>
      </c>
      <c r="BE9" s="8">
        <f>countifs('5B'!$K$2:$K$529, BE$1, '5B'!$C$2:$C$529, "Kona")</f>
        <v>0</v>
      </c>
      <c r="BF9" s="8">
        <f>countifs('5B'!$K$2:$K$529, BF$1, '5B'!$C$2:$C$529, "Kona")</f>
        <v>0</v>
      </c>
      <c r="BG9" s="8">
        <f>countifs('5B'!$K$2:$K$529, BG$1, '5B'!$C$2:$C$529, "Kona")</f>
        <v>1</v>
      </c>
      <c r="BH9" s="8">
        <f>countifs('5B'!$K$2:$K$529, BH$1, '5B'!$C$2:$C$529, "Kona")</f>
        <v>0</v>
      </c>
      <c r="BI9" s="8">
        <f>countifs('5B'!$K$2:$K$529, BI$1, '5B'!$C$2:$C$529, "Kona")</f>
        <v>0</v>
      </c>
      <c r="BJ9" s="8">
        <f t="shared" si="9"/>
        <v>3</v>
      </c>
      <c r="BK9" s="8">
        <f t="shared" si="10"/>
        <v>16</v>
      </c>
      <c r="BL9" s="6">
        <f>IFERROR(__xludf.DUMMYFUNCTION("AVERAGE.WEIGHTED($AV$1:$BB$1,AV9:BB9)"),1.0)</f>
        <v>1</v>
      </c>
      <c r="BM9" s="6">
        <f>IFERROR(__xludf.DUMMYFUNCTION("AVERAGE.WEIGHTED($BC$1:$BI$1,BC9:BI9)"),1.3125)</f>
        <v>1.3125</v>
      </c>
      <c r="BN9" s="6">
        <f t="shared" ref="BN9:BO9" si="32">(BL9-1)*100/6</f>
        <v>0</v>
      </c>
      <c r="BO9" s="6">
        <f t="shared" si="32"/>
        <v>5.208333333</v>
      </c>
      <c r="BP9" s="7">
        <f t="shared" si="12"/>
        <v>2.604166667</v>
      </c>
      <c r="BQ9" s="7">
        <f t="shared" si="13"/>
        <v>2.604166667</v>
      </c>
      <c r="BR9" s="7">
        <f t="shared" si="14"/>
        <v>0.02247887337</v>
      </c>
    </row>
    <row r="10">
      <c r="A10" s="3">
        <v>9.0</v>
      </c>
      <c r="B10" s="1" t="s">
        <v>39</v>
      </c>
      <c r="C10" s="1">
        <f>countif('5B'!$L$2:$L$614, C$1)</f>
        <v>1</v>
      </c>
      <c r="D10" s="1">
        <f>countif('5B'!$L$2:$L$614, D$1)</f>
        <v>0</v>
      </c>
      <c r="E10" s="1">
        <f>countif('5B'!$L$2:$L$614, E$1)</f>
        <v>1</v>
      </c>
      <c r="F10" s="1">
        <f>countif('5B'!$L$2:$L$614, F$1)</f>
        <v>2</v>
      </c>
      <c r="G10" s="1">
        <f>countif('5B'!$L$2:$L$614, G$1)</f>
        <v>8</v>
      </c>
      <c r="H10" s="1">
        <f>countif('5B'!$L$2:$L$614, H$1)</f>
        <v>2</v>
      </c>
      <c r="I10" s="1">
        <f>countif('5B'!$L$2:$L$614, I$1)</f>
        <v>6</v>
      </c>
      <c r="J10" s="1">
        <f t="shared" si="4"/>
        <v>20</v>
      </c>
      <c r="K10" s="6">
        <f t="shared" si="5"/>
        <v>5.3</v>
      </c>
      <c r="N10" s="1">
        <f>countifs('5B'!$L$2:$L$614, N$1, '5B'!$B$2:$B$614, "&gt;"&amp;$L$2, '5B'!$B$2:$B$614, "&lt;"&amp;$M$2)</f>
        <v>0</v>
      </c>
      <c r="O10" s="1">
        <f>countifs('5B'!$L$2:$L$614, O$1, '5B'!$B$2:$B$614, "&gt;"&amp;$L$2, '5B'!$B$2:$B$614, "&lt;"&amp;$M$2)</f>
        <v>0</v>
      </c>
      <c r="P10" s="1">
        <f>countifs('5B'!$L$2:$L$614, P$1, '5B'!$B$2:$B$614, "&gt;"&amp;$L$2, '5B'!$B$2:$B$614, "&lt;"&amp;$M$2)</f>
        <v>0</v>
      </c>
      <c r="Q10" s="1">
        <f>countifs('5B'!$L$2:$L$614, Q$1, '5B'!$B$2:$B$614, "&gt;"&amp;$L$2, '5B'!$B$2:$B$614, "&lt;"&amp;$M$2)</f>
        <v>0</v>
      </c>
      <c r="R10" s="1">
        <f>countifs('5B'!$L$2:$L$614, R$1, '5B'!$B$2:$B$614, "&gt;"&amp;$L$2, '5B'!$B$2:$B$614, "&lt;"&amp;$M$2)</f>
        <v>0</v>
      </c>
      <c r="S10" s="1">
        <f>countifs('5B'!$L$2:$L$614, S$1, '5B'!$B$2:$B$614, "&gt;"&amp;$L$2, '5B'!$B$2:$B$614, "&lt;"&amp;$M$2)</f>
        <v>0</v>
      </c>
      <c r="T10" s="1">
        <f>countifs('5B'!$L$2:$L$614, T$1, '5B'!$B$2:$B$614, "&gt;"&amp;$L$2, '5B'!$B$2:$B$614, "&lt;"&amp;$M$2)</f>
        <v>0</v>
      </c>
      <c r="U10" s="1">
        <f>countifs('5B'!$L$2:$L$614, U$1, '5B'!$B$2:$B$614, "&gt;"&amp;$L$3, '5B'!$B$2:$B$614, "&lt;"&amp;$M$3)</f>
        <v>0</v>
      </c>
      <c r="V10" s="1">
        <f>countifs('5B'!$L$2:$L$614, V$1, '5B'!$B$2:$B$614, "&gt;"&amp;$L$3, '5B'!$B$2:$B$614, "&lt;"&amp;$M$3)</f>
        <v>0</v>
      </c>
      <c r="W10" s="1">
        <f>countifs('5B'!$L$2:$L$614, W$1, '5B'!$B$2:$B$614, "&gt;"&amp;$L$3, '5B'!$B$2:$B$614, "&lt;"&amp;$M$3)</f>
        <v>0</v>
      </c>
      <c r="X10" s="1">
        <f>countifs('5B'!$L$2:$L$614, X$1, '5B'!$B$2:$B$614, "&gt;"&amp;$L$3, '5B'!$B$2:$B$614, "&lt;"&amp;$M$3)</f>
        <v>0</v>
      </c>
      <c r="Y10" s="1">
        <f>countifs('5B'!$L$2:$L$614, Y$1, '5B'!$B$2:$B$614, "&gt;"&amp;$L$3, '5B'!$B$2:$B$614, "&lt;"&amp;$M$3)</f>
        <v>0</v>
      </c>
      <c r="Z10" s="1">
        <f>countifs('5B'!$L$2:$L$614, Z$1, '5B'!$B$2:$B$614, "&gt;"&amp;$L$3, '5B'!$B$2:$B$614, "&lt;"&amp;$M$3)</f>
        <v>0</v>
      </c>
      <c r="AA10" s="1">
        <f>countifs('5B'!$L$2:$L$614, AA$1, '5B'!$B$2:$B$614, "&gt;"&amp;$L$3, '5B'!$B$2:$B$614, "&lt;"&amp;$M$3)</f>
        <v>0</v>
      </c>
      <c r="AB10" s="1">
        <f>countifs('5B'!$L$2:$L$614, AB$1, '5B'!$B$2:$B$614, "&gt;"&amp;$L$4, '5B'!$B$2:$B$614, "&lt;"&amp;$M$4)</f>
        <v>0</v>
      </c>
      <c r="AC10" s="1">
        <f>countifs('5B'!$L$2:$L$614, AC$1, '5B'!$B$2:$B$614, "&gt;"&amp;$L$4, '5B'!$B$2:$B$614, "&lt;"&amp;$M$4)</f>
        <v>0</v>
      </c>
      <c r="AD10" s="1">
        <f>countifs('5B'!$L$2:$L$614, AD$1, '5B'!$B$2:$B$614, "&gt;"&amp;$L$4, '5B'!$B$2:$B$614, "&lt;"&amp;$M$4)</f>
        <v>0</v>
      </c>
      <c r="AE10" s="1">
        <f>countifs('5B'!$L$2:$L$614, AE$1, '5B'!$B$2:$B$614, "&gt;"&amp;$L$4, '5B'!$B$2:$B$614, "&lt;"&amp;$M$4)</f>
        <v>0</v>
      </c>
      <c r="AF10" s="1">
        <f>countifs('5B'!$L$2:$L$614, AF$1, '5B'!$B$2:$B$614, "&gt;"&amp;$L$4, '5B'!$B$2:$B$614, "&lt;"&amp;$M$4)</f>
        <v>0</v>
      </c>
      <c r="AG10" s="1">
        <f>countifs('5B'!$L$2:$L$614, AG$1, '5B'!$B$2:$B$614, "&gt;"&amp;$L$4, '5B'!$B$2:$B$614, "&lt;"&amp;$M$4)</f>
        <v>0</v>
      </c>
      <c r="AH10" s="1">
        <f>countifs('5B'!$L$2:$L$614, AH$1, '5B'!$B$2:$B$614, "&gt;"&amp;$L$4, '5B'!$B$2:$B$614, "&lt;"&amp;$M$4)</f>
        <v>0</v>
      </c>
      <c r="AI10" s="3">
        <v>9.0</v>
      </c>
      <c r="AJ10" s="3">
        <v>2.0</v>
      </c>
      <c r="AK10" s="3">
        <v>1.0</v>
      </c>
      <c r="AL10" s="6" t="str">
        <f>IFERROR(__xludf.DUMMYFUNCTION("AVERAGE.WEIGHTED($N$1:$T$1, N10:T10)"),"#DIV/0!")</f>
        <v>#DIV/0!</v>
      </c>
      <c r="AM10" s="6" t="str">
        <f>IFERROR(__xludf.DUMMYFUNCTION("AVERAGE.WEIGHTED($U$1:$AA$1, U10:AA10)"),"#DIV/0!")</f>
        <v>#DIV/0!</v>
      </c>
      <c r="AN10" s="12" t="str">
        <f>IFERROR(__xludf.DUMMYFUNCTION("AVERAGE.WEIGHTED($AB$1:$AH$1, AB10:AH10)"),"#DIV/0!")</f>
        <v>#DIV/0!</v>
      </c>
      <c r="AO10" s="6" t="str">
        <f t="shared" ref="AO10:AQ10" si="33">(AL10-1)*100/6</f>
        <v>#DIV/0!</v>
      </c>
      <c r="AP10" s="6" t="str">
        <f t="shared" si="33"/>
        <v>#DIV/0!</v>
      </c>
      <c r="AQ10" s="6" t="str">
        <f t="shared" si="33"/>
        <v>#DIV/0!</v>
      </c>
      <c r="AR10" s="1" t="str">
        <f t="shared" ref="AR10:AT10" si="34">Average($AO10:$AQ10)</f>
        <v>#DIV/0!</v>
      </c>
      <c r="AS10" s="1" t="str">
        <f t="shared" si="34"/>
        <v>#DIV/0!</v>
      </c>
      <c r="AT10" s="1" t="str">
        <f t="shared" si="34"/>
        <v>#DIV/0!</v>
      </c>
      <c r="AU10" s="7" t="str">
        <f t="shared" si="8"/>
        <v>#DIV/0!</v>
      </c>
      <c r="AV10" s="8">
        <f>countifs('5B'!$L$2:$L$529, AV$1, '5B'!$C$2:$C$529, "Karl")</f>
        <v>0</v>
      </c>
      <c r="AW10" s="8">
        <f>countifs('5B'!$L$2:$L$529, AW$1, '5B'!$C$2:$C$529, "Karl")</f>
        <v>0</v>
      </c>
      <c r="AX10" s="8">
        <f>countifs('5B'!$L$2:$L$529, AX$1, '5B'!$C$2:$C$529, "Karl")</f>
        <v>0</v>
      </c>
      <c r="AY10" s="8">
        <f>countifs('5B'!$L$2:$L$529, AY$1, '5B'!$C$2:$C$529, "Karl")</f>
        <v>0</v>
      </c>
      <c r="AZ10" s="8">
        <f>countifs('5B'!$L$2:$L$529, AZ$1, '5B'!$C$2:$C$529, "Karl")</f>
        <v>1</v>
      </c>
      <c r="BA10" s="8">
        <f>countifs('5B'!$L$2:$L$529, BA$1, '5B'!$C$2:$C$529, "Karl")</f>
        <v>0</v>
      </c>
      <c r="BB10" s="8">
        <f>countifs('5B'!$L$2:$L$529, BB$1, '5B'!$C$2:$C$529, "Karl")</f>
        <v>2</v>
      </c>
      <c r="BC10" s="8">
        <f>countifs('5B'!$L$2:$L$529, BC$1, '5B'!$C$2:$C$529, "Kona")</f>
        <v>1</v>
      </c>
      <c r="BD10" s="8">
        <f>countifs('5B'!$L$2:$L$529, BD$1, '5B'!$C$2:$C$529, "Kona")</f>
        <v>0</v>
      </c>
      <c r="BE10" s="8">
        <f>countifs('5B'!$L$2:$L$529, BE$1, '5B'!$C$2:$C$529, "Kona")</f>
        <v>1</v>
      </c>
      <c r="BF10" s="8">
        <f>countifs('5B'!$L$2:$L$529, BF$1, '5B'!$C$2:$C$529, "Kona")</f>
        <v>2</v>
      </c>
      <c r="BG10" s="8">
        <f>countifs('5B'!$L$2:$L$529, BG$1, '5B'!$C$2:$C$529, "Kona")</f>
        <v>7</v>
      </c>
      <c r="BH10" s="8">
        <f>countifs('5B'!$L$2:$L$529, BH$1, '5B'!$C$2:$C$529, "Kona")</f>
        <v>1</v>
      </c>
      <c r="BI10" s="8">
        <f>countifs('5B'!$L$2:$L$529, BI$1, '5B'!$C$2:$C$529, "Kona")</f>
        <v>4</v>
      </c>
      <c r="BJ10" s="8">
        <f t="shared" si="9"/>
        <v>3</v>
      </c>
      <c r="BK10" s="8">
        <f t="shared" si="10"/>
        <v>16</v>
      </c>
      <c r="BL10" s="6">
        <f>IFERROR(__xludf.DUMMYFUNCTION("AVERAGE.WEIGHTED($AV$1:$BB$1,AV10:BB10)"),6.333333333333333)</f>
        <v>6.333333333</v>
      </c>
      <c r="BM10" s="6">
        <f>IFERROR(__xludf.DUMMYFUNCTION("AVERAGE.WEIGHTED($BC$1:$BI$1,BC10:BI10)"),5.0625)</f>
        <v>5.0625</v>
      </c>
      <c r="BN10" s="6">
        <f t="shared" ref="BN10:BO10" si="35">(BL10-1)*100/6</f>
        <v>88.88888889</v>
      </c>
      <c r="BO10" s="6">
        <f t="shared" si="35"/>
        <v>67.70833333</v>
      </c>
      <c r="BP10" s="7">
        <f t="shared" si="12"/>
        <v>78.29861111</v>
      </c>
      <c r="BQ10" s="7">
        <f t="shared" si="13"/>
        <v>78.29861111</v>
      </c>
      <c r="BR10" s="7">
        <f t="shared" si="14"/>
        <v>0.09053832446</v>
      </c>
    </row>
    <row r="11">
      <c r="A11" s="3">
        <v>10.0</v>
      </c>
      <c r="B11" s="1" t="s">
        <v>40</v>
      </c>
      <c r="C11" s="1">
        <f>countif('5B'!$M$2:$M$614, C$1)</f>
        <v>8</v>
      </c>
      <c r="D11" s="1">
        <f>countif('5B'!$M$2:$M$614, D$1)</f>
        <v>5</v>
      </c>
      <c r="E11" s="1">
        <f>countif('5B'!$M$2:$M$614, E$1)</f>
        <v>0</v>
      </c>
      <c r="F11" s="1">
        <f>countif('5B'!$M$2:$M$614, F$1)</f>
        <v>0</v>
      </c>
      <c r="G11" s="1">
        <f>countif('5B'!$M$2:$M$614, G$1)</f>
        <v>3</v>
      </c>
      <c r="H11" s="1">
        <f>countif('5B'!$M$2:$M$614, H$1)</f>
        <v>2</v>
      </c>
      <c r="I11" s="1">
        <f>countif('5B'!$M$2:$M$614, I$1)</f>
        <v>2</v>
      </c>
      <c r="J11" s="1">
        <f t="shared" si="4"/>
        <v>20</v>
      </c>
      <c r="K11" s="6">
        <f t="shared" si="5"/>
        <v>2.95</v>
      </c>
      <c r="N11" s="1">
        <f>countifs('5B'!$M$2:$M$614, N$1, '5B'!$B$2:$B$614, "&gt;"&amp;$L$2, '5B'!$B$2:$B$614, "&lt;"&amp;$M$2)</f>
        <v>0</v>
      </c>
      <c r="O11" s="1">
        <f>countifs('5B'!$M$2:$M$614, O$1, '5B'!$B$2:$B$614, "&gt;"&amp;$L$2, '5B'!$B$2:$B$614, "&lt;"&amp;$M$2)</f>
        <v>0</v>
      </c>
      <c r="P11" s="1">
        <f>countifs('5B'!$M$2:$M$614, P$1, '5B'!$B$2:$B$614, "&gt;"&amp;$L$2, '5B'!$B$2:$B$614, "&lt;"&amp;$M$2)</f>
        <v>0</v>
      </c>
      <c r="Q11" s="1">
        <f>countifs('5B'!$M$2:$M$614, Q$1, '5B'!$B$2:$B$614, "&gt;"&amp;$L$2, '5B'!$B$2:$B$614, "&lt;"&amp;$M$2)</f>
        <v>0</v>
      </c>
      <c r="R11" s="1">
        <f>countifs('5B'!$M$2:$M$614, R$1, '5B'!$B$2:$B$614, "&gt;"&amp;$L$2, '5B'!$B$2:$B$614, "&lt;"&amp;$M$2)</f>
        <v>0</v>
      </c>
      <c r="S11" s="1">
        <f>countifs('5B'!$M$2:$M$614, S$1, '5B'!$B$2:$B$614, "&gt;"&amp;$L$2, '5B'!$B$2:$B$614, "&lt;"&amp;$M$2)</f>
        <v>0</v>
      </c>
      <c r="T11" s="1">
        <f>countifs('5B'!$M$2:$M$614, T$1, '5B'!$B$2:$B$614, "&gt;"&amp;$L$2, '5B'!$B$2:$B$614, "&lt;"&amp;$M$2)</f>
        <v>0</v>
      </c>
      <c r="U11" s="1">
        <f>countifs('5B'!$M$2:$M$614, U$1, '5B'!$B$2:$B$614, "&gt;"&amp;$L$3, '5B'!$B$2:$B$614, "&lt;"&amp;$M$3)</f>
        <v>0</v>
      </c>
      <c r="V11" s="1">
        <f>countifs('5B'!$M$2:$M$614, V$1, '5B'!$B$2:$B$614, "&gt;"&amp;$L$3, '5B'!$B$2:$B$614, "&lt;"&amp;$M$3)</f>
        <v>0</v>
      </c>
      <c r="W11" s="1">
        <f>countifs('5B'!$M$2:$M$614, W$1, '5B'!$B$2:$B$614, "&gt;"&amp;$L$3, '5B'!$B$2:$B$614, "&lt;"&amp;$M$3)</f>
        <v>0</v>
      </c>
      <c r="X11" s="1">
        <f>countifs('5B'!$M$2:$M$614, X$1, '5B'!$B$2:$B$614, "&gt;"&amp;$L$3, '5B'!$B$2:$B$614, "&lt;"&amp;$M$3)</f>
        <v>0</v>
      </c>
      <c r="Y11" s="1">
        <f>countifs('5B'!$M$2:$M$614, Y$1, '5B'!$B$2:$B$614, "&gt;"&amp;$L$3, '5B'!$B$2:$B$614, "&lt;"&amp;$M$3)</f>
        <v>0</v>
      </c>
      <c r="Z11" s="1">
        <f>countifs('5B'!$M$2:$M$614, Z$1, '5B'!$B$2:$B$614, "&gt;"&amp;$L$3, '5B'!$B$2:$B$614, "&lt;"&amp;$M$3)</f>
        <v>0</v>
      </c>
      <c r="AA11" s="1">
        <f>countifs('5B'!$M$2:$M$614, AA$1, '5B'!$B$2:$B$614, "&gt;"&amp;$L$3, '5B'!$B$2:$B$614, "&lt;"&amp;$M$3)</f>
        <v>0</v>
      </c>
      <c r="AB11" s="1">
        <f>countifs('5B'!$M$2:$M$614, AB$1, '5B'!$B$2:$B$614, "&gt;"&amp;$L$4, '5B'!$B$2:$B$614, "&lt;"&amp;$M$4)</f>
        <v>0</v>
      </c>
      <c r="AC11" s="1">
        <f>countifs('5B'!$M$2:$M$614, AC$1, '5B'!$B$2:$B$614, "&gt;"&amp;$L$4, '5B'!$B$2:$B$614, "&lt;"&amp;$M$4)</f>
        <v>0</v>
      </c>
      <c r="AD11" s="1">
        <f>countifs('5B'!$M$2:$M$614, AD$1, '5B'!$B$2:$B$614, "&gt;"&amp;$L$4, '5B'!$B$2:$B$614, "&lt;"&amp;$M$4)</f>
        <v>0</v>
      </c>
      <c r="AE11" s="1">
        <f>countifs('5B'!$M$2:$M$614, AE$1, '5B'!$B$2:$B$614, "&gt;"&amp;$L$4, '5B'!$B$2:$B$614, "&lt;"&amp;$M$4)</f>
        <v>0</v>
      </c>
      <c r="AF11" s="1">
        <f>countifs('5B'!$M$2:$M$614, AF$1, '5B'!$B$2:$B$614, "&gt;"&amp;$L$4, '5B'!$B$2:$B$614, "&lt;"&amp;$M$4)</f>
        <v>0</v>
      </c>
      <c r="AG11" s="1">
        <f>countifs('5B'!$M$2:$M$614, AG$1, '5B'!$B$2:$B$614, "&gt;"&amp;$L$4, '5B'!$B$2:$B$614, "&lt;"&amp;$M$4)</f>
        <v>0</v>
      </c>
      <c r="AH11" s="1">
        <f>countifs('5B'!$M$2:$M$614, AH$1, '5B'!$B$2:$B$614, "&gt;"&amp;$L$4, '5B'!$B$2:$B$614, "&lt;"&amp;$M$4)</f>
        <v>0</v>
      </c>
      <c r="AI11" s="3">
        <v>9.0</v>
      </c>
      <c r="AJ11" s="3">
        <v>2.0</v>
      </c>
      <c r="AK11" s="3">
        <v>1.0</v>
      </c>
      <c r="AL11" s="6" t="str">
        <f>IFERROR(__xludf.DUMMYFUNCTION("AVERAGE.WEIGHTED($N$1:$T$1, N11:T11)"),"#DIV/0!")</f>
        <v>#DIV/0!</v>
      </c>
      <c r="AM11" s="6" t="str">
        <f>IFERROR(__xludf.DUMMYFUNCTION("AVERAGE.WEIGHTED($U$1:$AA$1, U11:AA11)"),"#DIV/0!")</f>
        <v>#DIV/0!</v>
      </c>
      <c r="AN11" s="12" t="str">
        <f>IFERROR(__xludf.DUMMYFUNCTION("AVERAGE.WEIGHTED($AB$1:$AH$1, AB11:AH11)"),"#DIV/0!")</f>
        <v>#DIV/0!</v>
      </c>
      <c r="AO11" s="6" t="str">
        <f t="shared" ref="AO11:AQ11" si="36">(AL11-1)*100/6</f>
        <v>#DIV/0!</v>
      </c>
      <c r="AP11" s="6" t="str">
        <f t="shared" si="36"/>
        <v>#DIV/0!</v>
      </c>
      <c r="AQ11" s="6" t="str">
        <f t="shared" si="36"/>
        <v>#DIV/0!</v>
      </c>
      <c r="AR11" s="1" t="str">
        <f t="shared" ref="AR11:AT11" si="37">Average($AO11:$AQ11)</f>
        <v>#DIV/0!</v>
      </c>
      <c r="AS11" s="1" t="str">
        <f t="shared" si="37"/>
        <v>#DIV/0!</v>
      </c>
      <c r="AT11" s="1" t="str">
        <f t="shared" si="37"/>
        <v>#DIV/0!</v>
      </c>
      <c r="AU11" s="7" t="str">
        <f t="shared" si="8"/>
        <v>#DIV/0!</v>
      </c>
      <c r="AV11" s="8">
        <f>countifs('5B'!$M$2:$M$529, AV$1, '5B'!$C$2:$C$529, "Karl")</f>
        <v>1</v>
      </c>
      <c r="AW11" s="8">
        <f>countifs('5B'!$M$2:$M$529, AW$1, '5B'!$C$2:$C$529, "Karl")</f>
        <v>0</v>
      </c>
      <c r="AX11" s="8">
        <f>countifs('5B'!$M$2:$M$529, AX$1, '5B'!$C$2:$C$529, "Karl")</f>
        <v>0</v>
      </c>
      <c r="AY11" s="8">
        <f>countifs('5B'!$M$2:$M$529, AY$1, '5B'!$C$2:$C$529, "Karl")</f>
        <v>0</v>
      </c>
      <c r="AZ11" s="8">
        <f>countifs('5B'!$M$2:$M$529, AZ$1, '5B'!$C$2:$C$529, "Karl")</f>
        <v>0</v>
      </c>
      <c r="BA11" s="8">
        <f>countifs('5B'!$M$2:$M$529, BA$1, '5B'!$C$2:$C$529, "Karl")</f>
        <v>0</v>
      </c>
      <c r="BB11" s="8">
        <f>countifs('5B'!$M$2:$M$529, BB$1, '5B'!$C$2:$C$529, "Karl")</f>
        <v>2</v>
      </c>
      <c r="BC11" s="8">
        <f>countifs('5B'!$M$2:$M$529, BC$1, '5B'!$C$2:$C$529, "Kona")</f>
        <v>7</v>
      </c>
      <c r="BD11" s="8">
        <f>countifs('5B'!$M$2:$M$529, BD$1, '5B'!$C$2:$C$529, "Kona")</f>
        <v>5</v>
      </c>
      <c r="BE11" s="8">
        <f>countifs('5B'!$M$2:$M$529, BE$1, '5B'!$C$2:$C$529, "Kona")</f>
        <v>0</v>
      </c>
      <c r="BF11" s="8">
        <f>countifs('5B'!$M$2:$M$529, BF$1, '5B'!$C$2:$C$529, "Kona")</f>
        <v>0</v>
      </c>
      <c r="BG11" s="8">
        <f>countifs('5B'!$M$2:$M$529, BG$1, '5B'!$C$2:$C$529, "Kona")</f>
        <v>2</v>
      </c>
      <c r="BH11" s="8">
        <f>countifs('5B'!$M$2:$M$529, BH$1, '5B'!$C$2:$C$529, "Kona")</f>
        <v>2</v>
      </c>
      <c r="BI11" s="8">
        <f>countifs('5B'!$M$2:$M$529, BI$1, '5B'!$C$2:$C$529, "Kona")</f>
        <v>0</v>
      </c>
      <c r="BJ11" s="8">
        <f t="shared" si="9"/>
        <v>3</v>
      </c>
      <c r="BK11" s="8">
        <f t="shared" si="10"/>
        <v>16</v>
      </c>
      <c r="BL11" s="6">
        <f>IFERROR(__xludf.DUMMYFUNCTION("AVERAGE.WEIGHTED($AV$1:$BB$1,AV11:BB11)"),5.0)</f>
        <v>5</v>
      </c>
      <c r="BM11" s="6">
        <f>IFERROR(__xludf.DUMMYFUNCTION("AVERAGE.WEIGHTED($BC$1:$BI$1,BC11:BI11)"),2.4375)</f>
        <v>2.4375</v>
      </c>
      <c r="BN11" s="6">
        <f t="shared" ref="BN11:BO11" si="38">(BL11-1)*100/6</f>
        <v>66.66666667</v>
      </c>
      <c r="BO11" s="6">
        <f t="shared" si="38"/>
        <v>23.95833333</v>
      </c>
      <c r="BP11" s="7">
        <f t="shared" si="12"/>
        <v>45.3125</v>
      </c>
      <c r="BQ11" s="7">
        <f t="shared" si="13"/>
        <v>45.3125</v>
      </c>
      <c r="BR11" s="7">
        <f t="shared" si="14"/>
        <v>0.000007246961945</v>
      </c>
    </row>
    <row r="12">
      <c r="A12" s="3">
        <v>11.0</v>
      </c>
      <c r="B12" s="1" t="s">
        <v>41</v>
      </c>
      <c r="C12" s="1">
        <f>countif('5B'!$N$2:$N$614, C$1)</f>
        <v>3</v>
      </c>
      <c r="D12" s="1">
        <f>countif('5B'!$N$2:$N$614, D$1)</f>
        <v>1</v>
      </c>
      <c r="E12" s="1">
        <f>countif('5B'!$N$2:$N$614, E$1)</f>
        <v>1</v>
      </c>
      <c r="F12" s="1">
        <f>countif('5B'!$N$2:$N$614, F$1)</f>
        <v>1</v>
      </c>
      <c r="G12" s="1">
        <f>countif('5B'!$N$2:$N$614, G$1)</f>
        <v>1</v>
      </c>
      <c r="H12" s="1">
        <f>countif('5B'!$N$2:$N$614, H$1)</f>
        <v>5</v>
      </c>
      <c r="I12" s="1">
        <f>countif('5B'!$N$2:$N$614, I$1)</f>
        <v>8</v>
      </c>
      <c r="J12" s="1">
        <f t="shared" si="4"/>
        <v>20</v>
      </c>
      <c r="K12" s="6">
        <f t="shared" si="5"/>
        <v>5.15</v>
      </c>
      <c r="N12" s="1">
        <f>countifs('5B'!$N$2:$N$614, N$1, '5B'!$B$2:$B$614, "&gt;"&amp;$L$2, '5B'!$B$2:$B$614, "&lt;"&amp;$M$2)</f>
        <v>0</v>
      </c>
      <c r="O12" s="1">
        <f>countifs('5B'!$N$2:$N$614, O$1, '5B'!$B$2:$B$614, "&gt;"&amp;$L$2, '5B'!$B$2:$B$614, "&lt;"&amp;$M$2)</f>
        <v>0</v>
      </c>
      <c r="P12" s="1">
        <f>countifs('5B'!$N$2:$N$614, P$1, '5B'!$B$2:$B$614, "&gt;"&amp;$L$2, '5B'!$B$2:$B$614, "&lt;"&amp;$M$2)</f>
        <v>0</v>
      </c>
      <c r="Q12" s="1">
        <f>countifs('5B'!$N$2:$N$614, Q$1, '5B'!$B$2:$B$614, "&gt;"&amp;$L$2, '5B'!$B$2:$B$614, "&lt;"&amp;$M$2)</f>
        <v>0</v>
      </c>
      <c r="R12" s="1">
        <f>countifs('5B'!$N$2:$N$614, R$1, '5B'!$B$2:$B$614, "&gt;"&amp;$L$2, '5B'!$B$2:$B$614, "&lt;"&amp;$M$2)</f>
        <v>0</v>
      </c>
      <c r="S12" s="1">
        <f>countifs('5B'!$N$2:$N$614, S$1, '5B'!$B$2:$B$614, "&gt;"&amp;$L$2, '5B'!$B$2:$B$614, "&lt;"&amp;$M$2)</f>
        <v>0</v>
      </c>
      <c r="T12" s="1">
        <f>countifs('5B'!$N$2:$N$614, T$1, '5B'!$B$2:$B$614, "&gt;"&amp;$L$2, '5B'!$B$2:$B$614, "&lt;"&amp;$M$2)</f>
        <v>0</v>
      </c>
      <c r="U12" s="1">
        <f>countifs('5B'!$N$2:$N$614, U$1, '5B'!$B$2:$B$614, "&gt;"&amp;$L$3, '5B'!$B$2:$B$614, "&lt;"&amp;$M$3)</f>
        <v>0</v>
      </c>
      <c r="V12" s="1">
        <f>countifs('5B'!$N$2:$N$614, V$1, '5B'!$B$2:$B$614, "&gt;"&amp;$L$3, '5B'!$B$2:$B$614, "&lt;"&amp;$M$3)</f>
        <v>0</v>
      </c>
      <c r="W12" s="1">
        <f>countifs('5B'!$N$2:$N$614, W$1, '5B'!$B$2:$B$614, "&gt;"&amp;$L$3, '5B'!$B$2:$B$614, "&lt;"&amp;$M$3)</f>
        <v>0</v>
      </c>
      <c r="X12" s="1">
        <f>countifs('5B'!$N$2:$N$614, X$1, '5B'!$B$2:$B$614, "&gt;"&amp;$L$3, '5B'!$B$2:$B$614, "&lt;"&amp;$M$3)</f>
        <v>0</v>
      </c>
      <c r="Y12" s="1">
        <f>countifs('5B'!$N$2:$N$614, Y$1, '5B'!$B$2:$B$614, "&gt;"&amp;$L$3, '5B'!$B$2:$B$614, "&lt;"&amp;$M$3)</f>
        <v>0</v>
      </c>
      <c r="Z12" s="1">
        <f>countifs('5B'!$N$2:$N$614, Z$1, '5B'!$B$2:$B$614, "&gt;"&amp;$L$3, '5B'!$B$2:$B$614, "&lt;"&amp;$M$3)</f>
        <v>0</v>
      </c>
      <c r="AA12" s="1">
        <f>countifs('5B'!$N$2:$N$614, AA$1, '5B'!$B$2:$B$614, "&gt;"&amp;$L$3, '5B'!$B$2:$B$614, "&lt;"&amp;$M$3)</f>
        <v>0</v>
      </c>
      <c r="AB12" s="1">
        <f>countifs('5B'!$N$2:$N$614, AB$1, '5B'!$B$2:$B$614, "&gt;"&amp;$L$4, '5B'!$B$2:$B$614, "&lt;"&amp;$M$4)</f>
        <v>0</v>
      </c>
      <c r="AC12" s="1">
        <f>countifs('5B'!$N$2:$N$614, AC$1, '5B'!$B$2:$B$614, "&gt;"&amp;$L$4, '5B'!$B$2:$B$614, "&lt;"&amp;$M$4)</f>
        <v>0</v>
      </c>
      <c r="AD12" s="1">
        <f>countifs('5B'!$N$2:$N$614, AD$1, '5B'!$B$2:$B$614, "&gt;"&amp;$L$4, '5B'!$B$2:$B$614, "&lt;"&amp;$M$4)</f>
        <v>0</v>
      </c>
      <c r="AE12" s="1">
        <f>countifs('5B'!$N$2:$N$614, AE$1, '5B'!$B$2:$B$614, "&gt;"&amp;$L$4, '5B'!$B$2:$B$614, "&lt;"&amp;$M$4)</f>
        <v>0</v>
      </c>
      <c r="AF12" s="1">
        <f>countifs('5B'!$N$2:$N$614, AF$1, '5B'!$B$2:$B$614, "&gt;"&amp;$L$4, '5B'!$B$2:$B$614, "&lt;"&amp;$M$4)</f>
        <v>0</v>
      </c>
      <c r="AG12" s="1">
        <f>countifs('5B'!$N$2:$N$614, AG$1, '5B'!$B$2:$B$614, "&gt;"&amp;$L$4, '5B'!$B$2:$B$614, "&lt;"&amp;$M$4)</f>
        <v>0</v>
      </c>
      <c r="AH12" s="1">
        <f>countifs('5B'!$N$2:$N$614, AH$1, '5B'!$B$2:$B$614, "&gt;"&amp;$L$4, '5B'!$B$2:$B$614, "&lt;"&amp;$M$4)</f>
        <v>0</v>
      </c>
      <c r="AI12" s="3">
        <v>9.0</v>
      </c>
      <c r="AJ12" s="3">
        <v>2.0</v>
      </c>
      <c r="AK12" s="3">
        <v>1.0</v>
      </c>
      <c r="AL12" s="6" t="str">
        <f>IFERROR(__xludf.DUMMYFUNCTION("AVERAGE.WEIGHTED($N$1:$T$1, N12:T12)"),"#DIV/0!")</f>
        <v>#DIV/0!</v>
      </c>
      <c r="AM12" s="6" t="str">
        <f>IFERROR(__xludf.DUMMYFUNCTION("AVERAGE.WEIGHTED($U$1:$AA$1, U12:AA12)"),"#DIV/0!")</f>
        <v>#DIV/0!</v>
      </c>
      <c r="AN12" s="12" t="str">
        <f>IFERROR(__xludf.DUMMYFUNCTION("AVERAGE.WEIGHTED($AB$1:$AH$1, AB12:AH12)"),"#DIV/0!")</f>
        <v>#DIV/0!</v>
      </c>
      <c r="AO12" s="6" t="str">
        <f t="shared" ref="AO12:AQ12" si="39">(AL12-1)*100/6</f>
        <v>#DIV/0!</v>
      </c>
      <c r="AP12" s="6" t="str">
        <f t="shared" si="39"/>
        <v>#DIV/0!</v>
      </c>
      <c r="AQ12" s="6" t="str">
        <f t="shared" si="39"/>
        <v>#DIV/0!</v>
      </c>
      <c r="AR12" s="1" t="str">
        <f t="shared" ref="AR12:AT12" si="40">Average($AO12:$AQ12)</f>
        <v>#DIV/0!</v>
      </c>
      <c r="AS12" s="1" t="str">
        <f t="shared" si="40"/>
        <v>#DIV/0!</v>
      </c>
      <c r="AT12" s="1" t="str">
        <f t="shared" si="40"/>
        <v>#DIV/0!</v>
      </c>
      <c r="AU12" s="7" t="str">
        <f t="shared" si="8"/>
        <v>#DIV/0!</v>
      </c>
      <c r="AV12" s="8">
        <f>countifs('5B'!$N$2:$N$529, AV$1, '5B'!$C$2:$C$529, "Karl")</f>
        <v>0</v>
      </c>
      <c r="AW12" s="8">
        <f>countifs('5B'!$N$2:$N$529, AW$1, '5B'!$C$2:$C$529, "Karl")</f>
        <v>0</v>
      </c>
      <c r="AX12" s="8">
        <f>countifs('5B'!$N$2:$N$529, AX$1, '5B'!$C$2:$C$529, "Karl")</f>
        <v>0</v>
      </c>
      <c r="AY12" s="8">
        <f>countifs('5B'!$N$2:$N$529, AY$1, '5B'!$C$2:$C$529, "Karl")</f>
        <v>0</v>
      </c>
      <c r="AZ12" s="8">
        <f>countifs('5B'!$N$2:$N$529, AZ$1, '5B'!$C$2:$C$529, "Karl")</f>
        <v>0</v>
      </c>
      <c r="BA12" s="8">
        <f>countifs('5B'!$N$2:$N$529, BA$1, '5B'!$C$2:$C$529, "Karl")</f>
        <v>0</v>
      </c>
      <c r="BB12" s="8">
        <f>countifs('5B'!$N$2:$N$529, BB$1, '5B'!$C$2:$C$529, "Karl")</f>
        <v>3</v>
      </c>
      <c r="BC12" s="8">
        <f>countifs('5B'!$N$2:$N$529, BC$1, '5B'!$C$2:$C$529, "Kona")</f>
        <v>3</v>
      </c>
      <c r="BD12" s="8">
        <f>countifs('5B'!$N$2:$N$529, BD$1, '5B'!$C$2:$C$529, "Kona")</f>
        <v>1</v>
      </c>
      <c r="BE12" s="8">
        <f>countifs('5B'!$N$2:$N$529, BE$1, '5B'!$C$2:$C$529, "Kona")</f>
        <v>1</v>
      </c>
      <c r="BF12" s="8">
        <f>countifs('5B'!$N$2:$N$529, BF$1, '5B'!$C$2:$C$529, "Kona")</f>
        <v>1</v>
      </c>
      <c r="BG12" s="8">
        <f>countifs('5B'!$N$2:$N$529, BG$1, '5B'!$C$2:$C$529, "Kona")</f>
        <v>1</v>
      </c>
      <c r="BH12" s="8">
        <f>countifs('5B'!$N$2:$N$529, BH$1, '5B'!$C$2:$C$529, "Kona")</f>
        <v>4</v>
      </c>
      <c r="BI12" s="8">
        <f>countifs('5B'!$N$2:$N$529, BI$1, '5B'!$C$2:$C$529, "Kona")</f>
        <v>5</v>
      </c>
      <c r="BJ12" s="8">
        <f t="shared" si="9"/>
        <v>3</v>
      </c>
      <c r="BK12" s="8">
        <f t="shared" si="10"/>
        <v>16</v>
      </c>
      <c r="BL12" s="6">
        <f>IFERROR(__xludf.DUMMYFUNCTION("AVERAGE.WEIGHTED($AV$1:$BB$1,AV12:BB12)"),7.0)</f>
        <v>7</v>
      </c>
      <c r="BM12" s="6">
        <f>IFERROR(__xludf.DUMMYFUNCTION("AVERAGE.WEIGHTED($BC$1:$BI$1,BC12:BI12)"),4.75)</f>
        <v>4.75</v>
      </c>
      <c r="BN12" s="6">
        <f t="shared" ref="BN12:BO12" si="41">(BL12-1)*100/6</f>
        <v>100</v>
      </c>
      <c r="BO12" s="6">
        <f t="shared" si="41"/>
        <v>62.5</v>
      </c>
      <c r="BP12" s="7">
        <f t="shared" si="12"/>
        <v>81.25</v>
      </c>
      <c r="BQ12" s="7">
        <f t="shared" si="13"/>
        <v>81.25</v>
      </c>
      <c r="BR12" s="7">
        <f t="shared" si="14"/>
        <v>0.003263716902</v>
      </c>
    </row>
    <row r="13">
      <c r="A13" s="3">
        <v>12.0</v>
      </c>
      <c r="B13" s="1" t="s">
        <v>42</v>
      </c>
      <c r="C13" s="1">
        <f>countif('5B'!$O$2:$O$614, C$1)</f>
        <v>7</v>
      </c>
      <c r="D13" s="1">
        <f>countif('5B'!$O$2:$O$614, D$1)</f>
        <v>1</v>
      </c>
      <c r="E13" s="1">
        <f>countif('5B'!$O$2:$O$614, E$1)</f>
        <v>4</v>
      </c>
      <c r="F13" s="1">
        <f>countif('5B'!$O$2:$O$614, F$1)</f>
        <v>0</v>
      </c>
      <c r="G13" s="1">
        <f>countif('5B'!$O$2:$O$614, G$1)</f>
        <v>2</v>
      </c>
      <c r="H13" s="1">
        <f>countif('5B'!$O$2:$O$614, H$1)</f>
        <v>3</v>
      </c>
      <c r="I13" s="1">
        <f>countif('5B'!$O$2:$O$614, I$1)</f>
        <v>3</v>
      </c>
      <c r="J13" s="1">
        <f t="shared" si="4"/>
        <v>20</v>
      </c>
      <c r="K13" s="6">
        <f t="shared" si="5"/>
        <v>3.5</v>
      </c>
      <c r="N13" s="1">
        <f>countifs('5B'!$O$2:$O$614, N$1, '5B'!$B$2:$B$614, "&gt;"&amp;$L$2, '5B'!$B$2:$B$614, "&lt;"&amp;$M$2)</f>
        <v>0</v>
      </c>
      <c r="O13" s="1">
        <f>countifs('5B'!$O$2:$O$614, O$1, '5B'!$B$2:$B$614, "&gt;"&amp;$L$2, '5B'!$B$2:$B$614, "&lt;"&amp;$M$2)</f>
        <v>0</v>
      </c>
      <c r="P13" s="1">
        <f>countifs('5B'!$O$2:$O$614, P$1, '5B'!$B$2:$B$614, "&gt;"&amp;$L$2, '5B'!$B$2:$B$614, "&lt;"&amp;$M$2)</f>
        <v>0</v>
      </c>
      <c r="Q13" s="1">
        <f>countifs('5B'!$O$2:$O$614, Q$1, '5B'!$B$2:$B$614, "&gt;"&amp;$L$2, '5B'!$B$2:$B$614, "&lt;"&amp;$M$2)</f>
        <v>0</v>
      </c>
      <c r="R13" s="1">
        <f>countifs('5B'!$O$2:$O$614, R$1, '5B'!$B$2:$B$614, "&gt;"&amp;$L$2, '5B'!$B$2:$B$614, "&lt;"&amp;$M$2)</f>
        <v>0</v>
      </c>
      <c r="S13" s="1">
        <f>countifs('5B'!$O$2:$O$614, S$1, '5B'!$B$2:$B$614, "&gt;"&amp;$L$2, '5B'!$B$2:$B$614, "&lt;"&amp;$M$2)</f>
        <v>0</v>
      </c>
      <c r="T13" s="1">
        <f>countifs('5B'!$O$2:$O$614, T$1, '5B'!$B$2:$B$614, "&gt;"&amp;$L$2, '5B'!$B$2:$B$614, "&lt;"&amp;$M$2)</f>
        <v>0</v>
      </c>
      <c r="U13" s="1">
        <f>countifs('5B'!$O$2:$O$614, U$1, '5B'!$B$2:$B$614, "&gt;"&amp;$L$3, '5B'!$B$2:$B$614, "&lt;"&amp;$M$3)</f>
        <v>0</v>
      </c>
      <c r="V13" s="1">
        <f>countifs('5B'!$O$2:$O$614, V$1, '5B'!$B$2:$B$614, "&gt;"&amp;$L$3, '5B'!$B$2:$B$614, "&lt;"&amp;$M$3)</f>
        <v>0</v>
      </c>
      <c r="W13" s="1">
        <f>countifs('5B'!$O$2:$O$614, W$1, '5B'!$B$2:$B$614, "&gt;"&amp;$L$3, '5B'!$B$2:$B$614, "&lt;"&amp;$M$3)</f>
        <v>0</v>
      </c>
      <c r="X13" s="1">
        <f>countifs('5B'!$O$2:$O$614, X$1, '5B'!$B$2:$B$614, "&gt;"&amp;$L$3, '5B'!$B$2:$B$614, "&lt;"&amp;$M$3)</f>
        <v>0</v>
      </c>
      <c r="Y13" s="1">
        <f>countifs('5B'!$O$2:$O$614, Y$1, '5B'!$B$2:$B$614, "&gt;"&amp;$L$3, '5B'!$B$2:$B$614, "&lt;"&amp;$M$3)</f>
        <v>0</v>
      </c>
      <c r="Z13" s="1">
        <f>countifs('5B'!$O$2:$O$614, Z$1, '5B'!$B$2:$B$614, "&gt;"&amp;$L$3, '5B'!$B$2:$B$614, "&lt;"&amp;$M$3)</f>
        <v>0</v>
      </c>
      <c r="AA13" s="1">
        <f>countifs('5B'!$O$2:$O$614, AA$1, '5B'!$B$2:$B$614, "&gt;"&amp;$L$3, '5B'!$B$2:$B$614, "&lt;"&amp;$M$3)</f>
        <v>0</v>
      </c>
      <c r="AB13" s="1">
        <f>countifs('5B'!$O$2:$O$614, AB$1, '5B'!$B$2:$B$614, "&gt;"&amp;$L$4, '5B'!$B$2:$B$614, "&lt;"&amp;$M$4)</f>
        <v>0</v>
      </c>
      <c r="AC13" s="1">
        <f>countifs('5B'!$O$2:$O$614, AC$1, '5B'!$B$2:$B$614, "&gt;"&amp;$L$4, '5B'!$B$2:$B$614, "&lt;"&amp;$M$4)</f>
        <v>0</v>
      </c>
      <c r="AD13" s="1">
        <f>countifs('5B'!$O$2:$O$614, AD$1, '5B'!$B$2:$B$614, "&gt;"&amp;$L$4, '5B'!$B$2:$B$614, "&lt;"&amp;$M$4)</f>
        <v>0</v>
      </c>
      <c r="AE13" s="1">
        <f>countifs('5B'!$O$2:$O$614, AE$1, '5B'!$B$2:$B$614, "&gt;"&amp;$L$4, '5B'!$B$2:$B$614, "&lt;"&amp;$M$4)</f>
        <v>0</v>
      </c>
      <c r="AF13" s="1">
        <f>countifs('5B'!$O$2:$O$614, AF$1, '5B'!$B$2:$B$614, "&gt;"&amp;$L$4, '5B'!$B$2:$B$614, "&lt;"&amp;$M$4)</f>
        <v>0</v>
      </c>
      <c r="AG13" s="1">
        <f>countifs('5B'!$O$2:$O$614, AG$1, '5B'!$B$2:$B$614, "&gt;"&amp;$L$4, '5B'!$B$2:$B$614, "&lt;"&amp;$M$4)</f>
        <v>0</v>
      </c>
      <c r="AH13" s="1">
        <f>countifs('5B'!$O$2:$O$614, AH$1, '5B'!$B$2:$B$614, "&gt;"&amp;$L$4, '5B'!$B$2:$B$614, "&lt;"&amp;$M$4)</f>
        <v>0</v>
      </c>
      <c r="AI13" s="3">
        <v>9.0</v>
      </c>
      <c r="AJ13" s="3">
        <v>2.0</v>
      </c>
      <c r="AK13" s="3">
        <v>1.0</v>
      </c>
      <c r="AL13" s="6" t="str">
        <f>IFERROR(__xludf.DUMMYFUNCTION("AVERAGE.WEIGHTED($N$1:$T$1, N13:T13)"),"#DIV/0!")</f>
        <v>#DIV/0!</v>
      </c>
      <c r="AM13" s="6" t="str">
        <f>IFERROR(__xludf.DUMMYFUNCTION("AVERAGE.WEIGHTED($U$1:$AA$1, U13:AA13)"),"#DIV/0!")</f>
        <v>#DIV/0!</v>
      </c>
      <c r="AN13" s="12" t="str">
        <f>IFERROR(__xludf.DUMMYFUNCTION("AVERAGE.WEIGHTED($AB$1:$AH$1, AB13:AH13)"),"#DIV/0!")</f>
        <v>#DIV/0!</v>
      </c>
      <c r="AO13" s="6" t="str">
        <f t="shared" ref="AO13:AQ13" si="42">(AL13-1)*100/6</f>
        <v>#DIV/0!</v>
      </c>
      <c r="AP13" s="6" t="str">
        <f t="shared" si="42"/>
        <v>#DIV/0!</v>
      </c>
      <c r="AQ13" s="6" t="str">
        <f t="shared" si="42"/>
        <v>#DIV/0!</v>
      </c>
      <c r="AR13" s="1" t="str">
        <f t="shared" ref="AR13:AT13" si="43">Average($AO13:$AQ13)</f>
        <v>#DIV/0!</v>
      </c>
      <c r="AS13" s="1" t="str">
        <f t="shared" si="43"/>
        <v>#DIV/0!</v>
      </c>
      <c r="AT13" s="1" t="str">
        <f t="shared" si="43"/>
        <v>#DIV/0!</v>
      </c>
      <c r="AU13" s="7" t="str">
        <f t="shared" si="8"/>
        <v>#DIV/0!</v>
      </c>
      <c r="AV13" s="8">
        <f>countifs('5B'!$O$2:$O$529, AV$1, '5B'!$C$2:$C$529, "Karl")</f>
        <v>1</v>
      </c>
      <c r="AW13" s="8">
        <f>countifs('5B'!$O$2:$O$529, AW$1, '5B'!$C$2:$C$529, "Karl")</f>
        <v>0</v>
      </c>
      <c r="AX13" s="8">
        <f>countifs('5B'!$O$2:$O$529, AX$1, '5B'!$C$2:$C$529, "Karl")</f>
        <v>0</v>
      </c>
      <c r="AY13" s="8">
        <f>countifs('5B'!$O$2:$O$529, AY$1, '5B'!$C$2:$C$529, "Karl")</f>
        <v>0</v>
      </c>
      <c r="AZ13" s="8">
        <f>countifs('5B'!$O$2:$O$529, AZ$1, '5B'!$C$2:$C$529, "Karl")</f>
        <v>0</v>
      </c>
      <c r="BA13" s="8">
        <f>countifs('5B'!$O$2:$O$529, BA$1, '5B'!$C$2:$C$529, "Karl")</f>
        <v>0</v>
      </c>
      <c r="BB13" s="8">
        <f>countifs('5B'!$O$2:$O$529, BB$1, '5B'!$C$2:$C$529, "Karl")</f>
        <v>2</v>
      </c>
      <c r="BC13" s="8">
        <f>countifs('5B'!$O$2:$O$529, BC$1, '5B'!$C$2:$C$529, "Kona")</f>
        <v>6</v>
      </c>
      <c r="BD13" s="8">
        <f>countifs('5B'!$O$2:$O$529, BD$1, '5B'!$C$2:$C$529, "Kona")</f>
        <v>1</v>
      </c>
      <c r="BE13" s="8">
        <f>countifs('5B'!$O$2:$O$529, BE$1, '5B'!$C$2:$C$529, "Kona")</f>
        <v>4</v>
      </c>
      <c r="BF13" s="8">
        <f>countifs('5B'!$O$2:$O$529, BF$1, '5B'!$C$2:$C$529, "Kona")</f>
        <v>0</v>
      </c>
      <c r="BG13" s="8">
        <f>countifs('5B'!$O$2:$O$529, BG$1, '5B'!$C$2:$C$529, "Kona")</f>
        <v>1</v>
      </c>
      <c r="BH13" s="8">
        <f>countifs('5B'!$O$2:$O$529, BH$1, '5B'!$C$2:$C$529, "Kona")</f>
        <v>3</v>
      </c>
      <c r="BI13" s="8">
        <f>countifs('5B'!$O$2:$O$529, BI$1, '5B'!$C$2:$C$529, "Kona")</f>
        <v>1</v>
      </c>
      <c r="BJ13" s="8">
        <f t="shared" si="9"/>
        <v>3</v>
      </c>
      <c r="BK13" s="8">
        <f t="shared" si="10"/>
        <v>16</v>
      </c>
      <c r="BL13" s="6">
        <f>IFERROR(__xludf.DUMMYFUNCTION("AVERAGE.WEIGHTED($AV$1:$BB$1,AV13:BB13)"),5.0)</f>
        <v>5</v>
      </c>
      <c r="BM13" s="6">
        <f>IFERROR(__xludf.DUMMYFUNCTION("AVERAGE.WEIGHTED($BC$1:$BI$1,BC13:BI13)"),3.125)</f>
        <v>3.125</v>
      </c>
      <c r="BN13" s="6">
        <f t="shared" ref="BN13:BO13" si="44">(BL13-1)*100/6</f>
        <v>66.66666667</v>
      </c>
      <c r="BO13" s="6">
        <f t="shared" si="44"/>
        <v>35.41666667</v>
      </c>
      <c r="BP13" s="7">
        <f t="shared" si="12"/>
        <v>51.04166667</v>
      </c>
      <c r="BQ13" s="7">
        <f t="shared" si="13"/>
        <v>51.04166667</v>
      </c>
      <c r="BR13" s="7">
        <f t="shared" si="14"/>
        <v>0.001981789438</v>
      </c>
    </row>
    <row r="14">
      <c r="A14" s="3">
        <v>13.0</v>
      </c>
      <c r="B14" s="1" t="s">
        <v>15</v>
      </c>
      <c r="C14" s="1">
        <f>countif('5B'!$P$2:$P$614, C$1)</f>
        <v>10</v>
      </c>
      <c r="D14" s="1">
        <f>countif('5B'!$P$2:$P$614, D$1)</f>
        <v>1</v>
      </c>
      <c r="E14" s="1">
        <f>countif('5B'!$P$2:$P$614, E$1)</f>
        <v>0</v>
      </c>
      <c r="F14" s="1">
        <f>countif('5B'!$P$2:$P$614, F$1)</f>
        <v>2</v>
      </c>
      <c r="G14" s="1">
        <f>countif('5B'!$P$2:$P$614, G$1)</f>
        <v>1</v>
      </c>
      <c r="H14" s="1">
        <f>countif('5B'!$P$2:$P$614, H$1)</f>
        <v>3</v>
      </c>
      <c r="I14" s="1">
        <f>countif('5B'!$P$2:$P$614, I$1)</f>
        <v>3</v>
      </c>
      <c r="J14" s="1">
        <f t="shared" si="4"/>
        <v>20</v>
      </c>
      <c r="K14" s="6">
        <f t="shared" si="5"/>
        <v>3.2</v>
      </c>
      <c r="N14" s="1">
        <f>countifs('5B'!$P$2:$P$614, N$1, '5B'!$B$2:$B$614, "&gt;"&amp;$L$2, '5B'!$B$2:$B$614, "&lt;"&amp;$M$2)</f>
        <v>0</v>
      </c>
      <c r="O14" s="1">
        <f>countifs('5B'!$P$2:$P$614, O$1, '5B'!$B$2:$B$614, "&gt;"&amp;$L$2, '5B'!$B$2:$B$614, "&lt;"&amp;$M$2)</f>
        <v>0</v>
      </c>
      <c r="P14" s="1">
        <f>countifs('5B'!$P$2:$P$614, P$1, '5B'!$B$2:$B$614, "&gt;"&amp;$L$2, '5B'!$B$2:$B$614, "&lt;"&amp;$M$2)</f>
        <v>0</v>
      </c>
      <c r="Q14" s="1">
        <f>countifs('5B'!$P$2:$P$614, Q$1, '5B'!$B$2:$B$614, "&gt;"&amp;$L$2, '5B'!$B$2:$B$614, "&lt;"&amp;$M$2)</f>
        <v>0</v>
      </c>
      <c r="R14" s="1">
        <f>countifs('5B'!$P$2:$P$614, R$1, '5B'!$B$2:$B$614, "&gt;"&amp;$L$2, '5B'!$B$2:$B$614, "&lt;"&amp;$M$2)</f>
        <v>0</v>
      </c>
      <c r="S14" s="1">
        <f>countifs('5B'!$P$2:$P$614, S$1, '5B'!$B$2:$B$614, "&gt;"&amp;$L$2, '5B'!$B$2:$B$614, "&lt;"&amp;$M$2)</f>
        <v>0</v>
      </c>
      <c r="T14" s="1">
        <f>countifs('5B'!$P$2:$P$614, T$1, '5B'!$B$2:$B$614, "&gt;"&amp;$L$2, '5B'!$B$2:$B$614, "&lt;"&amp;$M$2)</f>
        <v>0</v>
      </c>
      <c r="U14" s="1">
        <f>countifs('5B'!$P$2:$P$614, U$1, '5B'!$B$2:$B$614, "&gt;"&amp;$L$3, '5B'!$B$2:$B$614, "&lt;"&amp;$M$3)</f>
        <v>0</v>
      </c>
      <c r="V14" s="1">
        <f>countifs('5B'!$P$2:$P$614, V$1, '5B'!$B$2:$B$614, "&gt;"&amp;$L$3, '5B'!$B$2:$B$614, "&lt;"&amp;$M$3)</f>
        <v>0</v>
      </c>
      <c r="W14" s="1">
        <f>countifs('5B'!$P$2:$P$614, W$1, '5B'!$B$2:$B$614, "&gt;"&amp;$L$3, '5B'!$B$2:$B$614, "&lt;"&amp;$M$3)</f>
        <v>0</v>
      </c>
      <c r="X14" s="1">
        <f>countifs('5B'!$P$2:$P$614, X$1, '5B'!$B$2:$B$614, "&gt;"&amp;$L$3, '5B'!$B$2:$B$614, "&lt;"&amp;$M$3)</f>
        <v>0</v>
      </c>
      <c r="Y14" s="1">
        <f>countifs('5B'!$P$2:$P$614, Y$1, '5B'!$B$2:$B$614, "&gt;"&amp;$L$3, '5B'!$B$2:$B$614, "&lt;"&amp;$M$3)</f>
        <v>0</v>
      </c>
      <c r="Z14" s="1">
        <f>countifs('5B'!$P$2:$P$614, Z$1, '5B'!$B$2:$B$614, "&gt;"&amp;$L$3, '5B'!$B$2:$B$614, "&lt;"&amp;$M$3)</f>
        <v>0</v>
      </c>
      <c r="AA14" s="1">
        <f>countifs('5B'!$P$2:$P$614, AA$1, '5B'!$B$2:$B$614, "&gt;"&amp;$L$3, '5B'!$B$2:$B$614, "&lt;"&amp;$M$3)</f>
        <v>0</v>
      </c>
      <c r="AB14" s="1">
        <f>countifs('5B'!$P$2:$P$614, AB$1, '5B'!$B$2:$B$614, "&gt;"&amp;$L$4, '5B'!$B$2:$B$614, "&lt;"&amp;$M$4)</f>
        <v>0</v>
      </c>
      <c r="AC14" s="1">
        <f>countifs('5B'!$P$2:$P$614, AC$1, '5B'!$B$2:$B$614, "&gt;"&amp;$L$4, '5B'!$B$2:$B$614, "&lt;"&amp;$M$4)</f>
        <v>0</v>
      </c>
      <c r="AD14" s="1">
        <f>countifs('5B'!$P$2:$P$614, AD$1, '5B'!$B$2:$B$614, "&gt;"&amp;$L$4, '5B'!$B$2:$B$614, "&lt;"&amp;$M$4)</f>
        <v>0</v>
      </c>
      <c r="AE14" s="1">
        <f>countifs('5B'!$P$2:$P$614, AE$1, '5B'!$B$2:$B$614, "&gt;"&amp;$L$4, '5B'!$B$2:$B$614, "&lt;"&amp;$M$4)</f>
        <v>0</v>
      </c>
      <c r="AF14" s="1">
        <f>countifs('5B'!$P$2:$P$614, AF$1, '5B'!$B$2:$B$614, "&gt;"&amp;$L$4, '5B'!$B$2:$B$614, "&lt;"&amp;$M$4)</f>
        <v>0</v>
      </c>
      <c r="AG14" s="1">
        <f>countifs('5B'!$P$2:$P$614, AG$1, '5B'!$B$2:$B$614, "&gt;"&amp;$L$4, '5B'!$B$2:$B$614, "&lt;"&amp;$M$4)</f>
        <v>0</v>
      </c>
      <c r="AH14" s="1">
        <f>countifs('5B'!$P$2:$P$614, AH$1, '5B'!$B$2:$B$614, "&gt;"&amp;$L$4, '5B'!$B$2:$B$614, "&lt;"&amp;$M$4)</f>
        <v>0</v>
      </c>
      <c r="AI14" s="3">
        <v>9.0</v>
      </c>
      <c r="AJ14" s="3">
        <v>2.0</v>
      </c>
      <c r="AK14" s="3">
        <v>1.0</v>
      </c>
      <c r="AL14" s="6" t="str">
        <f>IFERROR(__xludf.DUMMYFUNCTION("AVERAGE.WEIGHTED($N$1:$T$1, N14:T14)"),"#DIV/0!")</f>
        <v>#DIV/0!</v>
      </c>
      <c r="AM14" s="6" t="str">
        <f>IFERROR(__xludf.DUMMYFUNCTION("AVERAGE.WEIGHTED($U$1:$AA$1, U14:AA14)"),"#DIV/0!")</f>
        <v>#DIV/0!</v>
      </c>
      <c r="AN14" s="12" t="str">
        <f>IFERROR(__xludf.DUMMYFUNCTION("AVERAGE.WEIGHTED($AB$1:$AH$1, AB14:AH14)"),"#DIV/0!")</f>
        <v>#DIV/0!</v>
      </c>
      <c r="AO14" s="6" t="str">
        <f t="shared" ref="AO14:AQ14" si="45">(AL14-1)*100/6</f>
        <v>#DIV/0!</v>
      </c>
      <c r="AP14" s="6" t="str">
        <f t="shared" si="45"/>
        <v>#DIV/0!</v>
      </c>
      <c r="AQ14" s="6" t="str">
        <f t="shared" si="45"/>
        <v>#DIV/0!</v>
      </c>
      <c r="AR14" s="1" t="str">
        <f t="shared" ref="AR14:AT14" si="46">Average($AO14:$AQ14)</f>
        <v>#DIV/0!</v>
      </c>
      <c r="AS14" s="1" t="str">
        <f t="shared" si="46"/>
        <v>#DIV/0!</v>
      </c>
      <c r="AT14" s="1" t="str">
        <f t="shared" si="46"/>
        <v>#DIV/0!</v>
      </c>
      <c r="AU14" s="7" t="str">
        <f t="shared" si="8"/>
        <v>#DIV/0!</v>
      </c>
      <c r="AV14" s="8">
        <f>countifs('5B'!$P$2:$P$529, AV$1, '5B'!$C$2:$C$529, "Karl")</f>
        <v>0</v>
      </c>
      <c r="AW14" s="8">
        <f>countifs('5B'!$P$2:$P$529, AW$1, '5B'!$C$2:$C$529, "Karl")</f>
        <v>0</v>
      </c>
      <c r="AX14" s="8">
        <f>countifs('5B'!$P$2:$P$529, AX$1, '5B'!$C$2:$C$529, "Karl")</f>
        <v>0</v>
      </c>
      <c r="AY14" s="8">
        <f>countifs('5B'!$P$2:$P$529, AY$1, '5B'!$C$2:$C$529, "Karl")</f>
        <v>0</v>
      </c>
      <c r="AZ14" s="8">
        <f>countifs('5B'!$P$2:$P$529, AZ$1, '5B'!$C$2:$C$529, "Karl")</f>
        <v>0</v>
      </c>
      <c r="BA14" s="8">
        <f>countifs('5B'!$P$2:$P$529, BA$1, '5B'!$C$2:$C$529, "Karl")</f>
        <v>1</v>
      </c>
      <c r="BB14" s="8">
        <f>countifs('5B'!$P$2:$P$529, BB$1, '5B'!$C$2:$C$529, "Karl")</f>
        <v>2</v>
      </c>
      <c r="BC14" s="8">
        <f>countifs('5B'!$P$2:$P$529, BC$1, '5B'!$C$2:$C$529, "Kona")</f>
        <v>10</v>
      </c>
      <c r="BD14" s="8">
        <f>countifs('5B'!$P$2:$P$529, BD$1, '5B'!$C$2:$C$529, "Kona")</f>
        <v>0</v>
      </c>
      <c r="BE14" s="8">
        <f>countifs('5B'!$P$2:$P$529, BE$1, '5B'!$C$2:$C$529, "Kona")</f>
        <v>0</v>
      </c>
      <c r="BF14" s="8">
        <f>countifs('5B'!$P$2:$P$529, BF$1, '5B'!$C$2:$C$529, "Kona")</f>
        <v>2</v>
      </c>
      <c r="BG14" s="8">
        <f>countifs('5B'!$P$2:$P$529, BG$1, '5B'!$C$2:$C$529, "Kona")</f>
        <v>1</v>
      </c>
      <c r="BH14" s="8">
        <f>countifs('5B'!$P$2:$P$529, BH$1, '5B'!$C$2:$C$529, "Kona")</f>
        <v>2</v>
      </c>
      <c r="BI14" s="8">
        <f>countifs('5B'!$P$2:$P$529, BI$1, '5B'!$C$2:$C$529, "Kona")</f>
        <v>1</v>
      </c>
      <c r="BJ14" s="8">
        <f t="shared" si="9"/>
        <v>3</v>
      </c>
      <c r="BK14" s="8">
        <f t="shared" si="10"/>
        <v>16</v>
      </c>
      <c r="BL14" s="6">
        <f>IFERROR(__xludf.DUMMYFUNCTION("AVERAGE.WEIGHTED($AV$1:$BB$1,AV14:BB14)"),6.666666666666667)</f>
        <v>6.666666667</v>
      </c>
      <c r="BM14" s="6">
        <f>IFERROR(__xludf.DUMMYFUNCTION("AVERAGE.WEIGHTED($BC$1:$BI$1,BC14:BI14)"),2.625)</f>
        <v>2.625</v>
      </c>
      <c r="BN14" s="6">
        <f t="shared" ref="BN14:BO14" si="47">(BL14-1)*100/6</f>
        <v>94.44444444</v>
      </c>
      <c r="BO14" s="6">
        <f t="shared" si="47"/>
        <v>27.08333333</v>
      </c>
      <c r="BP14" s="7">
        <f t="shared" si="12"/>
        <v>60.76388889</v>
      </c>
      <c r="BQ14" s="7">
        <f t="shared" si="13"/>
        <v>60.76388889</v>
      </c>
      <c r="BR14" s="7">
        <f t="shared" si="14"/>
        <v>0.0000000009936576006</v>
      </c>
    </row>
    <row r="15">
      <c r="A15" s="3">
        <v>14.0</v>
      </c>
      <c r="B15" s="1" t="s">
        <v>43</v>
      </c>
      <c r="C15" s="1">
        <f>countif('5B'!$Q$2:$Q$614, C$1)</f>
        <v>5</v>
      </c>
      <c r="D15" s="1">
        <f>countif('5B'!$Q$2:$Q$614, D$1)</f>
        <v>2</v>
      </c>
      <c r="E15" s="1">
        <f>countif('5B'!$Q$2:$Q$614, E$1)</f>
        <v>0</v>
      </c>
      <c r="F15" s="1">
        <f>countif('5B'!$Q$2:$Q$614, F$1)</f>
        <v>1</v>
      </c>
      <c r="G15" s="1">
        <f>countif('5B'!$Q$2:$Q$614, G$1)</f>
        <v>2</v>
      </c>
      <c r="H15" s="1">
        <f>countif('5B'!$Q$2:$Q$614, H$1)</f>
        <v>5</v>
      </c>
      <c r="I15" s="1">
        <f>countif('5B'!$Q$2:$Q$614, I$1)</f>
        <v>5</v>
      </c>
      <c r="J15" s="1">
        <f t="shared" si="4"/>
        <v>20</v>
      </c>
      <c r="K15" s="6">
        <f t="shared" si="5"/>
        <v>4.4</v>
      </c>
      <c r="N15" s="1">
        <f>countifs('5B'!$Q$2:$Q$614, N$1, '5B'!$B$2:$B$614, "&gt;"&amp;$L$2, '5B'!$B$2:$B$614, "&lt;"&amp;$M$2)</f>
        <v>0</v>
      </c>
      <c r="O15" s="1">
        <f>countifs('5B'!$Q$2:$Q$614, O$1, '5B'!$B$2:$B$614, "&gt;"&amp;$L$2, '5B'!$B$2:$B$614, "&lt;"&amp;$M$2)</f>
        <v>0</v>
      </c>
      <c r="P15" s="1">
        <f>countifs('5B'!$Q$2:$Q$614, P$1, '5B'!$B$2:$B$614, "&gt;"&amp;$L$2, '5B'!$B$2:$B$614, "&lt;"&amp;$M$2)</f>
        <v>0</v>
      </c>
      <c r="Q15" s="1">
        <f>countifs('5B'!$Q$2:$Q$614, Q$1, '5B'!$B$2:$B$614, "&gt;"&amp;$L$2, '5B'!$B$2:$B$614, "&lt;"&amp;$M$2)</f>
        <v>0</v>
      </c>
      <c r="R15" s="1">
        <f>countifs('5B'!$Q$2:$Q$614, R$1, '5B'!$B$2:$B$614, "&gt;"&amp;$L$2, '5B'!$B$2:$B$614, "&lt;"&amp;$M$2)</f>
        <v>0</v>
      </c>
      <c r="S15" s="1">
        <f>countifs('5B'!$Q$2:$Q$614, S$1, '5B'!$B$2:$B$614, "&gt;"&amp;$L$2, '5B'!$B$2:$B$614, "&lt;"&amp;$M$2)</f>
        <v>0</v>
      </c>
      <c r="T15" s="1">
        <f>countifs('5B'!$Q$2:$Q$614, T$1, '5B'!$B$2:$B$614, "&gt;"&amp;$L$2, '5B'!$B$2:$B$614, "&lt;"&amp;$M$2)</f>
        <v>0</v>
      </c>
      <c r="U15" s="1">
        <f>countifs('5B'!$Q$2:$Q$614, U$1, '5B'!$B$2:$B$614, "&gt;"&amp;$L$3, '5B'!$B$2:$B$614, "&lt;"&amp;$M$3)</f>
        <v>0</v>
      </c>
      <c r="V15" s="1">
        <f>countifs('5B'!$Q$2:$Q$614, V$1, '5B'!$B$2:$B$614, "&gt;"&amp;$L$3, '5B'!$B$2:$B$614, "&lt;"&amp;$M$3)</f>
        <v>0</v>
      </c>
      <c r="W15" s="1">
        <f>countifs('5B'!$Q$2:$Q$614, W$1, '5B'!$B$2:$B$614, "&gt;"&amp;$L$3, '5B'!$B$2:$B$614, "&lt;"&amp;$M$3)</f>
        <v>0</v>
      </c>
      <c r="X15" s="1">
        <f>countifs('5B'!$Q$2:$Q$614, X$1, '5B'!$B$2:$B$614, "&gt;"&amp;$L$3, '5B'!$B$2:$B$614, "&lt;"&amp;$M$3)</f>
        <v>0</v>
      </c>
      <c r="Y15" s="1">
        <f>countifs('5B'!$Q$2:$Q$614, Y$1, '5B'!$B$2:$B$614, "&gt;"&amp;$L$3, '5B'!$B$2:$B$614, "&lt;"&amp;$M$3)</f>
        <v>0</v>
      </c>
      <c r="Z15" s="1">
        <f>countifs('5B'!$Q$2:$Q$614, Z$1, '5B'!$B$2:$B$614, "&gt;"&amp;$L$3, '5B'!$B$2:$B$614, "&lt;"&amp;$M$3)</f>
        <v>0</v>
      </c>
      <c r="AA15" s="1">
        <f>countifs('5B'!$Q$2:$Q$614, AA$1, '5B'!$B$2:$B$614, "&gt;"&amp;$L$3, '5B'!$B$2:$B$614, "&lt;"&amp;$M$3)</f>
        <v>0</v>
      </c>
      <c r="AB15" s="1">
        <f>countifs('5B'!$Q$2:$Q$614, AB$1, '5B'!$B$2:$B$614, "&gt;"&amp;$L$4, '5B'!$B$2:$B$614, "&lt;"&amp;$M$4)</f>
        <v>0</v>
      </c>
      <c r="AC15" s="1">
        <f>countifs('5B'!$Q$2:$Q$614, AC$1, '5B'!$B$2:$B$614, "&gt;"&amp;$L$4, '5B'!$B$2:$B$614, "&lt;"&amp;$M$4)</f>
        <v>0</v>
      </c>
      <c r="AD15" s="1">
        <f>countifs('5B'!$Q$2:$Q$614, AD$1, '5B'!$B$2:$B$614, "&gt;"&amp;$L$4, '5B'!$B$2:$B$614, "&lt;"&amp;$M$4)</f>
        <v>0</v>
      </c>
      <c r="AE15" s="1">
        <f>countifs('5B'!$Q$2:$Q$614, AE$1, '5B'!$B$2:$B$614, "&gt;"&amp;$L$4, '5B'!$B$2:$B$614, "&lt;"&amp;$M$4)</f>
        <v>0</v>
      </c>
      <c r="AF15" s="1">
        <f>countifs('5B'!$Q$2:$Q$614, AF$1, '5B'!$B$2:$B$614, "&gt;"&amp;$L$4, '5B'!$B$2:$B$614, "&lt;"&amp;$M$4)</f>
        <v>0</v>
      </c>
      <c r="AG15" s="1">
        <f>countifs('5B'!$Q$2:$Q$614, AG$1, '5B'!$B$2:$B$614, "&gt;"&amp;$L$4, '5B'!$B$2:$B$614, "&lt;"&amp;$M$4)</f>
        <v>0</v>
      </c>
      <c r="AH15" s="1">
        <f>countifs('5B'!$Q$2:$Q$614, AH$1, '5B'!$B$2:$B$614, "&gt;"&amp;$L$4, '5B'!$B$2:$B$614, "&lt;"&amp;$M$4)</f>
        <v>0</v>
      </c>
      <c r="AI15" s="3">
        <v>9.0</v>
      </c>
      <c r="AJ15" s="3">
        <v>2.0</v>
      </c>
      <c r="AK15" s="3">
        <v>1.0</v>
      </c>
      <c r="AL15" s="6" t="str">
        <f>IFERROR(__xludf.DUMMYFUNCTION("AVERAGE.WEIGHTED($N$1:$T$1, N15:T15)"),"#DIV/0!")</f>
        <v>#DIV/0!</v>
      </c>
      <c r="AM15" s="6" t="str">
        <f>IFERROR(__xludf.DUMMYFUNCTION("AVERAGE.WEIGHTED($U$1:$AA$1, U15:AA15)"),"#DIV/0!")</f>
        <v>#DIV/0!</v>
      </c>
      <c r="AN15" s="12" t="str">
        <f>IFERROR(__xludf.DUMMYFUNCTION("AVERAGE.WEIGHTED($AB$1:$AH$1, AB15:AH15)"),"#DIV/0!")</f>
        <v>#DIV/0!</v>
      </c>
      <c r="AO15" s="6" t="str">
        <f t="shared" ref="AO15:AQ15" si="48">(AL15-1)*100/6</f>
        <v>#DIV/0!</v>
      </c>
      <c r="AP15" s="6" t="str">
        <f t="shared" si="48"/>
        <v>#DIV/0!</v>
      </c>
      <c r="AQ15" s="6" t="str">
        <f t="shared" si="48"/>
        <v>#DIV/0!</v>
      </c>
      <c r="AR15" s="1" t="str">
        <f t="shared" ref="AR15:AT15" si="49">Average($AO15:$AQ15)</f>
        <v>#DIV/0!</v>
      </c>
      <c r="AS15" s="1" t="str">
        <f t="shared" si="49"/>
        <v>#DIV/0!</v>
      </c>
      <c r="AT15" s="1" t="str">
        <f t="shared" si="49"/>
        <v>#DIV/0!</v>
      </c>
      <c r="AU15" s="7" t="str">
        <f t="shared" si="8"/>
        <v>#DIV/0!</v>
      </c>
      <c r="AV15" s="8">
        <f>countifs('5B'!$Q$2:$Q$529, AV$1, '5B'!$C$2:$C$529, "Karl")</f>
        <v>0</v>
      </c>
      <c r="AW15" s="8">
        <f>countifs('5B'!$Q$2:$Q$529, AW$1, '5B'!$C$2:$C$529, "Karl")</f>
        <v>0</v>
      </c>
      <c r="AX15" s="8">
        <f>countifs('5B'!$Q$2:$Q$529, AX$1, '5B'!$C$2:$C$529, "Karl")</f>
        <v>0</v>
      </c>
      <c r="AY15" s="8">
        <f>countifs('5B'!$Q$2:$Q$529, AY$1, '5B'!$C$2:$C$529, "Karl")</f>
        <v>0</v>
      </c>
      <c r="AZ15" s="8">
        <f>countifs('5B'!$Q$2:$Q$529, AZ$1, '5B'!$C$2:$C$529, "Karl")</f>
        <v>0</v>
      </c>
      <c r="BA15" s="8">
        <f>countifs('5B'!$Q$2:$Q$529, BA$1, '5B'!$C$2:$C$529, "Karl")</f>
        <v>1</v>
      </c>
      <c r="BB15" s="8">
        <f>countifs('5B'!$Q$2:$Q$529, BB$1, '5B'!$C$2:$C$529, "Karl")</f>
        <v>2</v>
      </c>
      <c r="BC15" s="8">
        <f>countifs('5B'!$Q$2:$Q$529, BC$1, '5B'!$C$2:$C$529, "Kona")</f>
        <v>5</v>
      </c>
      <c r="BD15" s="8">
        <f>countifs('5B'!$Q$2:$Q$529, BD$1, '5B'!$C$2:$C$529, "Kona")</f>
        <v>2</v>
      </c>
      <c r="BE15" s="8">
        <f>countifs('5B'!$Q$2:$Q$529, BE$1, '5B'!$C$2:$C$529, "Kona")</f>
        <v>0</v>
      </c>
      <c r="BF15" s="8">
        <f>countifs('5B'!$Q$2:$Q$529, BF$1, '5B'!$C$2:$C$529, "Kona")</f>
        <v>1</v>
      </c>
      <c r="BG15" s="8">
        <f>countifs('5B'!$Q$2:$Q$529, BG$1, '5B'!$C$2:$C$529, "Kona")</f>
        <v>2</v>
      </c>
      <c r="BH15" s="8">
        <f>countifs('5B'!$Q$2:$Q$529, BH$1, '5B'!$C$2:$C$529, "Kona")</f>
        <v>3</v>
      </c>
      <c r="BI15" s="8">
        <f>countifs('5B'!$Q$2:$Q$529, BI$1, '5B'!$C$2:$C$529, "Kona")</f>
        <v>3</v>
      </c>
      <c r="BJ15" s="8">
        <f t="shared" si="9"/>
        <v>3</v>
      </c>
      <c r="BK15" s="8">
        <f t="shared" si="10"/>
        <v>16</v>
      </c>
      <c r="BL15" s="6">
        <f>IFERROR(__xludf.DUMMYFUNCTION("AVERAGE.WEIGHTED($AV$1:$BB$1,AV15:BB15)"),6.666666666666667)</f>
        <v>6.666666667</v>
      </c>
      <c r="BM15" s="6">
        <f>IFERROR(__xludf.DUMMYFUNCTION("AVERAGE.WEIGHTED($BC$1:$BI$1,BC15:BI15)"),3.875)</f>
        <v>3.875</v>
      </c>
      <c r="BN15" s="6">
        <f t="shared" ref="BN15:BO15" si="50">(BL15-1)*100/6</f>
        <v>94.44444444</v>
      </c>
      <c r="BO15" s="6">
        <f t="shared" si="50"/>
        <v>47.91666667</v>
      </c>
      <c r="BP15" s="7">
        <f t="shared" si="12"/>
        <v>71.18055556</v>
      </c>
      <c r="BQ15" s="7">
        <f t="shared" si="13"/>
        <v>71.18055556</v>
      </c>
      <c r="BR15" s="7">
        <f t="shared" si="14"/>
        <v>0.0000963640128</v>
      </c>
    </row>
    <row r="16">
      <c r="A16" s="3">
        <v>15.0</v>
      </c>
      <c r="B16" s="1" t="s">
        <v>44</v>
      </c>
      <c r="C16" s="1">
        <f>countif('5B'!$R$2:$R$614, C$1)</f>
        <v>4</v>
      </c>
      <c r="D16" s="1">
        <f>countif('5B'!$R$2:$R$614, D$1)</f>
        <v>3</v>
      </c>
      <c r="E16" s="1">
        <f>countif('5B'!$R$2:$R$614, E$1)</f>
        <v>2</v>
      </c>
      <c r="F16" s="1">
        <f>countif('5B'!$R$2:$R$614, F$1)</f>
        <v>0</v>
      </c>
      <c r="G16" s="1">
        <f>countif('5B'!$R$2:$R$614, G$1)</f>
        <v>4</v>
      </c>
      <c r="H16" s="1">
        <f>countif('5B'!$R$2:$R$614, H$1)</f>
        <v>1</v>
      </c>
      <c r="I16" s="1">
        <f>countif('5B'!$R$2:$R$614, I$1)</f>
        <v>6</v>
      </c>
      <c r="J16" s="1">
        <f t="shared" si="4"/>
        <v>20</v>
      </c>
      <c r="K16" s="6">
        <f t="shared" si="5"/>
        <v>4.2</v>
      </c>
      <c r="N16" s="1">
        <f>countifs('5B'!$R$2:$R$614, N$1, '5B'!$B$2:$B$614, "&gt;"&amp;$L$2, '5B'!$B$2:$B$614, "&lt;"&amp;$M$2)</f>
        <v>0</v>
      </c>
      <c r="O16" s="1">
        <f>countifs('5B'!$R$2:$R$614, O$1, '5B'!$B$2:$B$614, "&gt;"&amp;$L$2, '5B'!$B$2:$B$614, "&lt;"&amp;$M$2)</f>
        <v>0</v>
      </c>
      <c r="P16" s="1">
        <f>countifs('5B'!$R$2:$R$614, P$1, '5B'!$B$2:$B$614, "&gt;"&amp;$L$2, '5B'!$B$2:$B$614, "&lt;"&amp;$M$2)</f>
        <v>0</v>
      </c>
      <c r="Q16" s="1">
        <f>countifs('5B'!$R$2:$R$614, Q$1, '5B'!$B$2:$B$614, "&gt;"&amp;$L$2, '5B'!$B$2:$B$614, "&lt;"&amp;$M$2)</f>
        <v>0</v>
      </c>
      <c r="R16" s="1">
        <f>countifs('5B'!$R$2:$R$614, R$1, '5B'!$B$2:$B$614, "&gt;"&amp;$L$2, '5B'!$B$2:$B$614, "&lt;"&amp;$M$2)</f>
        <v>0</v>
      </c>
      <c r="S16" s="1">
        <f>countifs('5B'!$R$2:$R$614, S$1, '5B'!$B$2:$B$614, "&gt;"&amp;$L$2, '5B'!$B$2:$B$614, "&lt;"&amp;$M$2)</f>
        <v>0</v>
      </c>
      <c r="T16" s="1">
        <f>countifs('5B'!$R$2:$R$614, T$1, '5B'!$B$2:$B$614, "&gt;"&amp;$L$2, '5B'!$B$2:$B$614, "&lt;"&amp;$M$2)</f>
        <v>0</v>
      </c>
      <c r="U16" s="1">
        <f>countifs('5B'!$R$2:$R$614, U$1, '5B'!$B$2:$B$614, "&gt;"&amp;$L$3, '5B'!$B$2:$B$614, "&lt;"&amp;$M$3)</f>
        <v>0</v>
      </c>
      <c r="V16" s="1">
        <f>countifs('5B'!$R$2:$R$614, V$1, '5B'!$B$2:$B$614, "&gt;"&amp;$L$3, '5B'!$B$2:$B$614, "&lt;"&amp;$M$3)</f>
        <v>0</v>
      </c>
      <c r="W16" s="1">
        <f>countifs('5B'!$R$2:$R$614, W$1, '5B'!$B$2:$B$614, "&gt;"&amp;$L$3, '5B'!$B$2:$B$614, "&lt;"&amp;$M$3)</f>
        <v>0</v>
      </c>
      <c r="X16" s="1">
        <f>countifs('5B'!$R$2:$R$614, X$1, '5B'!$B$2:$B$614, "&gt;"&amp;$L$3, '5B'!$B$2:$B$614, "&lt;"&amp;$M$3)</f>
        <v>0</v>
      </c>
      <c r="Y16" s="1">
        <f>countifs('5B'!$R$2:$R$614, Y$1, '5B'!$B$2:$B$614, "&gt;"&amp;$L$3, '5B'!$B$2:$B$614, "&lt;"&amp;$M$3)</f>
        <v>0</v>
      </c>
      <c r="Z16" s="1">
        <f>countifs('5B'!$R$2:$R$614, Z$1, '5B'!$B$2:$B$614, "&gt;"&amp;$L$3, '5B'!$B$2:$B$614, "&lt;"&amp;$M$3)</f>
        <v>0</v>
      </c>
      <c r="AA16" s="1">
        <f>countifs('5B'!$R$2:$R$614, AA$1, '5B'!$B$2:$B$614, "&gt;"&amp;$L$3, '5B'!$B$2:$B$614, "&lt;"&amp;$M$3)</f>
        <v>0</v>
      </c>
      <c r="AB16" s="1">
        <f>countifs('5B'!$R$2:$R$614, AB$1, '5B'!$B$2:$B$614, "&gt;"&amp;$L$4, '5B'!$B$2:$B$614, "&lt;"&amp;$M$4)</f>
        <v>0</v>
      </c>
      <c r="AC16" s="1">
        <f>countifs('5B'!$R$2:$R$614, AC$1, '5B'!$B$2:$B$614, "&gt;"&amp;$L$4, '5B'!$B$2:$B$614, "&lt;"&amp;$M$4)</f>
        <v>0</v>
      </c>
      <c r="AD16" s="1">
        <f>countifs('5B'!$R$2:$R$614, AD$1, '5B'!$B$2:$B$614, "&gt;"&amp;$L$4, '5B'!$B$2:$B$614, "&lt;"&amp;$M$4)</f>
        <v>0</v>
      </c>
      <c r="AE16" s="1">
        <f>countifs('5B'!$R$2:$R$614, AE$1, '5B'!$B$2:$B$614, "&gt;"&amp;$L$4, '5B'!$B$2:$B$614, "&lt;"&amp;$M$4)</f>
        <v>0</v>
      </c>
      <c r="AF16" s="1">
        <f>countifs('5B'!$R$2:$R$614, AF$1, '5B'!$B$2:$B$614, "&gt;"&amp;$L$4, '5B'!$B$2:$B$614, "&lt;"&amp;$M$4)</f>
        <v>0</v>
      </c>
      <c r="AG16" s="1">
        <f>countifs('5B'!$R$2:$R$614, AG$1, '5B'!$B$2:$B$614, "&gt;"&amp;$L$4, '5B'!$B$2:$B$614, "&lt;"&amp;$M$4)</f>
        <v>0</v>
      </c>
      <c r="AH16" s="1">
        <f>countifs('5B'!$R$2:$R$614, AH$1, '5B'!$B$2:$B$614, "&gt;"&amp;$L$4, '5B'!$B$2:$B$614, "&lt;"&amp;$M$4)</f>
        <v>0</v>
      </c>
      <c r="AI16" s="3">
        <v>9.0</v>
      </c>
      <c r="AJ16" s="3">
        <v>2.0</v>
      </c>
      <c r="AK16" s="3">
        <v>1.0</v>
      </c>
      <c r="AL16" s="6" t="str">
        <f>IFERROR(__xludf.DUMMYFUNCTION("AVERAGE.WEIGHTED($N$1:$T$1, N16:T16)"),"#DIV/0!")</f>
        <v>#DIV/0!</v>
      </c>
      <c r="AM16" s="6" t="str">
        <f>IFERROR(__xludf.DUMMYFUNCTION("AVERAGE.WEIGHTED($U$1:$AA$1, U16:AA16)"),"#DIV/0!")</f>
        <v>#DIV/0!</v>
      </c>
      <c r="AN16" s="12" t="str">
        <f>IFERROR(__xludf.DUMMYFUNCTION("AVERAGE.WEIGHTED($AB$1:$AH$1, AB16:AH16)"),"#DIV/0!")</f>
        <v>#DIV/0!</v>
      </c>
      <c r="AO16" s="6" t="str">
        <f t="shared" ref="AO16:AQ16" si="51">(AL16-1)*100/6</f>
        <v>#DIV/0!</v>
      </c>
      <c r="AP16" s="6" t="str">
        <f t="shared" si="51"/>
        <v>#DIV/0!</v>
      </c>
      <c r="AQ16" s="6" t="str">
        <f t="shared" si="51"/>
        <v>#DIV/0!</v>
      </c>
      <c r="AR16" s="1" t="str">
        <f t="shared" ref="AR16:AT16" si="52">Average($AO16:$AQ16)</f>
        <v>#DIV/0!</v>
      </c>
      <c r="AS16" s="1" t="str">
        <f t="shared" si="52"/>
        <v>#DIV/0!</v>
      </c>
      <c r="AT16" s="1" t="str">
        <f t="shared" si="52"/>
        <v>#DIV/0!</v>
      </c>
      <c r="AU16" s="7" t="str">
        <f t="shared" si="8"/>
        <v>#DIV/0!</v>
      </c>
      <c r="AV16" s="8">
        <f>countifs('5B'!$R$2:$R$529, AV$1, '5B'!$C$2:$C$529, "Karl")</f>
        <v>1</v>
      </c>
      <c r="AW16" s="8">
        <f>countifs('5B'!$R$2:$R$529, AW$1, '5B'!$C$2:$C$529, "Karl")</f>
        <v>0</v>
      </c>
      <c r="AX16" s="8">
        <f>countifs('5B'!$R$2:$R$529, AX$1, '5B'!$C$2:$C$529, "Karl")</f>
        <v>0</v>
      </c>
      <c r="AY16" s="8">
        <f>countifs('5B'!$R$2:$R$529, AY$1, '5B'!$C$2:$C$529, "Karl")</f>
        <v>0</v>
      </c>
      <c r="AZ16" s="8">
        <f>countifs('5B'!$R$2:$R$529, AZ$1, '5B'!$C$2:$C$529, "Karl")</f>
        <v>1</v>
      </c>
      <c r="BA16" s="8">
        <f>countifs('5B'!$R$2:$R$529, BA$1, '5B'!$C$2:$C$529, "Karl")</f>
        <v>0</v>
      </c>
      <c r="BB16" s="8">
        <f>countifs('5B'!$R$2:$R$529, BB$1, '5B'!$C$2:$C$529, "Karl")</f>
        <v>1</v>
      </c>
      <c r="BC16" s="8">
        <f>countifs('5B'!$R$2:$R$529, BC$1, '5B'!$C$2:$C$529, "Kona")</f>
        <v>3</v>
      </c>
      <c r="BD16" s="8">
        <f>countifs('5B'!$R$2:$R$529, BD$1, '5B'!$C$2:$C$529, "Kona")</f>
        <v>3</v>
      </c>
      <c r="BE16" s="8">
        <f>countifs('5B'!$R$2:$R$529, BE$1, '5B'!$C$2:$C$529, "Kona")</f>
        <v>1</v>
      </c>
      <c r="BF16" s="8">
        <f>countifs('5B'!$R$2:$R$529, BF$1, '5B'!$C$2:$C$529, "Kona")</f>
        <v>0</v>
      </c>
      <c r="BG16" s="8">
        <f>countifs('5B'!$R$2:$R$529, BG$1, '5B'!$C$2:$C$529, "Kona")</f>
        <v>3</v>
      </c>
      <c r="BH16" s="8">
        <f>countifs('5B'!$R$2:$R$529, BH$1, '5B'!$C$2:$C$529, "Kona")</f>
        <v>1</v>
      </c>
      <c r="BI16" s="8">
        <f>countifs('5B'!$R$2:$R$529, BI$1, '5B'!$C$2:$C$529, "Kona")</f>
        <v>5</v>
      </c>
      <c r="BJ16" s="8">
        <f t="shared" si="9"/>
        <v>3</v>
      </c>
      <c r="BK16" s="8">
        <f t="shared" si="10"/>
        <v>16</v>
      </c>
      <c r="BL16" s="6">
        <f>IFERROR(__xludf.DUMMYFUNCTION("AVERAGE.WEIGHTED($AV$1:$BB$1,AV16:BB16)"),4.333333333333333)</f>
        <v>4.333333333</v>
      </c>
      <c r="BM16" s="6">
        <f>IFERROR(__xludf.DUMMYFUNCTION("AVERAGE.WEIGHTED($BC$1:$BI$1,BC16:BI16)"),4.25)</f>
        <v>4.25</v>
      </c>
      <c r="BN16" s="6">
        <f t="shared" ref="BN16:BO16" si="53">(BL16-1)*100/6</f>
        <v>55.55555556</v>
      </c>
      <c r="BO16" s="6">
        <f t="shared" si="53"/>
        <v>54.16666667</v>
      </c>
      <c r="BP16" s="7">
        <f t="shared" si="12"/>
        <v>54.86111111</v>
      </c>
      <c r="BQ16" s="7">
        <f t="shared" si="13"/>
        <v>54.86111111</v>
      </c>
      <c r="BR16" s="7">
        <f t="shared" si="14"/>
        <v>0.8945153631</v>
      </c>
    </row>
    <row r="17">
      <c r="A17" s="3">
        <v>16.0</v>
      </c>
      <c r="B17" s="1" t="s">
        <v>45</v>
      </c>
      <c r="C17" s="1">
        <f>countif('5B'!$S$2:$S$614, C$1)</f>
        <v>15</v>
      </c>
      <c r="D17" s="1">
        <f>countif('5B'!$S$2:$S$614, D$1)</f>
        <v>1</v>
      </c>
      <c r="E17" s="1">
        <f>countif('5B'!$S$2:$S$614, E$1)</f>
        <v>2</v>
      </c>
      <c r="F17" s="1">
        <f>countif('5B'!$S$2:$S$614, F$1)</f>
        <v>0</v>
      </c>
      <c r="G17" s="1">
        <f>countif('5B'!$S$2:$S$614, G$1)</f>
        <v>1</v>
      </c>
      <c r="H17" s="1">
        <f>countif('5B'!$S$2:$S$614, H$1)</f>
        <v>0</v>
      </c>
      <c r="I17" s="1">
        <f>countif('5B'!$S$2:$S$614, I$1)</f>
        <v>1</v>
      </c>
      <c r="J17" s="1">
        <f t="shared" si="4"/>
        <v>20</v>
      </c>
      <c r="K17" s="6">
        <f t="shared" si="5"/>
        <v>1.75</v>
      </c>
      <c r="N17" s="1">
        <f>countifs('5B'!$S$2:$S$614, N$1, '5B'!$B$2:$B$614, "&gt;"&amp;$L$2, '5B'!$B$2:$B$614, "&lt;"&amp;$M$2)</f>
        <v>0</v>
      </c>
      <c r="O17" s="1">
        <f>countifs('5B'!$S$2:$S$614, O$1, '5B'!$B$2:$B$614, "&gt;"&amp;$L$2, '5B'!$B$2:$B$614, "&lt;"&amp;$M$2)</f>
        <v>0</v>
      </c>
      <c r="P17" s="1">
        <f>countifs('5B'!$S$2:$S$614, P$1, '5B'!$B$2:$B$614, "&gt;"&amp;$L$2, '5B'!$B$2:$B$614, "&lt;"&amp;$M$2)</f>
        <v>0</v>
      </c>
      <c r="Q17" s="1">
        <f>countifs('5B'!$S$2:$S$614, Q$1, '5B'!$B$2:$B$614, "&gt;"&amp;$L$2, '5B'!$B$2:$B$614, "&lt;"&amp;$M$2)</f>
        <v>0</v>
      </c>
      <c r="R17" s="1">
        <f>countifs('5B'!$S$2:$S$614, R$1, '5B'!$B$2:$B$614, "&gt;"&amp;$L$2, '5B'!$B$2:$B$614, "&lt;"&amp;$M$2)</f>
        <v>0</v>
      </c>
      <c r="S17" s="1">
        <f>countifs('5B'!$S$2:$S$614, S$1, '5B'!$B$2:$B$614, "&gt;"&amp;$L$2, '5B'!$B$2:$B$614, "&lt;"&amp;$M$2)</f>
        <v>0</v>
      </c>
      <c r="T17" s="1">
        <f>countifs('5B'!$S$2:$S$614, T$1, '5B'!$B$2:$B$614, "&gt;"&amp;$L$2, '5B'!$B$2:$B$614, "&lt;"&amp;$M$2)</f>
        <v>0</v>
      </c>
      <c r="U17" s="1">
        <f>countifs('5B'!$S$2:$S$614, U$1, '5B'!$B$2:$B$614, "&gt;"&amp;$L$3, '5B'!$B$2:$B$614, "&lt;"&amp;$M$3)</f>
        <v>0</v>
      </c>
      <c r="V17" s="1">
        <f>countifs('5B'!$S$2:$S$614, V$1, '5B'!$B$2:$B$614, "&gt;"&amp;$L$3, '5B'!$B$2:$B$614, "&lt;"&amp;$M$3)</f>
        <v>0</v>
      </c>
      <c r="W17" s="1">
        <f>countifs('5B'!$S$2:$S$614, W$1, '5B'!$B$2:$B$614, "&gt;"&amp;$L$3, '5B'!$B$2:$B$614, "&lt;"&amp;$M$3)</f>
        <v>0</v>
      </c>
      <c r="X17" s="1">
        <f>countifs('5B'!$S$2:$S$614, X$1, '5B'!$B$2:$B$614, "&gt;"&amp;$L$3, '5B'!$B$2:$B$614, "&lt;"&amp;$M$3)</f>
        <v>0</v>
      </c>
      <c r="Y17" s="1">
        <f>countifs('5B'!$S$2:$S$614, Y$1, '5B'!$B$2:$B$614, "&gt;"&amp;$L$3, '5B'!$B$2:$B$614, "&lt;"&amp;$M$3)</f>
        <v>0</v>
      </c>
      <c r="Z17" s="1">
        <f>countifs('5B'!$S$2:$S$614, Z$1, '5B'!$B$2:$B$614, "&gt;"&amp;$L$3, '5B'!$B$2:$B$614, "&lt;"&amp;$M$3)</f>
        <v>0</v>
      </c>
      <c r="AA17" s="1">
        <f>countifs('5B'!$S$2:$S$614, AA$1, '5B'!$B$2:$B$614, "&gt;"&amp;$L$3, '5B'!$B$2:$B$614, "&lt;"&amp;$M$3)</f>
        <v>0</v>
      </c>
      <c r="AB17" s="1">
        <f>countifs('5B'!$S$2:$S$614, AB$1, '5B'!$B$2:$B$614, "&gt;"&amp;$L$4, '5B'!$B$2:$B$614, "&lt;"&amp;$M$4)</f>
        <v>0</v>
      </c>
      <c r="AC17" s="1">
        <f>countifs('5B'!$S$2:$S$614, AC$1, '5B'!$B$2:$B$614, "&gt;"&amp;$L$4, '5B'!$B$2:$B$614, "&lt;"&amp;$M$4)</f>
        <v>0</v>
      </c>
      <c r="AD17" s="1">
        <f>countifs('5B'!$S$2:$S$614, AD$1, '5B'!$B$2:$B$614, "&gt;"&amp;$L$4, '5B'!$B$2:$B$614, "&lt;"&amp;$M$4)</f>
        <v>0</v>
      </c>
      <c r="AE17" s="1">
        <f>countifs('5B'!$S$2:$S$614, AE$1, '5B'!$B$2:$B$614, "&gt;"&amp;$L$4, '5B'!$B$2:$B$614, "&lt;"&amp;$M$4)</f>
        <v>0</v>
      </c>
      <c r="AF17" s="1">
        <f>countifs('5B'!$S$2:$S$614, AF$1, '5B'!$B$2:$B$614, "&gt;"&amp;$L$4, '5B'!$B$2:$B$614, "&lt;"&amp;$M$4)</f>
        <v>0</v>
      </c>
      <c r="AG17" s="1">
        <f>countifs('5B'!$S$2:$S$614, AG$1, '5B'!$B$2:$B$614, "&gt;"&amp;$L$4, '5B'!$B$2:$B$614, "&lt;"&amp;$M$4)</f>
        <v>0</v>
      </c>
      <c r="AH17" s="1">
        <f>countifs('5B'!$S$2:$S$614, AH$1, '5B'!$B$2:$B$614, "&gt;"&amp;$L$4, '5B'!$B$2:$B$614, "&lt;"&amp;$M$4)</f>
        <v>0</v>
      </c>
      <c r="AI17" s="3">
        <v>9.0</v>
      </c>
      <c r="AJ17" s="3">
        <v>2.0</v>
      </c>
      <c r="AK17" s="3">
        <v>1.0</v>
      </c>
      <c r="AL17" s="6" t="str">
        <f>IFERROR(__xludf.DUMMYFUNCTION("AVERAGE.WEIGHTED($N$1:$T$1, N17:T17)"),"#DIV/0!")</f>
        <v>#DIV/0!</v>
      </c>
      <c r="AM17" s="6" t="str">
        <f>IFERROR(__xludf.DUMMYFUNCTION("AVERAGE.WEIGHTED($U$1:$AA$1, U17:AA17)"),"#DIV/0!")</f>
        <v>#DIV/0!</v>
      </c>
      <c r="AN17" s="12" t="str">
        <f>IFERROR(__xludf.DUMMYFUNCTION("AVERAGE.WEIGHTED($AB$1:$AH$1, AB17:AH17)"),"#DIV/0!")</f>
        <v>#DIV/0!</v>
      </c>
      <c r="AO17" s="6" t="str">
        <f t="shared" ref="AO17:AQ17" si="54">(AL17-1)*100/6</f>
        <v>#DIV/0!</v>
      </c>
      <c r="AP17" s="6" t="str">
        <f t="shared" si="54"/>
        <v>#DIV/0!</v>
      </c>
      <c r="AQ17" s="6" t="str">
        <f t="shared" si="54"/>
        <v>#DIV/0!</v>
      </c>
      <c r="AR17" s="1" t="str">
        <f t="shared" ref="AR17:AT17" si="55">Average($AO17:$AQ17)</f>
        <v>#DIV/0!</v>
      </c>
      <c r="AS17" s="1" t="str">
        <f t="shared" si="55"/>
        <v>#DIV/0!</v>
      </c>
      <c r="AT17" s="1" t="str">
        <f t="shared" si="55"/>
        <v>#DIV/0!</v>
      </c>
      <c r="AU17" s="7" t="str">
        <f t="shared" si="8"/>
        <v>#DIV/0!</v>
      </c>
      <c r="AV17" s="8">
        <f>countifs('5B'!$S$2:$S$529, AV$1, '5B'!$C$2:$C$529, "Karl")</f>
        <v>3</v>
      </c>
      <c r="AW17" s="8">
        <f>countifs('5B'!$S$2:$S$529, AW$1, '5B'!$C$2:$C$529, "Karl")</f>
        <v>0</v>
      </c>
      <c r="AX17" s="8">
        <f>countifs('5B'!$S$2:$S$529, AX$1, '5B'!$C$2:$C$529, "Karl")</f>
        <v>0</v>
      </c>
      <c r="AY17" s="8">
        <f>countifs('5B'!$S$2:$S$529, AY$1, '5B'!$C$2:$C$529, "Karl")</f>
        <v>0</v>
      </c>
      <c r="AZ17" s="8">
        <f>countifs('5B'!$S$2:$S$529, AZ$1, '5B'!$C$2:$C$529, "Karl")</f>
        <v>0</v>
      </c>
      <c r="BA17" s="8">
        <f>countifs('5B'!$S$2:$S$529, BA$1, '5B'!$C$2:$C$529, "Karl")</f>
        <v>0</v>
      </c>
      <c r="BB17" s="8">
        <f>countifs('5B'!$S$2:$S$529, BB$1, '5B'!$C$2:$C$529, "Karl")</f>
        <v>0</v>
      </c>
      <c r="BC17" s="8">
        <f>countifs('5B'!$S$2:$S$529, BC$1, '5B'!$C$2:$C$529, "Kona")</f>
        <v>12</v>
      </c>
      <c r="BD17" s="8">
        <f>countifs('5B'!$S$2:$S$529, BD$1, '5B'!$C$2:$C$529, "Kona")</f>
        <v>1</v>
      </c>
      <c r="BE17" s="8">
        <f>countifs('5B'!$S$2:$S$529, BE$1, '5B'!$C$2:$C$529, "Kona")</f>
        <v>1</v>
      </c>
      <c r="BF17" s="8">
        <f>countifs('5B'!$S$2:$S$529, BF$1, '5B'!$C$2:$C$529, "Kona")</f>
        <v>0</v>
      </c>
      <c r="BG17" s="8">
        <f>countifs('5B'!$S$2:$S$529, BG$1, '5B'!$C$2:$C$529, "Kona")</f>
        <v>1</v>
      </c>
      <c r="BH17" s="8">
        <f>countifs('5B'!$S$2:$S$529, BH$1, '5B'!$C$2:$C$529, "Kona")</f>
        <v>0</v>
      </c>
      <c r="BI17" s="8">
        <f>countifs('5B'!$S$2:$S$529, BI$1, '5B'!$C$2:$C$529, "Kona")</f>
        <v>1</v>
      </c>
      <c r="BJ17" s="8">
        <f t="shared" si="9"/>
        <v>3</v>
      </c>
      <c r="BK17" s="8">
        <f t="shared" si="10"/>
        <v>16</v>
      </c>
      <c r="BL17" s="6">
        <f>IFERROR(__xludf.DUMMYFUNCTION("AVERAGE.WEIGHTED($AV$1:$BB$1,AV17:BB17)"),1.0)</f>
        <v>1</v>
      </c>
      <c r="BM17" s="6">
        <f>IFERROR(__xludf.DUMMYFUNCTION("AVERAGE.WEIGHTED($BC$1:$BI$1,BC17:BI17)"),1.8125)</f>
        <v>1.8125</v>
      </c>
      <c r="BN17" s="6">
        <f t="shared" ref="BN17:BO17" si="56">(BL17-1)*100/6</f>
        <v>0</v>
      </c>
      <c r="BO17" s="6">
        <f t="shared" si="56"/>
        <v>13.54166667</v>
      </c>
      <c r="BP17" s="7">
        <f t="shared" si="12"/>
        <v>6.770833333</v>
      </c>
      <c r="BQ17" s="7">
        <f t="shared" si="13"/>
        <v>6.770833333</v>
      </c>
      <c r="BR17" s="7">
        <f t="shared" si="14"/>
        <v>0.0002333251031</v>
      </c>
    </row>
    <row r="18">
      <c r="A18" s="3">
        <v>17.0</v>
      </c>
      <c r="B18" s="1" t="s">
        <v>46</v>
      </c>
      <c r="C18" s="1">
        <f>countif('5B'!$T$2:$T$614, C$1)</f>
        <v>9</v>
      </c>
      <c r="D18" s="1">
        <f>countif('5B'!$T$2:$T$614, D$1)</f>
        <v>0</v>
      </c>
      <c r="E18" s="1">
        <f>countif('5B'!$T$2:$T$614, E$1)</f>
        <v>3</v>
      </c>
      <c r="F18" s="1">
        <f>countif('5B'!$T$2:$T$614, F$1)</f>
        <v>1</v>
      </c>
      <c r="G18" s="1">
        <f>countif('5B'!$T$2:$T$614, G$1)</f>
        <v>2</v>
      </c>
      <c r="H18" s="1">
        <f>countif('5B'!$T$2:$T$614, H$1)</f>
        <v>1</v>
      </c>
      <c r="I18" s="1">
        <f>countif('5B'!$T$2:$T$614, I$1)</f>
        <v>4</v>
      </c>
      <c r="J18" s="1">
        <f t="shared" si="4"/>
        <v>20</v>
      </c>
      <c r="K18" s="6">
        <f t="shared" si="5"/>
        <v>3.3</v>
      </c>
      <c r="N18" s="1">
        <f>countifs('5B'!$T$2:$T$614, N$1, '5B'!$B$2:$B$614, "&gt;"&amp;$L$2, '5B'!$B$2:$B$614, "&lt;"&amp;$M$2)</f>
        <v>0</v>
      </c>
      <c r="O18" s="1">
        <f>countifs('5B'!$T$2:$T$614, O$1, '5B'!$B$2:$B$614, "&gt;"&amp;$L$2, '5B'!$B$2:$B$614, "&lt;"&amp;$M$2)</f>
        <v>0</v>
      </c>
      <c r="P18" s="1">
        <f>countifs('5B'!$T$2:$T$614, P$1, '5B'!$B$2:$B$614, "&gt;"&amp;$L$2, '5B'!$B$2:$B$614, "&lt;"&amp;$M$2)</f>
        <v>0</v>
      </c>
      <c r="Q18" s="1">
        <f>countifs('5B'!$T$2:$T$614, Q$1, '5B'!$B$2:$B$614, "&gt;"&amp;$L$2, '5B'!$B$2:$B$614, "&lt;"&amp;$M$2)</f>
        <v>0</v>
      </c>
      <c r="R18" s="1">
        <f>countifs('5B'!$T$2:$T$614, R$1, '5B'!$B$2:$B$614, "&gt;"&amp;$L$2, '5B'!$B$2:$B$614, "&lt;"&amp;$M$2)</f>
        <v>0</v>
      </c>
      <c r="S18" s="1">
        <f>countifs('5B'!$T$2:$T$614, S$1, '5B'!$B$2:$B$614, "&gt;"&amp;$L$2, '5B'!$B$2:$B$614, "&lt;"&amp;$M$2)</f>
        <v>0</v>
      </c>
      <c r="T18" s="1">
        <f>countifs('5B'!$T$2:$T$614, T$1, '5B'!$B$2:$B$614, "&gt;"&amp;$L$2, '5B'!$B$2:$B$614, "&lt;"&amp;$M$2)</f>
        <v>0</v>
      </c>
      <c r="U18" s="1">
        <f>countifs('5B'!$T$2:$T$614, U$1, '5B'!$B$2:$B$614, "&gt;"&amp;$L$3, '5B'!$B$2:$B$614, "&lt;"&amp;$M$3)</f>
        <v>0</v>
      </c>
      <c r="V18" s="1">
        <f>countifs('5B'!$T$2:$T$614, V$1, '5B'!$B$2:$B$614, "&gt;"&amp;$L$3, '5B'!$B$2:$B$614, "&lt;"&amp;$M$3)</f>
        <v>0</v>
      </c>
      <c r="W18" s="1">
        <f>countifs('5B'!$T$2:$T$614, W$1, '5B'!$B$2:$B$614, "&gt;"&amp;$L$3, '5B'!$B$2:$B$614, "&lt;"&amp;$M$3)</f>
        <v>0</v>
      </c>
      <c r="X18" s="1">
        <f>countifs('5B'!$T$2:$T$614, X$1, '5B'!$B$2:$B$614, "&gt;"&amp;$L$3, '5B'!$B$2:$B$614, "&lt;"&amp;$M$3)</f>
        <v>0</v>
      </c>
      <c r="Y18" s="1">
        <f>countifs('5B'!$T$2:$T$614, Y$1, '5B'!$B$2:$B$614, "&gt;"&amp;$L$3, '5B'!$B$2:$B$614, "&lt;"&amp;$M$3)</f>
        <v>0</v>
      </c>
      <c r="Z18" s="1">
        <f>countifs('5B'!$T$2:$T$614, Z$1, '5B'!$B$2:$B$614, "&gt;"&amp;$L$3, '5B'!$B$2:$B$614, "&lt;"&amp;$M$3)</f>
        <v>0</v>
      </c>
      <c r="AA18" s="1">
        <f>countifs('5B'!$T$2:$T$614, AA$1, '5B'!$B$2:$B$614, "&gt;"&amp;$L$3, '5B'!$B$2:$B$614, "&lt;"&amp;$M$3)</f>
        <v>0</v>
      </c>
      <c r="AB18" s="1">
        <f>countifs('5B'!$T$2:$T$614, AB$1, '5B'!$B$2:$B$614, "&gt;"&amp;$L$4, '5B'!$B$2:$B$614, "&lt;"&amp;$M$4)</f>
        <v>0</v>
      </c>
      <c r="AC18" s="1">
        <f>countifs('5B'!$T$2:$T$614, AC$1, '5B'!$B$2:$B$614, "&gt;"&amp;$L$4, '5B'!$B$2:$B$614, "&lt;"&amp;$M$4)</f>
        <v>0</v>
      </c>
      <c r="AD18" s="1">
        <f>countifs('5B'!$T$2:$T$614, AD$1, '5B'!$B$2:$B$614, "&gt;"&amp;$L$4, '5B'!$B$2:$B$614, "&lt;"&amp;$M$4)</f>
        <v>0</v>
      </c>
      <c r="AE18" s="1">
        <f>countifs('5B'!$T$2:$T$614, AE$1, '5B'!$B$2:$B$614, "&gt;"&amp;$L$4, '5B'!$B$2:$B$614, "&lt;"&amp;$M$4)</f>
        <v>0</v>
      </c>
      <c r="AF18" s="1">
        <f>countifs('5B'!$T$2:$T$614, AF$1, '5B'!$B$2:$B$614, "&gt;"&amp;$L$4, '5B'!$B$2:$B$614, "&lt;"&amp;$M$4)</f>
        <v>0</v>
      </c>
      <c r="AG18" s="1">
        <f>countifs('5B'!$T$2:$T$614, AG$1, '5B'!$B$2:$B$614, "&gt;"&amp;$L$4, '5B'!$B$2:$B$614, "&lt;"&amp;$M$4)</f>
        <v>0</v>
      </c>
      <c r="AH18" s="1">
        <f>countifs('5B'!$T$2:$T$614, AH$1, '5B'!$B$2:$B$614, "&gt;"&amp;$L$4, '5B'!$B$2:$B$614, "&lt;"&amp;$M$4)</f>
        <v>0</v>
      </c>
      <c r="AI18" s="3">
        <v>9.0</v>
      </c>
      <c r="AJ18" s="3">
        <v>2.0</v>
      </c>
      <c r="AK18" s="3">
        <v>1.0</v>
      </c>
      <c r="AL18" s="6" t="str">
        <f>IFERROR(__xludf.DUMMYFUNCTION("AVERAGE.WEIGHTED($N$1:$T$1, N18:T18)"),"#DIV/0!")</f>
        <v>#DIV/0!</v>
      </c>
      <c r="AM18" s="6" t="str">
        <f>IFERROR(__xludf.DUMMYFUNCTION("AVERAGE.WEIGHTED($U$1:$AA$1, U18:AA18)"),"#DIV/0!")</f>
        <v>#DIV/0!</v>
      </c>
      <c r="AN18" s="12" t="str">
        <f>IFERROR(__xludf.DUMMYFUNCTION("AVERAGE.WEIGHTED($AB$1:$AH$1, AB18:AH18)"),"#DIV/0!")</f>
        <v>#DIV/0!</v>
      </c>
      <c r="AO18" s="6" t="str">
        <f t="shared" ref="AO18:AQ18" si="57">(AL18-1)*100/6</f>
        <v>#DIV/0!</v>
      </c>
      <c r="AP18" s="6" t="str">
        <f t="shared" si="57"/>
        <v>#DIV/0!</v>
      </c>
      <c r="AQ18" s="6" t="str">
        <f t="shared" si="57"/>
        <v>#DIV/0!</v>
      </c>
      <c r="AR18" s="1" t="str">
        <f t="shared" ref="AR18:AT18" si="58">Average($AO18:$AQ18)</f>
        <v>#DIV/0!</v>
      </c>
      <c r="AS18" s="1" t="str">
        <f t="shared" si="58"/>
        <v>#DIV/0!</v>
      </c>
      <c r="AT18" s="1" t="str">
        <f t="shared" si="58"/>
        <v>#DIV/0!</v>
      </c>
      <c r="AU18" s="7" t="str">
        <f t="shared" si="8"/>
        <v>#DIV/0!</v>
      </c>
      <c r="AV18" s="8">
        <f>countifs('5B'!$T$2:$T$529, AV$1, '5B'!$C$2:$C$529, "Karl")</f>
        <v>1</v>
      </c>
      <c r="AW18" s="8">
        <f>countifs('5B'!$T$2:$T$529, AW$1, '5B'!$C$2:$C$529, "Karl")</f>
        <v>0</v>
      </c>
      <c r="AX18" s="8">
        <f>countifs('5B'!$T$2:$T$529, AX$1, '5B'!$C$2:$C$529, "Karl")</f>
        <v>0</v>
      </c>
      <c r="AY18" s="8">
        <f>countifs('5B'!$T$2:$T$529, AY$1, '5B'!$C$2:$C$529, "Karl")</f>
        <v>0</v>
      </c>
      <c r="AZ18" s="8">
        <f>countifs('5B'!$T$2:$T$529, AZ$1, '5B'!$C$2:$C$529, "Karl")</f>
        <v>0</v>
      </c>
      <c r="BA18" s="8">
        <f>countifs('5B'!$T$2:$T$529, BA$1, '5B'!$C$2:$C$529, "Karl")</f>
        <v>0</v>
      </c>
      <c r="BB18" s="8">
        <f>countifs('5B'!$T$2:$T$529, BB$1, '5B'!$C$2:$C$529, "Karl")</f>
        <v>2</v>
      </c>
      <c r="BC18" s="8">
        <f>countifs('5B'!$T$2:$T$529, BC$1, '5B'!$C$2:$C$529, "Kona")</f>
        <v>8</v>
      </c>
      <c r="BD18" s="8">
        <f>countifs('5B'!$T$2:$T$529, BD$1, '5B'!$C$2:$C$529, "Kona")</f>
        <v>0</v>
      </c>
      <c r="BE18" s="8">
        <f>countifs('5B'!$T$2:$T$529, BE$1, '5B'!$C$2:$C$529, "Kona")</f>
        <v>3</v>
      </c>
      <c r="BF18" s="8">
        <f>countifs('5B'!$T$2:$T$529, BF$1, '5B'!$C$2:$C$529, "Kona")</f>
        <v>1</v>
      </c>
      <c r="BG18" s="8">
        <f>countifs('5B'!$T$2:$T$529, BG$1, '5B'!$C$2:$C$529, "Kona")</f>
        <v>2</v>
      </c>
      <c r="BH18" s="8">
        <f>countifs('5B'!$T$2:$T$529, BH$1, '5B'!$C$2:$C$529, "Kona")</f>
        <v>0</v>
      </c>
      <c r="BI18" s="8">
        <f>countifs('5B'!$T$2:$T$529, BI$1, '5B'!$C$2:$C$529, "Kona")</f>
        <v>2</v>
      </c>
      <c r="BJ18" s="8">
        <f t="shared" si="9"/>
        <v>3</v>
      </c>
      <c r="BK18" s="8">
        <f t="shared" si="10"/>
        <v>16</v>
      </c>
      <c r="BL18" s="6">
        <f>IFERROR(__xludf.DUMMYFUNCTION("AVERAGE.WEIGHTED($AV$1:$BB$1,AV18:BB18)"),5.0)</f>
        <v>5</v>
      </c>
      <c r="BM18" s="6">
        <f>IFERROR(__xludf.DUMMYFUNCTION("AVERAGE.WEIGHTED($BC$1:$BI$1,BC18:BI18)"),2.8125)</f>
        <v>2.8125</v>
      </c>
      <c r="BN18" s="6">
        <f t="shared" ref="BN18:BO18" si="59">(BL18-1)*100/6</f>
        <v>66.66666667</v>
      </c>
      <c r="BO18" s="6">
        <f t="shared" si="59"/>
        <v>30.20833333</v>
      </c>
      <c r="BP18" s="7">
        <f t="shared" si="12"/>
        <v>48.4375</v>
      </c>
      <c r="BQ18" s="7">
        <f t="shared" si="13"/>
        <v>48.4375</v>
      </c>
      <c r="BR18" s="7">
        <f t="shared" si="14"/>
        <v>0.0002120836893</v>
      </c>
    </row>
    <row r="19">
      <c r="A19" s="3">
        <v>18.0</v>
      </c>
      <c r="B19" s="1" t="s">
        <v>47</v>
      </c>
      <c r="C19" s="1">
        <f>countif('5B'!$U$2:$U$614, C$1)</f>
        <v>5</v>
      </c>
      <c r="D19" s="1">
        <f>countif('5B'!$U$2:$U$614, D$1)</f>
        <v>2</v>
      </c>
      <c r="E19" s="1">
        <f>countif('5B'!$U$2:$U$614, E$1)</f>
        <v>1</v>
      </c>
      <c r="F19" s="1">
        <f>countif('5B'!$U$2:$U$614, F$1)</f>
        <v>2</v>
      </c>
      <c r="G19" s="1">
        <f>countif('5B'!$U$2:$U$614, G$1)</f>
        <v>3</v>
      </c>
      <c r="H19" s="1">
        <f>countif('5B'!$U$2:$U$614, H$1)</f>
        <v>6</v>
      </c>
      <c r="I19" s="1">
        <f>countif('5B'!$U$2:$U$614, I$1)</f>
        <v>1</v>
      </c>
      <c r="J19" s="1">
        <f t="shared" si="4"/>
        <v>20</v>
      </c>
      <c r="K19" s="6">
        <f t="shared" si="5"/>
        <v>3.9</v>
      </c>
      <c r="N19" s="1">
        <f>countifs('5B'!$U$2:$U$614, N$1, '5B'!$B$2:$B$614, "&gt;"&amp;$L$2, '5B'!$B$2:$B$614, "&lt;"&amp;$M$2)</f>
        <v>0</v>
      </c>
      <c r="O19" s="1">
        <f>countifs('5B'!$U$2:$U$614, O$1, '5B'!$B$2:$B$614, "&gt;"&amp;$L$2, '5B'!$B$2:$B$614, "&lt;"&amp;$M$2)</f>
        <v>0</v>
      </c>
      <c r="P19" s="1">
        <f>countifs('5B'!$U$2:$U$614, P$1, '5B'!$B$2:$B$614, "&gt;"&amp;$L$2, '5B'!$B$2:$B$614, "&lt;"&amp;$M$2)</f>
        <v>0</v>
      </c>
      <c r="Q19" s="1">
        <f>countifs('5B'!$U$2:$U$614, Q$1, '5B'!$B$2:$B$614, "&gt;"&amp;$L$2, '5B'!$B$2:$B$614, "&lt;"&amp;$M$2)</f>
        <v>0</v>
      </c>
      <c r="R19" s="1">
        <f>countifs('5B'!$U$2:$U$614, R$1, '5B'!$B$2:$B$614, "&gt;"&amp;$L$2, '5B'!$B$2:$B$614, "&lt;"&amp;$M$2)</f>
        <v>0</v>
      </c>
      <c r="S19" s="1">
        <f>countifs('5B'!$U$2:$U$614, S$1, '5B'!$B$2:$B$614, "&gt;"&amp;$L$2, '5B'!$B$2:$B$614, "&lt;"&amp;$M$2)</f>
        <v>0</v>
      </c>
      <c r="T19" s="1">
        <f>countifs('5B'!$U$2:$U$614, T$1, '5B'!$B$2:$B$614, "&gt;"&amp;$L$2, '5B'!$B$2:$B$614, "&lt;"&amp;$M$2)</f>
        <v>0</v>
      </c>
      <c r="U19" s="1">
        <f>countifs('5B'!$U$2:$U$614, U$1, '5B'!$B$2:$B$614, "&gt;"&amp;$L$3, '5B'!$B$2:$B$614, "&lt;"&amp;$M$3)</f>
        <v>0</v>
      </c>
      <c r="V19" s="1">
        <f>countifs('5B'!$U$2:$U$614, V$1, '5B'!$B$2:$B$614, "&gt;"&amp;$L$3, '5B'!$B$2:$B$614, "&lt;"&amp;$M$3)</f>
        <v>0</v>
      </c>
      <c r="W19" s="1">
        <f>countifs('5B'!$U$2:$U$614, W$1, '5B'!$B$2:$B$614, "&gt;"&amp;$L$3, '5B'!$B$2:$B$614, "&lt;"&amp;$M$3)</f>
        <v>0</v>
      </c>
      <c r="X19" s="1">
        <f>countifs('5B'!$U$2:$U$614, X$1, '5B'!$B$2:$B$614, "&gt;"&amp;$L$3, '5B'!$B$2:$B$614, "&lt;"&amp;$M$3)</f>
        <v>0</v>
      </c>
      <c r="Y19" s="1">
        <f>countifs('5B'!$U$2:$U$614, Y$1, '5B'!$B$2:$B$614, "&gt;"&amp;$L$3, '5B'!$B$2:$B$614, "&lt;"&amp;$M$3)</f>
        <v>0</v>
      </c>
      <c r="Z19" s="1">
        <f>countifs('5B'!$U$2:$U$614, Z$1, '5B'!$B$2:$B$614, "&gt;"&amp;$L$3, '5B'!$B$2:$B$614, "&lt;"&amp;$M$3)</f>
        <v>0</v>
      </c>
      <c r="AA19" s="1">
        <f>countifs('5B'!$U$2:$U$614, AA$1, '5B'!$B$2:$B$614, "&gt;"&amp;$L$3, '5B'!$B$2:$B$614, "&lt;"&amp;$M$3)</f>
        <v>0</v>
      </c>
      <c r="AB19" s="1">
        <f>countifs('5B'!$U$2:$U$614, AB$1, '5B'!$B$2:$B$614, "&gt;"&amp;$L$4, '5B'!$B$2:$B$614, "&lt;"&amp;$M$4)</f>
        <v>0</v>
      </c>
      <c r="AC19" s="1">
        <f>countifs('5B'!$U$2:$U$614, AC$1, '5B'!$B$2:$B$614, "&gt;"&amp;$L$4, '5B'!$B$2:$B$614, "&lt;"&amp;$M$4)</f>
        <v>0</v>
      </c>
      <c r="AD19" s="1">
        <f>countifs('5B'!$U$2:$U$614, AD$1, '5B'!$B$2:$B$614, "&gt;"&amp;$L$4, '5B'!$B$2:$B$614, "&lt;"&amp;$M$4)</f>
        <v>0</v>
      </c>
      <c r="AE19" s="1">
        <f>countifs('5B'!$U$2:$U$614, AE$1, '5B'!$B$2:$B$614, "&gt;"&amp;$L$4, '5B'!$B$2:$B$614, "&lt;"&amp;$M$4)</f>
        <v>0</v>
      </c>
      <c r="AF19" s="1">
        <f>countifs('5B'!$U$2:$U$614, AF$1, '5B'!$B$2:$B$614, "&gt;"&amp;$L$4, '5B'!$B$2:$B$614, "&lt;"&amp;$M$4)</f>
        <v>0</v>
      </c>
      <c r="AG19" s="1">
        <f>countifs('5B'!$U$2:$U$614, AG$1, '5B'!$B$2:$B$614, "&gt;"&amp;$L$4, '5B'!$B$2:$B$614, "&lt;"&amp;$M$4)</f>
        <v>0</v>
      </c>
      <c r="AH19" s="1">
        <f>countifs('5B'!$U$2:$U$614, AH$1, '5B'!$B$2:$B$614, "&gt;"&amp;$L$4, '5B'!$B$2:$B$614, "&lt;"&amp;$M$4)</f>
        <v>0</v>
      </c>
      <c r="AI19" s="3">
        <v>9.0</v>
      </c>
      <c r="AJ19" s="3">
        <v>2.0</v>
      </c>
      <c r="AK19" s="3">
        <v>1.0</v>
      </c>
      <c r="AL19" s="6" t="str">
        <f>IFERROR(__xludf.DUMMYFUNCTION("AVERAGE.WEIGHTED($N$1:$T$1, N19:T19)"),"#DIV/0!")</f>
        <v>#DIV/0!</v>
      </c>
      <c r="AM19" s="6" t="str">
        <f>IFERROR(__xludf.DUMMYFUNCTION("AVERAGE.WEIGHTED($U$1:$AA$1, U19:AA19)"),"#DIV/0!")</f>
        <v>#DIV/0!</v>
      </c>
      <c r="AN19" s="12" t="str">
        <f>IFERROR(__xludf.DUMMYFUNCTION("AVERAGE.WEIGHTED($AB$1:$AH$1, AB19:AH19)"),"#DIV/0!")</f>
        <v>#DIV/0!</v>
      </c>
      <c r="AO19" s="6" t="str">
        <f t="shared" ref="AO19:AQ19" si="60">(AL19-1)*100/6</f>
        <v>#DIV/0!</v>
      </c>
      <c r="AP19" s="6" t="str">
        <f t="shared" si="60"/>
        <v>#DIV/0!</v>
      </c>
      <c r="AQ19" s="6" t="str">
        <f t="shared" si="60"/>
        <v>#DIV/0!</v>
      </c>
      <c r="AR19" s="1" t="str">
        <f t="shared" ref="AR19:AT19" si="61">Average($AO19:$AQ19)</f>
        <v>#DIV/0!</v>
      </c>
      <c r="AS19" s="1" t="str">
        <f t="shared" si="61"/>
        <v>#DIV/0!</v>
      </c>
      <c r="AT19" s="1" t="str">
        <f t="shared" si="61"/>
        <v>#DIV/0!</v>
      </c>
      <c r="AU19" s="7" t="str">
        <f t="shared" si="8"/>
        <v>#DIV/0!</v>
      </c>
      <c r="AV19" s="8">
        <f>countifs('5B'!$U$2:$U$529, AV$1, '5B'!$C$2:$C$529, "Karl")</f>
        <v>1</v>
      </c>
      <c r="AW19" s="8">
        <f>countifs('5B'!$U$2:$U$529, AW$1, '5B'!$C$2:$C$529, "Karl")</f>
        <v>0</v>
      </c>
      <c r="AX19" s="8">
        <f>countifs('5B'!$U$2:$U$529, AX$1, '5B'!$C$2:$C$529, "Karl")</f>
        <v>0</v>
      </c>
      <c r="AY19" s="8">
        <f>countifs('5B'!$U$2:$U$529, AY$1, '5B'!$C$2:$C$529, "Karl")</f>
        <v>1</v>
      </c>
      <c r="AZ19" s="8">
        <f>countifs('5B'!$U$2:$U$529, AZ$1, '5B'!$C$2:$C$529, "Karl")</f>
        <v>1</v>
      </c>
      <c r="BA19" s="8">
        <f>countifs('5B'!$U$2:$U$529, BA$1, '5B'!$C$2:$C$529, "Karl")</f>
        <v>0</v>
      </c>
      <c r="BB19" s="8">
        <f>countifs('5B'!$U$2:$U$529, BB$1, '5B'!$C$2:$C$529, "Karl")</f>
        <v>0</v>
      </c>
      <c r="BC19" s="8">
        <f>countifs('5B'!$U$2:$U$529, BC$1, '5B'!$C$2:$C$529, "Kona")</f>
        <v>4</v>
      </c>
      <c r="BD19" s="8">
        <f>countifs('5B'!$U$2:$U$529, BD$1, '5B'!$C$2:$C$529, "Kona")</f>
        <v>2</v>
      </c>
      <c r="BE19" s="8">
        <f>countifs('5B'!$U$2:$U$529, BE$1, '5B'!$C$2:$C$529, "Kona")</f>
        <v>1</v>
      </c>
      <c r="BF19" s="8">
        <f>countifs('5B'!$U$2:$U$529, BF$1, '5B'!$C$2:$C$529, "Kona")</f>
        <v>1</v>
      </c>
      <c r="BG19" s="8">
        <f>countifs('5B'!$U$2:$U$529, BG$1, '5B'!$C$2:$C$529, "Kona")</f>
        <v>2</v>
      </c>
      <c r="BH19" s="8">
        <f>countifs('5B'!$U$2:$U$529, BH$1, '5B'!$C$2:$C$529, "Kona")</f>
        <v>5</v>
      </c>
      <c r="BI19" s="8">
        <f>countifs('5B'!$U$2:$U$529, BI$1, '5B'!$C$2:$C$529, "Kona")</f>
        <v>1</v>
      </c>
      <c r="BJ19" s="8">
        <f t="shared" si="9"/>
        <v>3</v>
      </c>
      <c r="BK19" s="8">
        <f t="shared" si="10"/>
        <v>16</v>
      </c>
      <c r="BL19" s="6">
        <f>IFERROR(__xludf.DUMMYFUNCTION("AVERAGE.WEIGHTED($AV$1:$BB$1,AV19:BB19)"),3.3333333333333335)</f>
        <v>3.333333333</v>
      </c>
      <c r="BM19" s="6">
        <f>IFERROR(__xludf.DUMMYFUNCTION("AVERAGE.WEIGHTED($BC$1:$BI$1,BC19:BI19)"),3.875)</f>
        <v>3.875</v>
      </c>
      <c r="BN19" s="6">
        <f t="shared" ref="BN19:BO19" si="62">(BL19-1)*100/6</f>
        <v>38.88888889</v>
      </c>
      <c r="BO19" s="6">
        <f t="shared" si="62"/>
        <v>47.91666667</v>
      </c>
      <c r="BP19" s="7">
        <f t="shared" si="12"/>
        <v>43.40277778</v>
      </c>
      <c r="BQ19" s="7">
        <f t="shared" si="13"/>
        <v>43.40277778</v>
      </c>
      <c r="BR19" s="7">
        <f t="shared" si="14"/>
        <v>0.3325637549</v>
      </c>
    </row>
    <row r="20">
      <c r="A20" s="3">
        <v>19.0</v>
      </c>
      <c r="B20" s="1" t="s">
        <v>48</v>
      </c>
      <c r="C20" s="1">
        <f>countif('5B'!$V$2:$V$614, C$1)</f>
        <v>6</v>
      </c>
      <c r="D20" s="1">
        <f>countif('5B'!$V$2:$V$614, D$1)</f>
        <v>1</v>
      </c>
      <c r="E20" s="1">
        <f>countif('5B'!$V$2:$V$614, E$1)</f>
        <v>1</v>
      </c>
      <c r="F20" s="1">
        <f>countif('5B'!$V$2:$V$614, F$1)</f>
        <v>3</v>
      </c>
      <c r="G20" s="1">
        <f>countif('5B'!$V$2:$V$614, G$1)</f>
        <v>5</v>
      </c>
      <c r="H20" s="1">
        <f>countif('5B'!$V$2:$V$614, H$1)</f>
        <v>2</v>
      </c>
      <c r="I20" s="1">
        <f>countif('5B'!$V$2:$V$614, I$1)</f>
        <v>2</v>
      </c>
      <c r="J20" s="1">
        <f t="shared" si="4"/>
        <v>20</v>
      </c>
      <c r="K20" s="6">
        <f t="shared" si="5"/>
        <v>3.7</v>
      </c>
      <c r="N20" s="1">
        <f>countifs('5B'!$V$2:$V$614, N$1, '5B'!$B$2:$B$614, "&gt;"&amp;$L$2, '5B'!$B$2:$B$614, "&lt;"&amp;$M$2)</f>
        <v>0</v>
      </c>
      <c r="O20" s="1">
        <f>countifs('5B'!$V$2:$V$614, O$1, '5B'!$B$2:$B$614, "&gt;"&amp;$L$2, '5B'!$B$2:$B$614, "&lt;"&amp;$M$2)</f>
        <v>0</v>
      </c>
      <c r="P20" s="1">
        <f>countifs('5B'!$V$2:$V$614, P$1, '5B'!$B$2:$B$614, "&gt;"&amp;$L$2, '5B'!$B$2:$B$614, "&lt;"&amp;$M$2)</f>
        <v>0</v>
      </c>
      <c r="Q20" s="1">
        <f>countifs('5B'!$V$2:$V$614, Q$1, '5B'!$B$2:$B$614, "&gt;"&amp;$L$2, '5B'!$B$2:$B$614, "&lt;"&amp;$M$2)</f>
        <v>0</v>
      </c>
      <c r="R20" s="1">
        <f>countifs('5B'!$V$2:$V$614, R$1, '5B'!$B$2:$B$614, "&gt;"&amp;$L$2, '5B'!$B$2:$B$614, "&lt;"&amp;$M$2)</f>
        <v>0</v>
      </c>
      <c r="S20" s="1">
        <f>countifs('5B'!$V$2:$V$614, S$1, '5B'!$B$2:$B$614, "&gt;"&amp;$L$2, '5B'!$B$2:$B$614, "&lt;"&amp;$M$2)</f>
        <v>0</v>
      </c>
      <c r="T20" s="1">
        <f>countifs('5B'!$V$2:$V$614, T$1, '5B'!$B$2:$B$614, "&gt;"&amp;$L$2, '5B'!$B$2:$B$614, "&lt;"&amp;$M$2)</f>
        <v>0</v>
      </c>
      <c r="U20" s="1">
        <f>countifs('5B'!$V$2:$V$614, U$1, '5B'!$B$2:$B$614, "&gt;"&amp;$L$3, '5B'!$B$2:$B$614, "&lt;"&amp;$M$3)</f>
        <v>0</v>
      </c>
      <c r="V20" s="1">
        <f>countifs('5B'!$V$2:$V$614, V$1, '5B'!$B$2:$B$614, "&gt;"&amp;$L$3, '5B'!$B$2:$B$614, "&lt;"&amp;$M$3)</f>
        <v>0</v>
      </c>
      <c r="W20" s="1">
        <f>countifs('5B'!$V$2:$V$614, W$1, '5B'!$B$2:$B$614, "&gt;"&amp;$L$3, '5B'!$B$2:$B$614, "&lt;"&amp;$M$3)</f>
        <v>0</v>
      </c>
      <c r="X20" s="1">
        <f>countifs('5B'!$V$2:$V$614, X$1, '5B'!$B$2:$B$614, "&gt;"&amp;$L$3, '5B'!$B$2:$B$614, "&lt;"&amp;$M$3)</f>
        <v>0</v>
      </c>
      <c r="Y20" s="1">
        <f>countifs('5B'!$V$2:$V$614, Y$1, '5B'!$B$2:$B$614, "&gt;"&amp;$L$3, '5B'!$B$2:$B$614, "&lt;"&amp;$M$3)</f>
        <v>0</v>
      </c>
      <c r="Z20" s="1">
        <f>countifs('5B'!$V$2:$V$614, Z$1, '5B'!$B$2:$B$614, "&gt;"&amp;$L$3, '5B'!$B$2:$B$614, "&lt;"&amp;$M$3)</f>
        <v>0</v>
      </c>
      <c r="AA20" s="1">
        <f>countifs('5B'!$V$2:$V$614, AA$1, '5B'!$B$2:$B$614, "&gt;"&amp;$L$3, '5B'!$B$2:$B$614, "&lt;"&amp;$M$3)</f>
        <v>0</v>
      </c>
      <c r="AB20" s="1">
        <f>countifs('5B'!$V$2:$V$614, AB$1, '5B'!$B$2:$B$614, "&gt;"&amp;$L$4, '5B'!$B$2:$B$614, "&lt;"&amp;$M$4)</f>
        <v>0</v>
      </c>
      <c r="AC20" s="1">
        <f>countifs('5B'!$V$2:$V$614, AC$1, '5B'!$B$2:$B$614, "&gt;"&amp;$L$4, '5B'!$B$2:$B$614, "&lt;"&amp;$M$4)</f>
        <v>0</v>
      </c>
      <c r="AD20" s="1">
        <f>countifs('5B'!$V$2:$V$614, AD$1, '5B'!$B$2:$B$614, "&gt;"&amp;$L$4, '5B'!$B$2:$B$614, "&lt;"&amp;$M$4)</f>
        <v>0</v>
      </c>
      <c r="AE20" s="1">
        <f>countifs('5B'!$V$2:$V$614, AE$1, '5B'!$B$2:$B$614, "&gt;"&amp;$L$4, '5B'!$B$2:$B$614, "&lt;"&amp;$M$4)</f>
        <v>0</v>
      </c>
      <c r="AF20" s="1">
        <f>countifs('5B'!$V$2:$V$614, AF$1, '5B'!$B$2:$B$614, "&gt;"&amp;$L$4, '5B'!$B$2:$B$614, "&lt;"&amp;$M$4)</f>
        <v>0</v>
      </c>
      <c r="AG20" s="1">
        <f>countifs('5B'!$V$2:$V$614, AG$1, '5B'!$B$2:$B$614, "&gt;"&amp;$L$4, '5B'!$B$2:$B$614, "&lt;"&amp;$M$4)</f>
        <v>0</v>
      </c>
      <c r="AH20" s="1">
        <f>countifs('5B'!$V$2:$V$614, AH$1, '5B'!$B$2:$B$614, "&gt;"&amp;$L$4, '5B'!$B$2:$B$614, "&lt;"&amp;$M$4)</f>
        <v>0</v>
      </c>
      <c r="AI20" s="3">
        <v>9.0</v>
      </c>
      <c r="AJ20" s="3">
        <v>2.0</v>
      </c>
      <c r="AK20" s="3">
        <v>1.0</v>
      </c>
      <c r="AL20" s="6" t="str">
        <f>IFERROR(__xludf.DUMMYFUNCTION("AVERAGE.WEIGHTED($N$1:$T$1, N20:T20)"),"#DIV/0!")</f>
        <v>#DIV/0!</v>
      </c>
      <c r="AM20" s="6" t="str">
        <f>IFERROR(__xludf.DUMMYFUNCTION("AVERAGE.WEIGHTED($U$1:$AA$1, U20:AA20)"),"#DIV/0!")</f>
        <v>#DIV/0!</v>
      </c>
      <c r="AN20" s="12" t="str">
        <f>IFERROR(__xludf.DUMMYFUNCTION("AVERAGE.WEIGHTED($AB$1:$AH$1, AB20:AH20)"),"#DIV/0!")</f>
        <v>#DIV/0!</v>
      </c>
      <c r="AO20" s="6" t="str">
        <f t="shared" ref="AO20:AQ20" si="63">(AL20-1)*100/6</f>
        <v>#DIV/0!</v>
      </c>
      <c r="AP20" s="6" t="str">
        <f t="shared" si="63"/>
        <v>#DIV/0!</v>
      </c>
      <c r="AQ20" s="6" t="str">
        <f t="shared" si="63"/>
        <v>#DIV/0!</v>
      </c>
      <c r="AR20" s="1" t="str">
        <f t="shared" ref="AR20:AT20" si="64">Average($AO20:$AQ20)</f>
        <v>#DIV/0!</v>
      </c>
      <c r="AS20" s="1" t="str">
        <f t="shared" si="64"/>
        <v>#DIV/0!</v>
      </c>
      <c r="AT20" s="1" t="str">
        <f t="shared" si="64"/>
        <v>#DIV/0!</v>
      </c>
      <c r="AU20" s="7" t="str">
        <f t="shared" si="8"/>
        <v>#DIV/0!</v>
      </c>
      <c r="AV20" s="8">
        <f>countifs('5B'!$V$2:$V$529, AV$1, '5B'!$C$2:$C$529, "Karl")</f>
        <v>0</v>
      </c>
      <c r="AW20" s="8">
        <f>countifs('5B'!$V$2:$V$529, AW$1, '5B'!$C$2:$C$529, "Karl")</f>
        <v>0</v>
      </c>
      <c r="AX20" s="8">
        <f>countifs('5B'!$V$2:$V$529, AX$1, '5B'!$C$2:$C$529, "Karl")</f>
        <v>0</v>
      </c>
      <c r="AY20" s="8">
        <f>countifs('5B'!$V$2:$V$529, AY$1, '5B'!$C$2:$C$529, "Karl")</f>
        <v>0</v>
      </c>
      <c r="AZ20" s="8">
        <f>countifs('5B'!$V$2:$V$529, AZ$1, '5B'!$C$2:$C$529, "Karl")</f>
        <v>1</v>
      </c>
      <c r="BA20" s="8">
        <f>countifs('5B'!$V$2:$V$529, BA$1, '5B'!$C$2:$C$529, "Karl")</f>
        <v>1</v>
      </c>
      <c r="BB20" s="8">
        <f>countifs('5B'!$V$2:$V$529, BB$1, '5B'!$C$2:$C$529, "Karl")</f>
        <v>1</v>
      </c>
      <c r="BC20" s="8">
        <f>countifs('5B'!$V$2:$V$529, BC$1, '5B'!$C$2:$C$529, "Kona")</f>
        <v>6</v>
      </c>
      <c r="BD20" s="8">
        <f>countifs('5B'!$V$2:$V$529, BD$1, '5B'!$C$2:$C$529, "Kona")</f>
        <v>1</v>
      </c>
      <c r="BE20" s="8">
        <f>countifs('5B'!$V$2:$V$529, BE$1, '5B'!$C$2:$C$529, "Kona")</f>
        <v>1</v>
      </c>
      <c r="BF20" s="8">
        <f>countifs('5B'!$V$2:$V$529, BF$1, '5B'!$C$2:$C$529, "Kona")</f>
        <v>3</v>
      </c>
      <c r="BG20" s="8">
        <f>countifs('5B'!$V$2:$V$529, BG$1, '5B'!$C$2:$C$529, "Kona")</f>
        <v>3</v>
      </c>
      <c r="BH20" s="8">
        <f>countifs('5B'!$V$2:$V$529, BH$1, '5B'!$C$2:$C$529, "Kona")</f>
        <v>1</v>
      </c>
      <c r="BI20" s="8">
        <f>countifs('5B'!$V$2:$V$529, BI$1, '5B'!$C$2:$C$529, "Kona")</f>
        <v>1</v>
      </c>
      <c r="BJ20" s="8">
        <f t="shared" si="9"/>
        <v>3</v>
      </c>
      <c r="BK20" s="8">
        <f t="shared" si="10"/>
        <v>16</v>
      </c>
      <c r="BL20" s="6">
        <f>IFERROR(__xludf.DUMMYFUNCTION("AVERAGE.WEIGHTED($AV$1:$BB$1,AV20:BB20)"),6.0)</f>
        <v>6</v>
      </c>
      <c r="BM20" s="6">
        <f>IFERROR(__xludf.DUMMYFUNCTION("AVERAGE.WEIGHTED($BC$1:$BI$1,BC20:BI20)"),3.1875)</f>
        <v>3.1875</v>
      </c>
      <c r="BN20" s="6">
        <f t="shared" ref="BN20:BO20" si="65">(BL20-1)*100/6</f>
        <v>83.33333333</v>
      </c>
      <c r="BO20" s="6">
        <f t="shared" si="65"/>
        <v>36.45833333</v>
      </c>
      <c r="BP20" s="7">
        <f t="shared" si="12"/>
        <v>59.89583333</v>
      </c>
      <c r="BQ20" s="7">
        <f t="shared" si="13"/>
        <v>59.89583333</v>
      </c>
      <c r="BR20" s="7">
        <f t="shared" si="14"/>
        <v>0.00001845545511</v>
      </c>
    </row>
    <row r="21">
      <c r="A21" s="3">
        <v>20.0</v>
      </c>
      <c r="B21" s="1" t="s">
        <v>49</v>
      </c>
      <c r="C21" s="1">
        <f>countif('5B'!$W$2:$W$614, C$1)</f>
        <v>9</v>
      </c>
      <c r="D21" s="1">
        <f>countif('5B'!$W$2:$W$614, D$1)</f>
        <v>5</v>
      </c>
      <c r="E21" s="1">
        <f>countif('5B'!$W$2:$W$614, E$1)</f>
        <v>0</v>
      </c>
      <c r="F21" s="1">
        <f>countif('5B'!$W$2:$W$614, F$1)</f>
        <v>0</v>
      </c>
      <c r="G21" s="1">
        <f>countif('5B'!$W$2:$W$614, G$1)</f>
        <v>2</v>
      </c>
      <c r="H21" s="1">
        <f>countif('5B'!$W$2:$W$614, H$1)</f>
        <v>1</v>
      </c>
      <c r="I21" s="1">
        <f>countif('5B'!$W$2:$W$614, I$1)</f>
        <v>3</v>
      </c>
      <c r="J21" s="1">
        <f t="shared" si="4"/>
        <v>20</v>
      </c>
      <c r="K21" s="6">
        <f t="shared" si="5"/>
        <v>2.8</v>
      </c>
      <c r="N21" s="1">
        <f>countifs('5B'!$W$2:$W$614, N$1, '5B'!$B$2:$B$614, "&gt;"&amp;$L$2, '5B'!$B$2:$B$614, "&lt;"&amp;$M$2)</f>
        <v>0</v>
      </c>
      <c r="O21" s="1">
        <f>countifs('5B'!$W$2:$W$614, O$1, '5B'!$B$2:$B$614, "&gt;"&amp;$L$2, '5B'!$B$2:$B$614, "&lt;"&amp;$M$2)</f>
        <v>0</v>
      </c>
      <c r="P21" s="1">
        <f>countifs('5B'!$W$2:$W$614, P$1, '5B'!$B$2:$B$614, "&gt;"&amp;$L$2, '5B'!$B$2:$B$614, "&lt;"&amp;$M$2)</f>
        <v>0</v>
      </c>
      <c r="Q21" s="1">
        <f>countifs('5B'!$W$2:$W$614, Q$1, '5B'!$B$2:$B$614, "&gt;"&amp;$L$2, '5B'!$B$2:$B$614, "&lt;"&amp;$M$2)</f>
        <v>0</v>
      </c>
      <c r="R21" s="1">
        <f>countifs('5B'!$W$2:$W$614, R$1, '5B'!$B$2:$B$614, "&gt;"&amp;$L$2, '5B'!$B$2:$B$614, "&lt;"&amp;$M$2)</f>
        <v>0</v>
      </c>
      <c r="S21" s="1">
        <f>countifs('5B'!$W$2:$W$614, S$1, '5B'!$B$2:$B$614, "&gt;"&amp;$L$2, '5B'!$B$2:$B$614, "&lt;"&amp;$M$2)</f>
        <v>0</v>
      </c>
      <c r="T21" s="1">
        <f>countifs('5B'!$W$2:$W$614, T$1, '5B'!$B$2:$B$614, "&gt;"&amp;$L$2, '5B'!$B$2:$B$614, "&lt;"&amp;$M$2)</f>
        <v>0</v>
      </c>
      <c r="U21" s="1">
        <f>countifs('5B'!$W$2:$W$614, U$1, '5B'!$B$2:$B$614, "&gt;"&amp;$L$3, '5B'!$B$2:$B$614, "&lt;"&amp;$M$3)</f>
        <v>0</v>
      </c>
      <c r="V21" s="1">
        <f>countifs('5B'!$W$2:$W$614, V$1, '5B'!$B$2:$B$614, "&gt;"&amp;$L$3, '5B'!$B$2:$B$614, "&lt;"&amp;$M$3)</f>
        <v>0</v>
      </c>
      <c r="W21" s="1">
        <f>countifs('5B'!$W$2:$W$614, W$1, '5B'!$B$2:$B$614, "&gt;"&amp;$L$3, '5B'!$B$2:$B$614, "&lt;"&amp;$M$3)</f>
        <v>0</v>
      </c>
      <c r="X21" s="1">
        <f>countifs('5B'!$W$2:$W$614, X$1, '5B'!$B$2:$B$614, "&gt;"&amp;$L$3, '5B'!$B$2:$B$614, "&lt;"&amp;$M$3)</f>
        <v>0</v>
      </c>
      <c r="Y21" s="1">
        <f>countifs('5B'!$W$2:$W$614, Y$1, '5B'!$B$2:$B$614, "&gt;"&amp;$L$3, '5B'!$B$2:$B$614, "&lt;"&amp;$M$3)</f>
        <v>0</v>
      </c>
      <c r="Z21" s="1">
        <f>countifs('5B'!$W$2:$W$614, Z$1, '5B'!$B$2:$B$614, "&gt;"&amp;$L$3, '5B'!$B$2:$B$614, "&lt;"&amp;$M$3)</f>
        <v>0</v>
      </c>
      <c r="AA21" s="1">
        <f>countifs('5B'!$W$2:$W$614, AA$1, '5B'!$B$2:$B$614, "&gt;"&amp;$L$3, '5B'!$B$2:$B$614, "&lt;"&amp;$M$3)</f>
        <v>0</v>
      </c>
      <c r="AB21" s="1">
        <f>countifs('5B'!$W$2:$W$614, AB$1, '5B'!$B$2:$B$614, "&gt;"&amp;$L$4, '5B'!$B$2:$B$614, "&lt;"&amp;$M$4)</f>
        <v>0</v>
      </c>
      <c r="AC21" s="1">
        <f>countifs('5B'!$W$2:$W$614, AC$1, '5B'!$B$2:$B$614, "&gt;"&amp;$L$4, '5B'!$B$2:$B$614, "&lt;"&amp;$M$4)</f>
        <v>0</v>
      </c>
      <c r="AD21" s="1">
        <f>countifs('5B'!$W$2:$W$614, AD$1, '5B'!$B$2:$B$614, "&gt;"&amp;$L$4, '5B'!$B$2:$B$614, "&lt;"&amp;$M$4)</f>
        <v>0</v>
      </c>
      <c r="AE21" s="1">
        <f>countifs('5B'!$W$2:$W$614, AE$1, '5B'!$B$2:$B$614, "&gt;"&amp;$L$4, '5B'!$B$2:$B$614, "&lt;"&amp;$M$4)</f>
        <v>0</v>
      </c>
      <c r="AF21" s="1">
        <f>countifs('5B'!$W$2:$W$614, AF$1, '5B'!$B$2:$B$614, "&gt;"&amp;$L$4, '5B'!$B$2:$B$614, "&lt;"&amp;$M$4)</f>
        <v>0</v>
      </c>
      <c r="AG21" s="1">
        <f>countifs('5B'!$W$2:$W$614, AG$1, '5B'!$B$2:$B$614, "&gt;"&amp;$L$4, '5B'!$B$2:$B$614, "&lt;"&amp;$M$4)</f>
        <v>0</v>
      </c>
      <c r="AH21" s="1">
        <f>countifs('5B'!$W$2:$W$614, AH$1, '5B'!$B$2:$B$614, "&gt;"&amp;$L$4, '5B'!$B$2:$B$614, "&lt;"&amp;$M$4)</f>
        <v>0</v>
      </c>
      <c r="AI21" s="3">
        <v>9.0</v>
      </c>
      <c r="AJ21" s="3">
        <v>2.0</v>
      </c>
      <c r="AK21" s="3">
        <v>1.0</v>
      </c>
      <c r="AL21" s="6" t="str">
        <f>IFERROR(__xludf.DUMMYFUNCTION("AVERAGE.WEIGHTED($N$1:$T$1, N21:T21)"),"#DIV/0!")</f>
        <v>#DIV/0!</v>
      </c>
      <c r="AM21" s="6" t="str">
        <f>IFERROR(__xludf.DUMMYFUNCTION("AVERAGE.WEIGHTED($U$1:$AA$1, U21:AA21)"),"#DIV/0!")</f>
        <v>#DIV/0!</v>
      </c>
      <c r="AN21" s="12" t="str">
        <f>IFERROR(__xludf.DUMMYFUNCTION("AVERAGE.WEIGHTED($AB$1:$AH$1, AB21:AH21)"),"#DIV/0!")</f>
        <v>#DIV/0!</v>
      </c>
      <c r="AO21" s="6" t="str">
        <f t="shared" ref="AO21:AQ21" si="66">(AL21-1)*100/6</f>
        <v>#DIV/0!</v>
      </c>
      <c r="AP21" s="6" t="str">
        <f t="shared" si="66"/>
        <v>#DIV/0!</v>
      </c>
      <c r="AQ21" s="6" t="str">
        <f t="shared" si="66"/>
        <v>#DIV/0!</v>
      </c>
      <c r="AR21" s="1" t="str">
        <f t="shared" ref="AR21:AT21" si="67">Average($AO21:$AQ21)</f>
        <v>#DIV/0!</v>
      </c>
      <c r="AS21" s="1" t="str">
        <f t="shared" si="67"/>
        <v>#DIV/0!</v>
      </c>
      <c r="AT21" s="1" t="str">
        <f t="shared" si="67"/>
        <v>#DIV/0!</v>
      </c>
      <c r="AU21" s="7" t="str">
        <f t="shared" si="8"/>
        <v>#DIV/0!</v>
      </c>
      <c r="AV21" s="8">
        <f>countifs('5B'!$W$2:$W$529, AV$1, '5B'!$C$2:$C$529, "Karl")</f>
        <v>2</v>
      </c>
      <c r="AW21" s="8">
        <f>countifs('5B'!$W$2:$W$529, AW$1, '5B'!$C$2:$C$529, "Karl")</f>
        <v>0</v>
      </c>
      <c r="AX21" s="8">
        <f>countifs('5B'!$W$2:$W$529, AX$1, '5B'!$C$2:$C$529, "Karl")</f>
        <v>0</v>
      </c>
      <c r="AY21" s="8">
        <f>countifs('5B'!$W$2:$W$529, AY$1, '5B'!$C$2:$C$529, "Karl")</f>
        <v>0</v>
      </c>
      <c r="AZ21" s="8">
        <f>countifs('5B'!$W$2:$W$529, AZ$1, '5B'!$C$2:$C$529, "Karl")</f>
        <v>0</v>
      </c>
      <c r="BA21" s="8">
        <f>countifs('5B'!$W$2:$W$529, BA$1, '5B'!$C$2:$C$529, "Karl")</f>
        <v>0</v>
      </c>
      <c r="BB21" s="8">
        <f>countifs('5B'!$W$2:$W$529, BB$1, '5B'!$C$2:$C$529, "Karl")</f>
        <v>1</v>
      </c>
      <c r="BC21" s="8">
        <f>countifs('5B'!$W$2:$W$529, BC$1, '5B'!$C$2:$C$529, "Kona")</f>
        <v>7</v>
      </c>
      <c r="BD21" s="8">
        <f>countifs('5B'!$W$2:$W$529, BD$1, '5B'!$C$2:$C$529, "Kona")</f>
        <v>4</v>
      </c>
      <c r="BE21" s="8">
        <f>countifs('5B'!$W$2:$W$529, BE$1, '5B'!$C$2:$C$529, "Kona")</f>
        <v>0</v>
      </c>
      <c r="BF21" s="8">
        <f>countifs('5B'!$W$2:$W$529, BF$1, '5B'!$C$2:$C$529, "Kona")</f>
        <v>0</v>
      </c>
      <c r="BG21" s="8">
        <f>countifs('5B'!$W$2:$W$529, BG$1, '5B'!$C$2:$C$529, "Kona")</f>
        <v>2</v>
      </c>
      <c r="BH21" s="8">
        <f>countifs('5B'!$W$2:$W$529, BH$1, '5B'!$C$2:$C$529, "Kona")</f>
        <v>1</v>
      </c>
      <c r="BI21" s="8">
        <f>countifs('5B'!$W$2:$W$529, BI$1, '5B'!$C$2:$C$529, "Kona")</f>
        <v>2</v>
      </c>
      <c r="BJ21" s="8">
        <f t="shared" si="9"/>
        <v>3</v>
      </c>
      <c r="BK21" s="8">
        <f t="shared" si="10"/>
        <v>16</v>
      </c>
      <c r="BL21" s="6">
        <f>IFERROR(__xludf.DUMMYFUNCTION("AVERAGE.WEIGHTED($AV$1:$BB$1,AV21:BB21)"),3.0)</f>
        <v>3</v>
      </c>
      <c r="BM21" s="6">
        <f>IFERROR(__xludf.DUMMYFUNCTION("AVERAGE.WEIGHTED($BC$1:$BI$1,BC21:BI21)"),2.8125)</f>
        <v>2.8125</v>
      </c>
      <c r="BN21" s="6">
        <f t="shared" ref="BN21:BO21" si="68">(BL21-1)*100/6</f>
        <v>33.33333333</v>
      </c>
      <c r="BO21" s="6">
        <f t="shared" si="68"/>
        <v>30.20833333</v>
      </c>
      <c r="BP21" s="7">
        <f t="shared" si="12"/>
        <v>31.77083333</v>
      </c>
      <c r="BQ21" s="7">
        <f t="shared" si="13"/>
        <v>31.77083333</v>
      </c>
      <c r="BR21" s="7">
        <f t="shared" si="14"/>
        <v>0.6950351018</v>
      </c>
    </row>
    <row r="22">
      <c r="A22" s="3">
        <v>21.0</v>
      </c>
      <c r="B22" s="1" t="s">
        <v>50</v>
      </c>
      <c r="C22" s="1">
        <f>countif('5B'!$X$2:$X$614, C$1)</f>
        <v>4</v>
      </c>
      <c r="D22" s="1">
        <f>countif('5B'!$X$2:$X$614, D$1)</f>
        <v>1</v>
      </c>
      <c r="E22" s="1">
        <f>countif('5B'!$X$2:$X$614, E$1)</f>
        <v>3</v>
      </c>
      <c r="F22" s="1">
        <f>countif('5B'!$X$2:$X$614, F$1)</f>
        <v>3</v>
      </c>
      <c r="G22" s="1">
        <f>countif('5B'!$X$2:$X$614, G$1)</f>
        <v>2</v>
      </c>
      <c r="H22" s="1">
        <f>countif('5B'!$X$2:$X$614, H$1)</f>
        <v>3</v>
      </c>
      <c r="I22" s="1">
        <f>countif('5B'!$X$2:$X$614, I$1)</f>
        <v>4</v>
      </c>
      <c r="J22" s="1">
        <f t="shared" si="4"/>
        <v>20</v>
      </c>
      <c r="K22" s="6">
        <f t="shared" si="5"/>
        <v>4.15</v>
      </c>
      <c r="N22" s="1">
        <f>countifs('5B'!$X$2:$X$614, N$1, '5B'!$B$2:$B$614, "&gt;"&amp;$L$2, '5B'!$B$2:$B$614, "&lt;"&amp;$M$2)</f>
        <v>0</v>
      </c>
      <c r="O22" s="1">
        <f>countifs('5B'!$X$2:$X$614, O$1, '5B'!$B$2:$B$614, "&gt;"&amp;$L$2, '5B'!$B$2:$B$614, "&lt;"&amp;$M$2)</f>
        <v>0</v>
      </c>
      <c r="P22" s="1">
        <f>countifs('5B'!$X$2:$X$614, P$1, '5B'!$B$2:$B$614, "&gt;"&amp;$L$2, '5B'!$B$2:$B$614, "&lt;"&amp;$M$2)</f>
        <v>0</v>
      </c>
      <c r="Q22" s="1">
        <f>countifs('5B'!$X$2:$X$614, Q$1, '5B'!$B$2:$B$614, "&gt;"&amp;$L$2, '5B'!$B$2:$B$614, "&lt;"&amp;$M$2)</f>
        <v>0</v>
      </c>
      <c r="R22" s="1">
        <f>countifs('5B'!$X$2:$X$614, R$1, '5B'!$B$2:$B$614, "&gt;"&amp;$L$2, '5B'!$B$2:$B$614, "&lt;"&amp;$M$2)</f>
        <v>0</v>
      </c>
      <c r="S22" s="1">
        <f>countifs('5B'!$X$2:$X$614, S$1, '5B'!$B$2:$B$614, "&gt;"&amp;$L$2, '5B'!$B$2:$B$614, "&lt;"&amp;$M$2)</f>
        <v>0</v>
      </c>
      <c r="T22" s="1">
        <f>countifs('5B'!$X$2:$X$614, T$1, '5B'!$B$2:$B$614, "&gt;"&amp;$L$2, '5B'!$B$2:$B$614, "&lt;"&amp;$M$2)</f>
        <v>0</v>
      </c>
      <c r="U22" s="1">
        <f>countifs('5B'!$X$2:$X$614, U$1, '5B'!$B$2:$B$614, "&gt;"&amp;$L$3, '5B'!$B$2:$B$614, "&lt;"&amp;$M$3)</f>
        <v>0</v>
      </c>
      <c r="V22" s="1">
        <f>countifs('5B'!$X$2:$X$614, V$1, '5B'!$B$2:$B$614, "&gt;"&amp;$L$3, '5B'!$B$2:$B$614, "&lt;"&amp;$M$3)</f>
        <v>0</v>
      </c>
      <c r="W22" s="1">
        <f>countifs('5B'!$X$2:$X$614, W$1, '5B'!$B$2:$B$614, "&gt;"&amp;$L$3, '5B'!$B$2:$B$614, "&lt;"&amp;$M$3)</f>
        <v>0</v>
      </c>
      <c r="X22" s="1">
        <f>countifs('5B'!$X$2:$X$614, X$1, '5B'!$B$2:$B$614, "&gt;"&amp;$L$3, '5B'!$B$2:$B$614, "&lt;"&amp;$M$3)</f>
        <v>0</v>
      </c>
      <c r="Y22" s="1">
        <f>countifs('5B'!$X$2:$X$614, Y$1, '5B'!$B$2:$B$614, "&gt;"&amp;$L$3, '5B'!$B$2:$B$614, "&lt;"&amp;$M$3)</f>
        <v>0</v>
      </c>
      <c r="Z22" s="1">
        <f>countifs('5B'!$X$2:$X$614, Z$1, '5B'!$B$2:$B$614, "&gt;"&amp;$L$3, '5B'!$B$2:$B$614, "&lt;"&amp;$M$3)</f>
        <v>0</v>
      </c>
      <c r="AA22" s="1">
        <f>countifs('5B'!$X$2:$X$614, AA$1, '5B'!$B$2:$B$614, "&gt;"&amp;$L$3, '5B'!$B$2:$B$614, "&lt;"&amp;$M$3)</f>
        <v>0</v>
      </c>
      <c r="AB22" s="1">
        <f>countifs('5B'!$X$2:$X$614, AB$1, '5B'!$B$2:$B$614, "&gt;"&amp;$L$4, '5B'!$B$2:$B$614, "&lt;"&amp;$M$4)</f>
        <v>0</v>
      </c>
      <c r="AC22" s="1">
        <f>countifs('5B'!$X$2:$X$614, AC$1, '5B'!$B$2:$B$614, "&gt;"&amp;$L$4, '5B'!$B$2:$B$614, "&lt;"&amp;$M$4)</f>
        <v>0</v>
      </c>
      <c r="AD22" s="1">
        <f>countifs('5B'!$X$2:$X$614, AD$1, '5B'!$B$2:$B$614, "&gt;"&amp;$L$4, '5B'!$B$2:$B$614, "&lt;"&amp;$M$4)</f>
        <v>0</v>
      </c>
      <c r="AE22" s="1">
        <f>countifs('5B'!$X$2:$X$614, AE$1, '5B'!$B$2:$B$614, "&gt;"&amp;$L$4, '5B'!$B$2:$B$614, "&lt;"&amp;$M$4)</f>
        <v>0</v>
      </c>
      <c r="AF22" s="1">
        <f>countifs('5B'!$X$2:$X$614, AF$1, '5B'!$B$2:$B$614, "&gt;"&amp;$L$4, '5B'!$B$2:$B$614, "&lt;"&amp;$M$4)</f>
        <v>0</v>
      </c>
      <c r="AG22" s="1">
        <f>countifs('5B'!$X$2:$X$614, AG$1, '5B'!$B$2:$B$614, "&gt;"&amp;$L$4, '5B'!$B$2:$B$614, "&lt;"&amp;$M$4)</f>
        <v>0</v>
      </c>
      <c r="AH22" s="1">
        <f>countifs('5B'!$X$2:$X$614, AH$1, '5B'!$B$2:$B$614, "&gt;"&amp;$L$4, '5B'!$B$2:$B$614, "&lt;"&amp;$M$4)</f>
        <v>0</v>
      </c>
      <c r="AI22" s="3">
        <v>9.0</v>
      </c>
      <c r="AJ22" s="3">
        <v>2.0</v>
      </c>
      <c r="AK22" s="3">
        <v>1.0</v>
      </c>
      <c r="AL22" s="6" t="str">
        <f>IFERROR(__xludf.DUMMYFUNCTION("AVERAGE.WEIGHTED($N$1:$T$1, N22:T22)"),"#DIV/0!")</f>
        <v>#DIV/0!</v>
      </c>
      <c r="AM22" s="6" t="str">
        <f>IFERROR(__xludf.DUMMYFUNCTION("AVERAGE.WEIGHTED($U$1:$AA$1, U22:AA22)"),"#DIV/0!")</f>
        <v>#DIV/0!</v>
      </c>
      <c r="AN22" s="12" t="str">
        <f>IFERROR(__xludf.DUMMYFUNCTION("AVERAGE.WEIGHTED($AB$1:$AH$1, AB22:AH22)"),"#DIV/0!")</f>
        <v>#DIV/0!</v>
      </c>
      <c r="AO22" s="6" t="str">
        <f t="shared" ref="AO22:AQ22" si="69">(AL22-1)*100/6</f>
        <v>#DIV/0!</v>
      </c>
      <c r="AP22" s="6" t="str">
        <f t="shared" si="69"/>
        <v>#DIV/0!</v>
      </c>
      <c r="AQ22" s="6" t="str">
        <f t="shared" si="69"/>
        <v>#DIV/0!</v>
      </c>
      <c r="AR22" s="1" t="str">
        <f t="shared" ref="AR22:AT22" si="70">Average($AO22:$AQ22)</f>
        <v>#DIV/0!</v>
      </c>
      <c r="AS22" s="1" t="str">
        <f t="shared" si="70"/>
        <v>#DIV/0!</v>
      </c>
      <c r="AT22" s="1" t="str">
        <f t="shared" si="70"/>
        <v>#DIV/0!</v>
      </c>
      <c r="AU22" s="7" t="str">
        <f t="shared" si="8"/>
        <v>#DIV/0!</v>
      </c>
      <c r="AV22" s="8">
        <f>countifs('5B'!$X$2:$X$529, AV$1, '5B'!$C$2:$C$529, "Karl")</f>
        <v>2</v>
      </c>
      <c r="AW22" s="8">
        <f>countifs('5B'!$X$2:$X$529, AW$1, '5B'!$C$2:$C$529, "Karl")</f>
        <v>0</v>
      </c>
      <c r="AX22" s="8">
        <f>countifs('5B'!$X$2:$X$529, AX$1, '5B'!$C$2:$C$529, "Karl")</f>
        <v>0</v>
      </c>
      <c r="AY22" s="8">
        <f>countifs('5B'!$X$2:$X$529, AY$1, '5B'!$C$2:$C$529, "Karl")</f>
        <v>0</v>
      </c>
      <c r="AZ22" s="8">
        <f>countifs('5B'!$X$2:$X$529, AZ$1, '5B'!$C$2:$C$529, "Karl")</f>
        <v>0</v>
      </c>
      <c r="BA22" s="8">
        <f>countifs('5B'!$X$2:$X$529, BA$1, '5B'!$C$2:$C$529, "Karl")</f>
        <v>0</v>
      </c>
      <c r="BB22" s="8">
        <f>countifs('5B'!$X$2:$X$529, BB$1, '5B'!$C$2:$C$529, "Karl")</f>
        <v>1</v>
      </c>
      <c r="BC22" s="8">
        <f>countifs('5B'!$X$2:$X$529, BC$1, '5B'!$C$2:$C$529, "Kona")</f>
        <v>2</v>
      </c>
      <c r="BD22" s="8">
        <f>countifs('5B'!$X$2:$X$529, BD$1, '5B'!$C$2:$C$529, "Kona")</f>
        <v>1</v>
      </c>
      <c r="BE22" s="8">
        <f>countifs('5B'!$X$2:$X$529, BE$1, '5B'!$C$2:$C$529, "Kona")</f>
        <v>2</v>
      </c>
      <c r="BF22" s="8">
        <f>countifs('5B'!$X$2:$X$529, BF$1, '5B'!$C$2:$C$529, "Kona")</f>
        <v>3</v>
      </c>
      <c r="BG22" s="8">
        <f>countifs('5B'!$X$2:$X$529, BG$1, '5B'!$C$2:$C$529, "Kona")</f>
        <v>2</v>
      </c>
      <c r="BH22" s="8">
        <f>countifs('5B'!$X$2:$X$529, BH$1, '5B'!$C$2:$C$529, "Kona")</f>
        <v>3</v>
      </c>
      <c r="BI22" s="8">
        <f>countifs('5B'!$X$2:$X$529, BI$1, '5B'!$C$2:$C$529, "Kona")</f>
        <v>3</v>
      </c>
      <c r="BJ22" s="8">
        <f t="shared" si="9"/>
        <v>3</v>
      </c>
      <c r="BK22" s="8">
        <f t="shared" si="10"/>
        <v>16</v>
      </c>
      <c r="BL22" s="6">
        <f>IFERROR(__xludf.DUMMYFUNCTION("AVERAGE.WEIGHTED($AV$1:$BB$1,AV22:BB22)"),3.0)</f>
        <v>3</v>
      </c>
      <c r="BM22" s="6">
        <f>IFERROR(__xludf.DUMMYFUNCTION("AVERAGE.WEIGHTED($BC$1:$BI$1,BC22:BI22)"),4.4375)</f>
        <v>4.4375</v>
      </c>
      <c r="BN22" s="6">
        <f t="shared" ref="BN22:BO22" si="71">(BL22-1)*100/6</f>
        <v>33.33333333</v>
      </c>
      <c r="BO22" s="6">
        <f t="shared" si="71"/>
        <v>57.29166667</v>
      </c>
      <c r="BP22" s="7">
        <f t="shared" si="12"/>
        <v>45.3125</v>
      </c>
      <c r="BQ22" s="7">
        <f t="shared" si="13"/>
        <v>45.3125</v>
      </c>
      <c r="BR22" s="7">
        <f t="shared" si="14"/>
        <v>0.01184574176</v>
      </c>
    </row>
    <row r="23">
      <c r="A23" s="3">
        <v>22.0</v>
      </c>
      <c r="B23" s="1" t="s">
        <v>51</v>
      </c>
      <c r="C23" s="1">
        <f>countif('5B'!$Y$2:$Y$614, C$1)</f>
        <v>5</v>
      </c>
      <c r="D23" s="1">
        <f>countif('5B'!$Y$2:$Y$614, D$1)</f>
        <v>1</v>
      </c>
      <c r="E23" s="1">
        <f>countif('5B'!$Y$2:$Y$614, E$1)</f>
        <v>2</v>
      </c>
      <c r="F23" s="1">
        <f>countif('5B'!$Y$2:$Y$614, F$1)</f>
        <v>0</v>
      </c>
      <c r="G23" s="1">
        <f>countif('5B'!$Y$2:$Y$614, G$1)</f>
        <v>2</v>
      </c>
      <c r="H23" s="1">
        <f>countif('5B'!$Y$2:$Y$614, H$1)</f>
        <v>3</v>
      </c>
      <c r="I23" s="1">
        <f>countif('5B'!$Y$2:$Y$614, I$1)</f>
        <v>7</v>
      </c>
      <c r="J23" s="1">
        <f t="shared" si="4"/>
        <v>20</v>
      </c>
      <c r="K23" s="6">
        <f t="shared" si="5"/>
        <v>4.5</v>
      </c>
      <c r="N23" s="1">
        <f>countifs('5B'!$Y$2:$Y$614, N$1, '5B'!$B$2:$B$614, "&gt;"&amp;$L$2, '5B'!$B$2:$B$614, "&lt;"&amp;$M$2)</f>
        <v>0</v>
      </c>
      <c r="O23" s="1">
        <f>countifs('5B'!$Y$2:$Y$614, O$1, '5B'!$B$2:$B$614, "&gt;"&amp;$L$2, '5B'!$B$2:$B$614, "&lt;"&amp;$M$2)</f>
        <v>0</v>
      </c>
      <c r="P23" s="1">
        <f>countifs('5B'!$Y$2:$Y$614, P$1, '5B'!$B$2:$B$614, "&gt;"&amp;$L$2, '5B'!$B$2:$B$614, "&lt;"&amp;$M$2)</f>
        <v>0</v>
      </c>
      <c r="Q23" s="1">
        <f>countifs('5B'!$Y$2:$Y$614, Q$1, '5B'!$B$2:$B$614, "&gt;"&amp;$L$2, '5B'!$B$2:$B$614, "&lt;"&amp;$M$2)</f>
        <v>0</v>
      </c>
      <c r="R23" s="1">
        <f>countifs('5B'!$Y$2:$Y$614, R$1, '5B'!$B$2:$B$614, "&gt;"&amp;$L$2, '5B'!$B$2:$B$614, "&lt;"&amp;$M$2)</f>
        <v>0</v>
      </c>
      <c r="S23" s="1">
        <f>countifs('5B'!$Y$2:$Y$614, S$1, '5B'!$B$2:$B$614, "&gt;"&amp;$L$2, '5B'!$B$2:$B$614, "&lt;"&amp;$M$2)</f>
        <v>0</v>
      </c>
      <c r="T23" s="1">
        <f>countifs('5B'!$Y$2:$Y$614, T$1, '5B'!$B$2:$B$614, "&gt;"&amp;$L$2, '5B'!$B$2:$B$614, "&lt;"&amp;$M$2)</f>
        <v>0</v>
      </c>
      <c r="U23" s="1">
        <f>countifs('5B'!$Y$2:$Y$614, U$1, '5B'!$B$2:$B$614, "&gt;"&amp;$L$3, '5B'!$B$2:$B$614, "&lt;"&amp;$M$3)</f>
        <v>0</v>
      </c>
      <c r="V23" s="1">
        <f>countifs('5B'!$Y$2:$Y$614, V$1, '5B'!$B$2:$B$614, "&gt;"&amp;$L$3, '5B'!$B$2:$B$614, "&lt;"&amp;$M$3)</f>
        <v>0</v>
      </c>
      <c r="W23" s="1">
        <f>countifs('5B'!$Y$2:$Y$614, W$1, '5B'!$B$2:$B$614, "&gt;"&amp;$L$3, '5B'!$B$2:$B$614, "&lt;"&amp;$M$3)</f>
        <v>0</v>
      </c>
      <c r="X23" s="1">
        <f>countifs('5B'!$Y$2:$Y$614, X$1, '5B'!$B$2:$B$614, "&gt;"&amp;$L$3, '5B'!$B$2:$B$614, "&lt;"&amp;$M$3)</f>
        <v>0</v>
      </c>
      <c r="Y23" s="1">
        <f>countifs('5B'!$Y$2:$Y$614, Y$1, '5B'!$B$2:$B$614, "&gt;"&amp;$L$3, '5B'!$B$2:$B$614, "&lt;"&amp;$M$3)</f>
        <v>0</v>
      </c>
      <c r="Z23" s="1">
        <f>countifs('5B'!$Y$2:$Y$614, Z$1, '5B'!$B$2:$B$614, "&gt;"&amp;$L$3, '5B'!$B$2:$B$614, "&lt;"&amp;$M$3)</f>
        <v>0</v>
      </c>
      <c r="AA23" s="1">
        <f>countifs('5B'!$Y$2:$Y$614, AA$1, '5B'!$B$2:$B$614, "&gt;"&amp;$L$3, '5B'!$B$2:$B$614, "&lt;"&amp;$M$3)</f>
        <v>0</v>
      </c>
      <c r="AB23" s="1">
        <f>countifs('5B'!$Y$2:$Y$614, AB$1, '5B'!$B$2:$B$614, "&gt;"&amp;$L$4, '5B'!$B$2:$B$614, "&lt;"&amp;$M$4)</f>
        <v>0</v>
      </c>
      <c r="AC23" s="1">
        <f>countifs('5B'!$Y$2:$Y$614, AC$1, '5B'!$B$2:$B$614, "&gt;"&amp;$L$4, '5B'!$B$2:$B$614, "&lt;"&amp;$M$4)</f>
        <v>0</v>
      </c>
      <c r="AD23" s="1">
        <f>countifs('5B'!$Y$2:$Y$614, AD$1, '5B'!$B$2:$B$614, "&gt;"&amp;$L$4, '5B'!$B$2:$B$614, "&lt;"&amp;$M$4)</f>
        <v>0</v>
      </c>
      <c r="AE23" s="1">
        <f>countifs('5B'!$Y$2:$Y$614, AE$1, '5B'!$B$2:$B$614, "&gt;"&amp;$L$4, '5B'!$B$2:$B$614, "&lt;"&amp;$M$4)</f>
        <v>0</v>
      </c>
      <c r="AF23" s="1">
        <f>countifs('5B'!$Y$2:$Y$614, AF$1, '5B'!$B$2:$B$614, "&gt;"&amp;$L$4, '5B'!$B$2:$B$614, "&lt;"&amp;$M$4)</f>
        <v>0</v>
      </c>
      <c r="AG23" s="1">
        <f>countifs('5B'!$Y$2:$Y$614, AG$1, '5B'!$B$2:$B$614, "&gt;"&amp;$L$4, '5B'!$B$2:$B$614, "&lt;"&amp;$M$4)</f>
        <v>0</v>
      </c>
      <c r="AH23" s="1">
        <f>countifs('5B'!$Y$2:$Y$614, AH$1, '5B'!$B$2:$B$614, "&gt;"&amp;$L$4, '5B'!$B$2:$B$614, "&lt;"&amp;$M$4)</f>
        <v>0</v>
      </c>
      <c r="AI23" s="3">
        <v>9.0</v>
      </c>
      <c r="AJ23" s="3">
        <v>2.0</v>
      </c>
      <c r="AK23" s="3">
        <v>1.0</v>
      </c>
      <c r="AL23" s="6" t="str">
        <f>IFERROR(__xludf.DUMMYFUNCTION("AVERAGE.WEIGHTED($N$1:$T$1, N23:T23)"),"#DIV/0!")</f>
        <v>#DIV/0!</v>
      </c>
      <c r="AM23" s="6" t="str">
        <f>IFERROR(__xludf.DUMMYFUNCTION("AVERAGE.WEIGHTED($U$1:$AA$1, U23:AA23)"),"#DIV/0!")</f>
        <v>#DIV/0!</v>
      </c>
      <c r="AN23" s="12" t="str">
        <f>IFERROR(__xludf.DUMMYFUNCTION("AVERAGE.WEIGHTED($AB$1:$AH$1, AB23:AH23)"),"#DIV/0!")</f>
        <v>#DIV/0!</v>
      </c>
      <c r="AO23" s="6" t="str">
        <f t="shared" ref="AO23:AQ23" si="72">(AL23-1)*100/6</f>
        <v>#DIV/0!</v>
      </c>
      <c r="AP23" s="6" t="str">
        <f t="shared" si="72"/>
        <v>#DIV/0!</v>
      </c>
      <c r="AQ23" s="6" t="str">
        <f t="shared" si="72"/>
        <v>#DIV/0!</v>
      </c>
      <c r="AR23" s="1" t="str">
        <f t="shared" ref="AR23:AT23" si="73">Average($AO23:$AQ23)</f>
        <v>#DIV/0!</v>
      </c>
      <c r="AS23" s="1" t="str">
        <f t="shared" si="73"/>
        <v>#DIV/0!</v>
      </c>
      <c r="AT23" s="1" t="str">
        <f t="shared" si="73"/>
        <v>#DIV/0!</v>
      </c>
      <c r="AU23" s="7" t="str">
        <f t="shared" si="8"/>
        <v>#DIV/0!</v>
      </c>
      <c r="AV23" s="8">
        <f>countifs('5B'!$Y$2:$Y$529, AV$1, '5B'!$C$2:$C$529, "Karl")</f>
        <v>0</v>
      </c>
      <c r="AW23" s="8">
        <f>countifs('5B'!$Y$2:$Y$529, AW$1, '5B'!$C$2:$C$529, "Karl")</f>
        <v>0</v>
      </c>
      <c r="AX23" s="8">
        <f>countifs('5B'!$Y$2:$Y$529, AX$1, '5B'!$C$2:$C$529, "Karl")</f>
        <v>0</v>
      </c>
      <c r="AY23" s="8">
        <f>countifs('5B'!$Y$2:$Y$529, AY$1, '5B'!$C$2:$C$529, "Karl")</f>
        <v>0</v>
      </c>
      <c r="AZ23" s="8">
        <f>countifs('5B'!$Y$2:$Y$529, AZ$1, '5B'!$C$2:$C$529, "Karl")</f>
        <v>0</v>
      </c>
      <c r="BA23" s="8">
        <f>countifs('5B'!$Y$2:$Y$529, BA$1, '5B'!$C$2:$C$529, "Karl")</f>
        <v>0</v>
      </c>
      <c r="BB23" s="8">
        <f>countifs('5B'!$Y$2:$Y$529, BB$1, '5B'!$C$2:$C$529, "Karl")</f>
        <v>3</v>
      </c>
      <c r="BC23" s="8">
        <f>countifs('5B'!$Y$2:$Y$529, BC$1, '5B'!$C$2:$C$529, "Kona")</f>
        <v>5</v>
      </c>
      <c r="BD23" s="8">
        <f>countifs('5B'!$Y$2:$Y$529, BD$1, '5B'!$C$2:$C$529, "Kona")</f>
        <v>1</v>
      </c>
      <c r="BE23" s="8">
        <f>countifs('5B'!$Y$2:$Y$529, BE$1, '5B'!$C$2:$C$529, "Kona")</f>
        <v>2</v>
      </c>
      <c r="BF23" s="8">
        <f>countifs('5B'!$Y$2:$Y$529, BF$1, '5B'!$C$2:$C$529, "Kona")</f>
        <v>0</v>
      </c>
      <c r="BG23" s="8">
        <f>countifs('5B'!$Y$2:$Y$529, BG$1, '5B'!$C$2:$C$529, "Kona")</f>
        <v>1</v>
      </c>
      <c r="BH23" s="8">
        <f>countifs('5B'!$Y$2:$Y$529, BH$1, '5B'!$C$2:$C$529, "Kona")</f>
        <v>3</v>
      </c>
      <c r="BI23" s="8">
        <f>countifs('5B'!$Y$2:$Y$529, BI$1, '5B'!$C$2:$C$529, "Kona")</f>
        <v>4</v>
      </c>
      <c r="BJ23" s="8">
        <f t="shared" si="9"/>
        <v>3</v>
      </c>
      <c r="BK23" s="8">
        <f t="shared" si="10"/>
        <v>16</v>
      </c>
      <c r="BL23" s="6">
        <f>IFERROR(__xludf.DUMMYFUNCTION("AVERAGE.WEIGHTED($AV$1:$BB$1,AV23:BB23)"),7.0)</f>
        <v>7</v>
      </c>
      <c r="BM23" s="6">
        <f>IFERROR(__xludf.DUMMYFUNCTION("AVERAGE.WEIGHTED($BC$1:$BI$1,BC23:BI23)"),4.0)</f>
        <v>4</v>
      </c>
      <c r="BN23" s="6">
        <f t="shared" ref="BN23:BO23" si="74">(BL23-1)*100/6</f>
        <v>100</v>
      </c>
      <c r="BO23" s="6">
        <f t="shared" si="74"/>
        <v>50</v>
      </c>
      <c r="BP23" s="7">
        <f t="shared" si="12"/>
        <v>75</v>
      </c>
      <c r="BQ23" s="7">
        <f t="shared" si="13"/>
        <v>75</v>
      </c>
      <c r="BR23" s="7">
        <f t="shared" si="14"/>
        <v>0.0000445570906</v>
      </c>
    </row>
    <row r="24">
      <c r="A24" s="3">
        <v>23.0</v>
      </c>
      <c r="B24" s="1" t="s">
        <v>52</v>
      </c>
      <c r="C24" s="1">
        <f>countif('5B'!$Z$2:$Z$614, C$1)</f>
        <v>12</v>
      </c>
      <c r="D24" s="1">
        <f>countif('5B'!$Z$2:$Z$614, D$1)</f>
        <v>3</v>
      </c>
      <c r="E24" s="1">
        <f>countif('5B'!$Z$2:$Z$614, E$1)</f>
        <v>1</v>
      </c>
      <c r="F24" s="1">
        <f>countif('5B'!$Z$2:$Z$614, F$1)</f>
        <v>2</v>
      </c>
      <c r="G24" s="1">
        <f>countif('5B'!$Z$2:$Z$614, G$1)</f>
        <v>2</v>
      </c>
      <c r="H24" s="1">
        <f>countif('5B'!$Z$2:$Z$614, H$1)</f>
        <v>0</v>
      </c>
      <c r="I24" s="1">
        <f>countif('5B'!$Z$2:$Z$614, I$1)</f>
        <v>0</v>
      </c>
      <c r="J24" s="1">
        <f t="shared" si="4"/>
        <v>20</v>
      </c>
      <c r="K24" s="6">
        <f t="shared" si="5"/>
        <v>1.95</v>
      </c>
      <c r="N24" s="1">
        <f>countifs('5B'!$Z$2:$Z$614, N$1, '5B'!$B$2:$B$614, "&gt;"&amp;$L$2, '5B'!$B$2:$B$614, "&lt;"&amp;$M$2)</f>
        <v>0</v>
      </c>
      <c r="O24" s="1">
        <f>countifs('5B'!$Z$2:$Z$614, O$1, '5B'!$B$2:$B$614, "&gt;"&amp;$L$2, '5B'!$B$2:$B$614, "&lt;"&amp;$M$2)</f>
        <v>0</v>
      </c>
      <c r="P24" s="1">
        <f>countifs('5B'!$Z$2:$Z$614, P$1, '5B'!$B$2:$B$614, "&gt;"&amp;$L$2, '5B'!$B$2:$B$614, "&lt;"&amp;$M$2)</f>
        <v>0</v>
      </c>
      <c r="Q24" s="1">
        <f>countifs('5B'!$Z$2:$Z$614, Q$1, '5B'!$B$2:$B$614, "&gt;"&amp;$L$2, '5B'!$B$2:$B$614, "&lt;"&amp;$M$2)</f>
        <v>0</v>
      </c>
      <c r="R24" s="1">
        <f>countifs('5B'!$Z$2:$Z$614, R$1, '5B'!$B$2:$B$614, "&gt;"&amp;$L$2, '5B'!$B$2:$B$614, "&lt;"&amp;$M$2)</f>
        <v>0</v>
      </c>
      <c r="S24" s="1">
        <f>countifs('5B'!$Z$2:$Z$614, S$1, '5B'!$B$2:$B$614, "&gt;"&amp;$L$2, '5B'!$B$2:$B$614, "&lt;"&amp;$M$2)</f>
        <v>0</v>
      </c>
      <c r="T24" s="1">
        <f>countifs('5B'!$Z$2:$Z$614, T$1, '5B'!$B$2:$B$614, "&gt;"&amp;$L$2, '5B'!$B$2:$B$614, "&lt;"&amp;$M$2)</f>
        <v>0</v>
      </c>
      <c r="U24" s="1">
        <f>countifs('5B'!$Z$2:$Z$614, U$1, '5B'!$B$2:$B$614, "&gt;"&amp;$L$3, '5B'!$B$2:$B$614, "&lt;"&amp;$M$3)</f>
        <v>0</v>
      </c>
      <c r="V24" s="1">
        <f>countifs('5B'!$Z$2:$Z$614, V$1, '5B'!$B$2:$B$614, "&gt;"&amp;$L$3, '5B'!$B$2:$B$614, "&lt;"&amp;$M$3)</f>
        <v>0</v>
      </c>
      <c r="W24" s="1">
        <f>countifs('5B'!$Z$2:$Z$614, W$1, '5B'!$B$2:$B$614, "&gt;"&amp;$L$3, '5B'!$B$2:$B$614, "&lt;"&amp;$M$3)</f>
        <v>0</v>
      </c>
      <c r="X24" s="1">
        <f>countifs('5B'!$Z$2:$Z$614, X$1, '5B'!$B$2:$B$614, "&gt;"&amp;$L$3, '5B'!$B$2:$B$614, "&lt;"&amp;$M$3)</f>
        <v>0</v>
      </c>
      <c r="Y24" s="1">
        <f>countifs('5B'!$Z$2:$Z$614, Y$1, '5B'!$B$2:$B$614, "&gt;"&amp;$L$3, '5B'!$B$2:$B$614, "&lt;"&amp;$M$3)</f>
        <v>0</v>
      </c>
      <c r="Z24" s="1">
        <f>countifs('5B'!$Z$2:$Z$614, Z$1, '5B'!$B$2:$B$614, "&gt;"&amp;$L$3, '5B'!$B$2:$B$614, "&lt;"&amp;$M$3)</f>
        <v>0</v>
      </c>
      <c r="AA24" s="1">
        <f>countifs('5B'!$Z$2:$Z$614, AA$1, '5B'!$B$2:$B$614, "&gt;"&amp;$L$3, '5B'!$B$2:$B$614, "&lt;"&amp;$M$3)</f>
        <v>0</v>
      </c>
      <c r="AB24" s="1">
        <f>countifs('5B'!$Z$2:$Z$614, AB$1, '5B'!$B$2:$B$614, "&gt;"&amp;$L$4, '5B'!$B$2:$B$614, "&lt;"&amp;$M$4)</f>
        <v>0</v>
      </c>
      <c r="AC24" s="1">
        <f>countifs('5B'!$Z$2:$Z$614, AC$1, '5B'!$B$2:$B$614, "&gt;"&amp;$L$4, '5B'!$B$2:$B$614, "&lt;"&amp;$M$4)</f>
        <v>0</v>
      </c>
      <c r="AD24" s="1">
        <f>countifs('5B'!$Z$2:$Z$614, AD$1, '5B'!$B$2:$B$614, "&gt;"&amp;$L$4, '5B'!$B$2:$B$614, "&lt;"&amp;$M$4)</f>
        <v>0</v>
      </c>
      <c r="AE24" s="1">
        <f>countifs('5B'!$Z$2:$Z$614, AE$1, '5B'!$B$2:$B$614, "&gt;"&amp;$L$4, '5B'!$B$2:$B$614, "&lt;"&amp;$M$4)</f>
        <v>0</v>
      </c>
      <c r="AF24" s="1">
        <f>countifs('5B'!$Z$2:$Z$614, AF$1, '5B'!$B$2:$B$614, "&gt;"&amp;$L$4, '5B'!$B$2:$B$614, "&lt;"&amp;$M$4)</f>
        <v>0</v>
      </c>
      <c r="AG24" s="1">
        <f>countifs('5B'!$Z$2:$Z$614, AG$1, '5B'!$B$2:$B$614, "&gt;"&amp;$L$4, '5B'!$B$2:$B$614, "&lt;"&amp;$M$4)</f>
        <v>0</v>
      </c>
      <c r="AH24" s="1">
        <f>countifs('5B'!$Z$2:$Z$614, AH$1, '5B'!$B$2:$B$614, "&gt;"&amp;$L$4, '5B'!$B$2:$B$614, "&lt;"&amp;$M$4)</f>
        <v>0</v>
      </c>
      <c r="AI24" s="3">
        <v>9.0</v>
      </c>
      <c r="AJ24" s="3">
        <v>2.0</v>
      </c>
      <c r="AK24" s="3">
        <v>1.0</v>
      </c>
      <c r="AL24" s="6" t="str">
        <f>IFERROR(__xludf.DUMMYFUNCTION("AVERAGE.WEIGHTED($N$1:$T$1, N24:T24)"),"#DIV/0!")</f>
        <v>#DIV/0!</v>
      </c>
      <c r="AM24" s="6" t="str">
        <f>IFERROR(__xludf.DUMMYFUNCTION("AVERAGE.WEIGHTED($U$1:$AA$1, U24:AA24)"),"#DIV/0!")</f>
        <v>#DIV/0!</v>
      </c>
      <c r="AN24" s="12" t="str">
        <f>IFERROR(__xludf.DUMMYFUNCTION("AVERAGE.WEIGHTED($AB$1:$AH$1, AB24:AH24)"),"#DIV/0!")</f>
        <v>#DIV/0!</v>
      </c>
      <c r="AO24" s="6" t="str">
        <f t="shared" ref="AO24:AQ24" si="75">(AL24-1)*100/6</f>
        <v>#DIV/0!</v>
      </c>
      <c r="AP24" s="6" t="str">
        <f t="shared" si="75"/>
        <v>#DIV/0!</v>
      </c>
      <c r="AQ24" s="6" t="str">
        <f t="shared" si="75"/>
        <v>#DIV/0!</v>
      </c>
      <c r="AR24" s="1" t="str">
        <f t="shared" ref="AR24:AT24" si="76">Average($AO24:$AQ24)</f>
        <v>#DIV/0!</v>
      </c>
      <c r="AS24" s="1" t="str">
        <f t="shared" si="76"/>
        <v>#DIV/0!</v>
      </c>
      <c r="AT24" s="1" t="str">
        <f t="shared" si="76"/>
        <v>#DIV/0!</v>
      </c>
      <c r="AU24" s="7" t="str">
        <f t="shared" si="8"/>
        <v>#DIV/0!</v>
      </c>
      <c r="AV24" s="8">
        <f>countifs('5B'!$Z$2:$Z$529, AV$1, '5B'!$C$2:$C$529, "Karl")</f>
        <v>2</v>
      </c>
      <c r="AW24" s="8">
        <f>countifs('5B'!$Z$2:$Z$529, AW$1, '5B'!$C$2:$C$529, "Karl")</f>
        <v>0</v>
      </c>
      <c r="AX24" s="8">
        <f>countifs('5B'!$Z$2:$Z$529, AX$1, '5B'!$C$2:$C$529, "Karl")</f>
        <v>0</v>
      </c>
      <c r="AY24" s="8">
        <f>countifs('5B'!$Z$2:$Z$529, AY$1, '5B'!$C$2:$C$529, "Karl")</f>
        <v>1</v>
      </c>
      <c r="AZ24" s="8">
        <f>countifs('5B'!$Z$2:$Z$529, AZ$1, '5B'!$C$2:$C$529, "Karl")</f>
        <v>0</v>
      </c>
      <c r="BA24" s="8">
        <f>countifs('5B'!$Z$2:$Z$529, BA$1, '5B'!$C$2:$C$529, "Karl")</f>
        <v>0</v>
      </c>
      <c r="BB24" s="8">
        <f>countifs('5B'!$Z$2:$Z$529, BB$1, '5B'!$C$2:$C$529, "Karl")</f>
        <v>0</v>
      </c>
      <c r="BC24" s="8">
        <f>countifs('5B'!$Z$2:$Z$529, BC$1, '5B'!$C$2:$C$529, "Kona")</f>
        <v>10</v>
      </c>
      <c r="BD24" s="8">
        <f>countifs('5B'!$Z$2:$Z$529, BD$1, '5B'!$C$2:$C$529, "Kona")</f>
        <v>2</v>
      </c>
      <c r="BE24" s="8">
        <f>countifs('5B'!$Z$2:$Z$529, BE$1, '5B'!$C$2:$C$529, "Kona")</f>
        <v>1</v>
      </c>
      <c r="BF24" s="8">
        <f>countifs('5B'!$Z$2:$Z$529, BF$1, '5B'!$C$2:$C$529, "Kona")</f>
        <v>1</v>
      </c>
      <c r="BG24" s="8">
        <f>countifs('5B'!$Z$2:$Z$529, BG$1, '5B'!$C$2:$C$529, "Kona")</f>
        <v>2</v>
      </c>
      <c r="BH24" s="8">
        <f>countifs('5B'!$Z$2:$Z$529, BH$1, '5B'!$C$2:$C$529, "Kona")</f>
        <v>0</v>
      </c>
      <c r="BI24" s="8">
        <f>countifs('5B'!$Z$2:$Z$529, BI$1, '5B'!$C$2:$C$529, "Kona")</f>
        <v>0</v>
      </c>
      <c r="BJ24" s="8">
        <f t="shared" si="9"/>
        <v>3</v>
      </c>
      <c r="BK24" s="8">
        <f t="shared" si="10"/>
        <v>16</v>
      </c>
      <c r="BL24" s="6">
        <f>IFERROR(__xludf.DUMMYFUNCTION("AVERAGE.WEIGHTED($AV$1:$BB$1,AV24:BB24)"),2.0)</f>
        <v>2</v>
      </c>
      <c r="BM24" s="6">
        <f>IFERROR(__xludf.DUMMYFUNCTION("AVERAGE.WEIGHTED($BC$1:$BI$1,BC24:BI24)"),1.9375)</f>
        <v>1.9375</v>
      </c>
      <c r="BN24" s="6">
        <f t="shared" ref="BN24:BO24" si="77">(BL24-1)*100/6</f>
        <v>16.66666667</v>
      </c>
      <c r="BO24" s="6">
        <f t="shared" si="77"/>
        <v>15.625</v>
      </c>
      <c r="BP24" s="7">
        <f t="shared" si="12"/>
        <v>16.14583333</v>
      </c>
      <c r="BQ24" s="7">
        <f t="shared" si="13"/>
        <v>16.14583333</v>
      </c>
      <c r="BR24" s="7">
        <f t="shared" si="14"/>
        <v>0.8545556564</v>
      </c>
    </row>
    <row r="25">
      <c r="A25" s="3">
        <v>24.0</v>
      </c>
      <c r="B25" s="1" t="s">
        <v>53</v>
      </c>
      <c r="C25" s="1">
        <f>countif('5B'!$AA$2:$AA$614, C$1)</f>
        <v>0</v>
      </c>
      <c r="D25" s="1">
        <f>countif('5B'!$AA$2:$AA$614, D$1)</f>
        <v>0</v>
      </c>
      <c r="E25" s="1">
        <f>countif('5B'!$AA$2:$AA$614, E$1)</f>
        <v>3</v>
      </c>
      <c r="F25" s="1">
        <f>countif('5B'!$AA$2:$AA$614, F$1)</f>
        <v>2</v>
      </c>
      <c r="G25" s="1">
        <f>countif('5B'!$AA$2:$AA$614, G$1)</f>
        <v>0</v>
      </c>
      <c r="H25" s="1">
        <f>countif('5B'!$AA$2:$AA$614, H$1)</f>
        <v>3</v>
      </c>
      <c r="I25" s="1">
        <f>countif('5B'!$AA$2:$AA$614, I$1)</f>
        <v>12</v>
      </c>
      <c r="J25" s="1">
        <f t="shared" si="4"/>
        <v>20</v>
      </c>
      <c r="K25" s="6">
        <f t="shared" si="5"/>
        <v>5.95</v>
      </c>
      <c r="N25" s="1">
        <f>countifs('5B'!$AA$2:$AA$614, N$1, '5B'!$B$2:$B$614, "&gt;"&amp;$L$2, '5B'!$B$2:$B$614, "&lt;"&amp;$M$2)</f>
        <v>0</v>
      </c>
      <c r="O25" s="1">
        <f>countifs('5B'!$AA$2:$AA$614, O$1, '5B'!$B$2:$B$614, "&gt;"&amp;$L$2, '5B'!$B$2:$B$614, "&lt;"&amp;$M$2)</f>
        <v>0</v>
      </c>
      <c r="P25" s="1">
        <f>countifs('5B'!$AA$2:$AA$614, P$1, '5B'!$B$2:$B$614, "&gt;"&amp;$L$2, '5B'!$B$2:$B$614, "&lt;"&amp;$M$2)</f>
        <v>0</v>
      </c>
      <c r="Q25" s="1">
        <f>countifs('5B'!$AA$2:$AA$614, Q$1, '5B'!$B$2:$B$614, "&gt;"&amp;$L$2, '5B'!$B$2:$B$614, "&lt;"&amp;$M$2)</f>
        <v>0</v>
      </c>
      <c r="R25" s="1">
        <f>countifs('5B'!$AA$2:$AA$614, R$1, '5B'!$B$2:$B$614, "&gt;"&amp;$L$2, '5B'!$B$2:$B$614, "&lt;"&amp;$M$2)</f>
        <v>0</v>
      </c>
      <c r="S25" s="1">
        <f>countifs('5B'!$AA$2:$AA$614, S$1, '5B'!$B$2:$B$614, "&gt;"&amp;$L$2, '5B'!$B$2:$B$614, "&lt;"&amp;$M$2)</f>
        <v>0</v>
      </c>
      <c r="T25" s="1">
        <f>countifs('5B'!$AA$2:$AA$614, T$1, '5B'!$B$2:$B$614, "&gt;"&amp;$L$2, '5B'!$B$2:$B$614, "&lt;"&amp;$M$2)</f>
        <v>0</v>
      </c>
      <c r="U25" s="1">
        <f>countifs('5B'!$AA$2:$AA$614, U$1, '5B'!$B$2:$B$614, "&gt;"&amp;$L$3, '5B'!$B$2:$B$614, "&lt;"&amp;$M$3)</f>
        <v>0</v>
      </c>
      <c r="V25" s="1">
        <f>countifs('5B'!$AA$2:$AA$614, V$1, '5B'!$B$2:$B$614, "&gt;"&amp;$L$3, '5B'!$B$2:$B$614, "&lt;"&amp;$M$3)</f>
        <v>0</v>
      </c>
      <c r="W25" s="1">
        <f>countifs('5B'!$AA$2:$AA$614, W$1, '5B'!$B$2:$B$614, "&gt;"&amp;$L$3, '5B'!$B$2:$B$614, "&lt;"&amp;$M$3)</f>
        <v>0</v>
      </c>
      <c r="X25" s="1">
        <f>countifs('5B'!$AA$2:$AA$614, X$1, '5B'!$B$2:$B$614, "&gt;"&amp;$L$3, '5B'!$B$2:$B$614, "&lt;"&amp;$M$3)</f>
        <v>0</v>
      </c>
      <c r="Y25" s="1">
        <f>countifs('5B'!$AA$2:$AA$614, Y$1, '5B'!$B$2:$B$614, "&gt;"&amp;$L$3, '5B'!$B$2:$B$614, "&lt;"&amp;$M$3)</f>
        <v>0</v>
      </c>
      <c r="Z25" s="1">
        <f>countifs('5B'!$AA$2:$AA$614, Z$1, '5B'!$B$2:$B$614, "&gt;"&amp;$L$3, '5B'!$B$2:$B$614, "&lt;"&amp;$M$3)</f>
        <v>0</v>
      </c>
      <c r="AA25" s="1">
        <f>countifs('5B'!$AA$2:$AA$614, AA$1, '5B'!$B$2:$B$614, "&gt;"&amp;$L$3, '5B'!$B$2:$B$614, "&lt;"&amp;$M$3)</f>
        <v>0</v>
      </c>
      <c r="AB25" s="1">
        <f>countifs('5B'!$AA$2:$AA$614, AB$1, '5B'!$B$2:$B$614, "&gt;"&amp;$L$4, '5B'!$B$2:$B$614, "&lt;"&amp;$M$4)</f>
        <v>0</v>
      </c>
      <c r="AC25" s="1">
        <f>countifs('5B'!$AA$2:$AA$614, AC$1, '5B'!$B$2:$B$614, "&gt;"&amp;$L$4, '5B'!$B$2:$B$614, "&lt;"&amp;$M$4)</f>
        <v>0</v>
      </c>
      <c r="AD25" s="1">
        <f>countifs('5B'!$AA$2:$AA$614, AD$1, '5B'!$B$2:$B$614, "&gt;"&amp;$L$4, '5B'!$B$2:$B$614, "&lt;"&amp;$M$4)</f>
        <v>0</v>
      </c>
      <c r="AE25" s="1">
        <f>countifs('5B'!$AA$2:$AA$614, AE$1, '5B'!$B$2:$B$614, "&gt;"&amp;$L$4, '5B'!$B$2:$B$614, "&lt;"&amp;$M$4)</f>
        <v>0</v>
      </c>
      <c r="AF25" s="1">
        <f>countifs('5B'!$AA$2:$AA$614, AF$1, '5B'!$B$2:$B$614, "&gt;"&amp;$L$4, '5B'!$B$2:$B$614, "&lt;"&amp;$M$4)</f>
        <v>0</v>
      </c>
      <c r="AG25" s="1">
        <f>countifs('5B'!$AA$2:$AA$614, AG$1, '5B'!$B$2:$B$614, "&gt;"&amp;$L$4, '5B'!$B$2:$B$614, "&lt;"&amp;$M$4)</f>
        <v>0</v>
      </c>
      <c r="AH25" s="1">
        <f>countifs('5B'!$AA$2:$AA$614, AH$1, '5B'!$B$2:$B$614, "&gt;"&amp;$L$4, '5B'!$B$2:$B$614, "&lt;"&amp;$M$4)</f>
        <v>0</v>
      </c>
      <c r="AI25" s="3">
        <v>9.0</v>
      </c>
      <c r="AJ25" s="3">
        <v>2.0</v>
      </c>
      <c r="AK25" s="3">
        <v>1.0</v>
      </c>
      <c r="AL25" s="6" t="str">
        <f>IFERROR(__xludf.DUMMYFUNCTION("AVERAGE.WEIGHTED($N$1:$T$1, N25:T25)"),"#DIV/0!")</f>
        <v>#DIV/0!</v>
      </c>
      <c r="AM25" s="6" t="str">
        <f>IFERROR(__xludf.DUMMYFUNCTION("AVERAGE.WEIGHTED($U$1:$AA$1, U25:AA25)"),"#DIV/0!")</f>
        <v>#DIV/0!</v>
      </c>
      <c r="AN25" s="12" t="str">
        <f>IFERROR(__xludf.DUMMYFUNCTION("AVERAGE.WEIGHTED($AB$1:$AH$1, AB25:AH25)"),"#DIV/0!")</f>
        <v>#DIV/0!</v>
      </c>
      <c r="AO25" s="6" t="str">
        <f t="shared" ref="AO25:AQ25" si="78">(AL25-1)*100/6</f>
        <v>#DIV/0!</v>
      </c>
      <c r="AP25" s="6" t="str">
        <f t="shared" si="78"/>
        <v>#DIV/0!</v>
      </c>
      <c r="AQ25" s="6" t="str">
        <f t="shared" si="78"/>
        <v>#DIV/0!</v>
      </c>
      <c r="AR25" s="1" t="str">
        <f t="shared" ref="AR25:AT25" si="79">Average($AO25:$AQ25)</f>
        <v>#DIV/0!</v>
      </c>
      <c r="AS25" s="1" t="str">
        <f t="shared" si="79"/>
        <v>#DIV/0!</v>
      </c>
      <c r="AT25" s="1" t="str">
        <f t="shared" si="79"/>
        <v>#DIV/0!</v>
      </c>
      <c r="AU25" s="7" t="str">
        <f t="shared" si="8"/>
        <v>#DIV/0!</v>
      </c>
      <c r="AV25" s="8">
        <f>countifs('5B'!$AA$2:$AA$529, AV$1, '5B'!$C$2:$C$529, "Karl")</f>
        <v>0</v>
      </c>
      <c r="AW25" s="8">
        <f>countifs('5B'!$AA$2:$AA$529, AW$1, '5B'!$C$2:$C$529, "Karl")</f>
        <v>0</v>
      </c>
      <c r="AX25" s="8">
        <f>countifs('5B'!$AA$2:$AA$529, AX$1, '5B'!$C$2:$C$529, "Karl")</f>
        <v>0</v>
      </c>
      <c r="AY25" s="8">
        <f>countifs('5B'!$AA$2:$AA$529, AY$1, '5B'!$C$2:$C$529, "Karl")</f>
        <v>0</v>
      </c>
      <c r="AZ25" s="8">
        <f>countifs('5B'!$AA$2:$AA$529, AZ$1, '5B'!$C$2:$C$529, "Karl")</f>
        <v>0</v>
      </c>
      <c r="BA25" s="8">
        <f>countifs('5B'!$AA$2:$AA$529, BA$1, '5B'!$C$2:$C$529, "Karl")</f>
        <v>1</v>
      </c>
      <c r="BB25" s="8">
        <f>countifs('5B'!$AA$2:$AA$529, BB$1, '5B'!$C$2:$C$529, "Karl")</f>
        <v>2</v>
      </c>
      <c r="BC25" s="8">
        <f>countifs('5B'!$AA$2:$AA$529, BC$1, '5B'!$C$2:$C$529, "Kona")</f>
        <v>0</v>
      </c>
      <c r="BD25" s="8">
        <f>countifs('5B'!$AA$2:$AA$529, BD$1, '5B'!$C$2:$C$529, "Kona")</f>
        <v>0</v>
      </c>
      <c r="BE25" s="8">
        <f>countifs('5B'!$AA$2:$AA$529, BE$1, '5B'!$C$2:$C$529, "Kona")</f>
        <v>3</v>
      </c>
      <c r="BF25" s="8">
        <f>countifs('5B'!$AA$2:$AA$529, BF$1, '5B'!$C$2:$C$529, "Kona")</f>
        <v>2</v>
      </c>
      <c r="BG25" s="8">
        <f>countifs('5B'!$AA$2:$AA$529, BG$1, '5B'!$C$2:$C$529, "Kona")</f>
        <v>0</v>
      </c>
      <c r="BH25" s="8">
        <f>countifs('5B'!$AA$2:$AA$529, BH$1, '5B'!$C$2:$C$529, "Kona")</f>
        <v>1</v>
      </c>
      <c r="BI25" s="8">
        <f>countifs('5B'!$AA$2:$AA$529, BI$1, '5B'!$C$2:$C$529, "Kona")</f>
        <v>10</v>
      </c>
      <c r="BJ25" s="8">
        <f t="shared" si="9"/>
        <v>3</v>
      </c>
      <c r="BK25" s="8">
        <f t="shared" si="10"/>
        <v>16</v>
      </c>
      <c r="BL25" s="6">
        <f>IFERROR(__xludf.DUMMYFUNCTION("AVERAGE.WEIGHTED($AV$1:$BB$1,AV25:BB25)"),6.666666666666667)</f>
        <v>6.666666667</v>
      </c>
      <c r="BM25" s="6">
        <f>IFERROR(__xludf.DUMMYFUNCTION("AVERAGE.WEIGHTED($BC$1:$BI$1,BC25:BI25)"),5.8125)</f>
        <v>5.8125</v>
      </c>
      <c r="BN25" s="6">
        <f t="shared" ref="BN25:BO25" si="80">(BL25-1)*100/6</f>
        <v>94.44444444</v>
      </c>
      <c r="BO25" s="6">
        <f t="shared" si="80"/>
        <v>80.20833333</v>
      </c>
      <c r="BP25" s="7">
        <f t="shared" si="12"/>
        <v>87.32638889</v>
      </c>
      <c r="BQ25" s="7">
        <f t="shared" si="13"/>
        <v>87.32638889</v>
      </c>
      <c r="BR25" s="7">
        <f t="shared" si="14"/>
        <v>0.281382865</v>
      </c>
    </row>
    <row r="26">
      <c r="A26" s="3">
        <v>25.0</v>
      </c>
      <c r="B26" s="1" t="s">
        <v>54</v>
      </c>
      <c r="C26" s="1">
        <f>countif('5B'!$AB$2:$AB$614, C$1)</f>
        <v>4</v>
      </c>
      <c r="D26" s="1">
        <f>countif('5B'!$AB$2:$AB$614, D$1)</f>
        <v>2</v>
      </c>
      <c r="E26" s="1">
        <f>countif('5B'!$AB$2:$AB$614, E$1)</f>
        <v>2</v>
      </c>
      <c r="F26" s="1">
        <f>countif('5B'!$AB$2:$AB$614, F$1)</f>
        <v>3</v>
      </c>
      <c r="G26" s="1">
        <f>countif('5B'!$AB$2:$AB$614, G$1)</f>
        <v>0</v>
      </c>
      <c r="H26" s="1">
        <f>countif('5B'!$AB$2:$AB$614, H$1)</f>
        <v>4</v>
      </c>
      <c r="I26" s="1">
        <f>countif('5B'!$AB$2:$AB$614, I$1)</f>
        <v>5</v>
      </c>
      <c r="J26" s="1">
        <f t="shared" si="4"/>
        <v>20</v>
      </c>
      <c r="K26" s="6">
        <f t="shared" si="5"/>
        <v>4.25</v>
      </c>
      <c r="N26" s="1">
        <f>countifs('5B'!$AB$2:$AB$614, N$1, '5B'!$B$2:$B$614, "&gt;"&amp;$L$2, '5B'!$B$2:$B$614, "&lt;"&amp;$M$2)</f>
        <v>0</v>
      </c>
      <c r="O26" s="1">
        <f>countifs('5B'!$AB$2:$AB$614, O$1, '5B'!$B$2:$B$614, "&gt;"&amp;$L$2, '5B'!$B$2:$B$614, "&lt;"&amp;$M$2)</f>
        <v>0</v>
      </c>
      <c r="P26" s="1">
        <f>countifs('5B'!$AB$2:$AB$614, P$1, '5B'!$B$2:$B$614, "&gt;"&amp;$L$2, '5B'!$B$2:$B$614, "&lt;"&amp;$M$2)</f>
        <v>0</v>
      </c>
      <c r="Q26" s="1">
        <f>countifs('5B'!$AB$2:$AB$614, Q$1, '5B'!$B$2:$B$614, "&gt;"&amp;$L$2, '5B'!$B$2:$B$614, "&lt;"&amp;$M$2)</f>
        <v>0</v>
      </c>
      <c r="R26" s="1">
        <f>countifs('5B'!$AB$2:$AB$614, R$1, '5B'!$B$2:$B$614, "&gt;"&amp;$L$2, '5B'!$B$2:$B$614, "&lt;"&amp;$M$2)</f>
        <v>0</v>
      </c>
      <c r="S26" s="1">
        <f>countifs('5B'!$AB$2:$AB$614, S$1, '5B'!$B$2:$B$614, "&gt;"&amp;$L$2, '5B'!$B$2:$B$614, "&lt;"&amp;$M$2)</f>
        <v>0</v>
      </c>
      <c r="T26" s="1">
        <f>countifs('5B'!$AB$2:$AB$614, T$1, '5B'!$B$2:$B$614, "&gt;"&amp;$L$2, '5B'!$B$2:$B$614, "&lt;"&amp;$M$2)</f>
        <v>0</v>
      </c>
      <c r="U26" s="1">
        <f>countifs('5B'!$AB$2:$AB$614, U$1, '5B'!$B$2:$B$614, "&gt;"&amp;$L$3, '5B'!$B$2:$B$614, "&lt;"&amp;$M$3)</f>
        <v>0</v>
      </c>
      <c r="V26" s="1">
        <f>countifs('5B'!$AB$2:$AB$614, V$1, '5B'!$B$2:$B$614, "&gt;"&amp;$L$3, '5B'!$B$2:$B$614, "&lt;"&amp;$M$3)</f>
        <v>0</v>
      </c>
      <c r="W26" s="1">
        <f>countifs('5B'!$AB$2:$AB$614, W$1, '5B'!$B$2:$B$614, "&gt;"&amp;$L$3, '5B'!$B$2:$B$614, "&lt;"&amp;$M$3)</f>
        <v>0</v>
      </c>
      <c r="X26" s="1">
        <f>countifs('5B'!$AB$2:$AB$614, X$1, '5B'!$B$2:$B$614, "&gt;"&amp;$L$3, '5B'!$B$2:$B$614, "&lt;"&amp;$M$3)</f>
        <v>0</v>
      </c>
      <c r="Y26" s="1">
        <f>countifs('5B'!$AB$2:$AB$614, Y$1, '5B'!$B$2:$B$614, "&gt;"&amp;$L$3, '5B'!$B$2:$B$614, "&lt;"&amp;$M$3)</f>
        <v>0</v>
      </c>
      <c r="Z26" s="1">
        <f>countifs('5B'!$AB$2:$AB$614, Z$1, '5B'!$B$2:$B$614, "&gt;"&amp;$L$3, '5B'!$B$2:$B$614, "&lt;"&amp;$M$3)</f>
        <v>0</v>
      </c>
      <c r="AA26" s="1">
        <f>countifs('5B'!$AB$2:$AB$614, AA$1, '5B'!$B$2:$B$614, "&gt;"&amp;$L$3, '5B'!$B$2:$B$614, "&lt;"&amp;$M$3)</f>
        <v>0</v>
      </c>
      <c r="AB26" s="1">
        <f>countifs('5B'!$AB$2:$AB$614, AB$1, '5B'!$B$2:$B$614, "&gt;"&amp;$L$4, '5B'!$B$2:$B$614, "&lt;"&amp;$M$4)</f>
        <v>0</v>
      </c>
      <c r="AC26" s="1">
        <f>countifs('5B'!$AB$2:$AB$614, AC$1, '5B'!$B$2:$B$614, "&gt;"&amp;$L$4, '5B'!$B$2:$B$614, "&lt;"&amp;$M$4)</f>
        <v>0</v>
      </c>
      <c r="AD26" s="1">
        <f>countifs('5B'!$AB$2:$AB$614, AD$1, '5B'!$B$2:$B$614, "&gt;"&amp;$L$4, '5B'!$B$2:$B$614, "&lt;"&amp;$M$4)</f>
        <v>0</v>
      </c>
      <c r="AE26" s="1">
        <f>countifs('5B'!$AB$2:$AB$614, AE$1, '5B'!$B$2:$B$614, "&gt;"&amp;$L$4, '5B'!$B$2:$B$614, "&lt;"&amp;$M$4)</f>
        <v>0</v>
      </c>
      <c r="AF26" s="1">
        <f>countifs('5B'!$AB$2:$AB$614, AF$1, '5B'!$B$2:$B$614, "&gt;"&amp;$L$4, '5B'!$B$2:$B$614, "&lt;"&amp;$M$4)</f>
        <v>0</v>
      </c>
      <c r="AG26" s="1">
        <f>countifs('5B'!$AB$2:$AB$614, AG$1, '5B'!$B$2:$B$614, "&gt;"&amp;$L$4, '5B'!$B$2:$B$614, "&lt;"&amp;$M$4)</f>
        <v>0</v>
      </c>
      <c r="AH26" s="1">
        <f>countifs('5B'!$AB$2:$AB$614, AH$1, '5B'!$B$2:$B$614, "&gt;"&amp;$L$4, '5B'!$B$2:$B$614, "&lt;"&amp;$M$4)</f>
        <v>0</v>
      </c>
      <c r="AI26" s="3">
        <v>9.0</v>
      </c>
      <c r="AJ26" s="3">
        <v>2.0</v>
      </c>
      <c r="AK26" s="3">
        <v>1.0</v>
      </c>
      <c r="AL26" s="6" t="str">
        <f>IFERROR(__xludf.DUMMYFUNCTION("AVERAGE.WEIGHTED($N$1:$T$1, N26:T26)"),"#DIV/0!")</f>
        <v>#DIV/0!</v>
      </c>
      <c r="AM26" s="6" t="str">
        <f>IFERROR(__xludf.DUMMYFUNCTION("AVERAGE.WEIGHTED($U$1:$AA$1, U26:AA26)"),"#DIV/0!")</f>
        <v>#DIV/0!</v>
      </c>
      <c r="AN26" s="12" t="str">
        <f>IFERROR(__xludf.DUMMYFUNCTION("AVERAGE.WEIGHTED($AB$1:$AH$1, AB26:AH26)"),"#DIV/0!")</f>
        <v>#DIV/0!</v>
      </c>
      <c r="AO26" s="6" t="str">
        <f t="shared" ref="AO26:AQ26" si="81">(AL26-1)*100/6</f>
        <v>#DIV/0!</v>
      </c>
      <c r="AP26" s="6" t="str">
        <f t="shared" si="81"/>
        <v>#DIV/0!</v>
      </c>
      <c r="AQ26" s="6" t="str">
        <f t="shared" si="81"/>
        <v>#DIV/0!</v>
      </c>
      <c r="AR26" s="1" t="str">
        <f t="shared" ref="AR26:AT26" si="82">Average($AO26:$AQ26)</f>
        <v>#DIV/0!</v>
      </c>
      <c r="AS26" s="1" t="str">
        <f t="shared" si="82"/>
        <v>#DIV/0!</v>
      </c>
      <c r="AT26" s="1" t="str">
        <f t="shared" si="82"/>
        <v>#DIV/0!</v>
      </c>
      <c r="AU26" s="7" t="str">
        <f t="shared" si="8"/>
        <v>#DIV/0!</v>
      </c>
      <c r="AV26" s="8">
        <f>countifs('5B'!$AB$2:$AB$529, AV$1, '5B'!$C$2:$C$529, "Karl")</f>
        <v>1</v>
      </c>
      <c r="AW26" s="8">
        <f>countifs('5B'!$AB$2:$AB$529, AW$1, '5B'!$C$2:$C$529, "Karl")</f>
        <v>0</v>
      </c>
      <c r="AX26" s="8">
        <f>countifs('5B'!$AB$2:$AB$529, AX$1, '5B'!$C$2:$C$529, "Karl")</f>
        <v>0</v>
      </c>
      <c r="AY26" s="8">
        <f>countifs('5B'!$AB$2:$AB$529, AY$1, '5B'!$C$2:$C$529, "Karl")</f>
        <v>0</v>
      </c>
      <c r="AZ26" s="8">
        <f>countifs('5B'!$AB$2:$AB$529, AZ$1, '5B'!$C$2:$C$529, "Karl")</f>
        <v>0</v>
      </c>
      <c r="BA26" s="8">
        <f>countifs('5B'!$AB$2:$AB$529, BA$1, '5B'!$C$2:$C$529, "Karl")</f>
        <v>0</v>
      </c>
      <c r="BB26" s="8">
        <f>countifs('5B'!$AB$2:$AB$529, BB$1, '5B'!$C$2:$C$529, "Karl")</f>
        <v>2</v>
      </c>
      <c r="BC26" s="8">
        <f>countifs('5B'!$AB$2:$AB$529, BC$1, '5B'!$C$2:$C$529, "Kona")</f>
        <v>3</v>
      </c>
      <c r="BD26" s="8">
        <f>countifs('5B'!$AB$2:$AB$529, BD$1, '5B'!$C$2:$C$529, "Kona")</f>
        <v>2</v>
      </c>
      <c r="BE26" s="8">
        <f>countifs('5B'!$AB$2:$AB$529, BE$1, '5B'!$C$2:$C$529, "Kona")</f>
        <v>2</v>
      </c>
      <c r="BF26" s="8">
        <f>countifs('5B'!$AB$2:$AB$529, BF$1, '5B'!$C$2:$C$529, "Kona")</f>
        <v>3</v>
      </c>
      <c r="BG26" s="8">
        <f>countifs('5B'!$AB$2:$AB$529, BG$1, '5B'!$C$2:$C$529, "Kona")</f>
        <v>0</v>
      </c>
      <c r="BH26" s="8">
        <f>countifs('5B'!$AB$2:$AB$529, BH$1, '5B'!$C$2:$C$529, "Kona")</f>
        <v>3</v>
      </c>
      <c r="BI26" s="8">
        <f>countifs('5B'!$AB$2:$AB$529, BI$1, '5B'!$C$2:$C$529, "Kona")</f>
        <v>3</v>
      </c>
      <c r="BJ26" s="8">
        <f t="shared" si="9"/>
        <v>3</v>
      </c>
      <c r="BK26" s="8">
        <f t="shared" si="10"/>
        <v>16</v>
      </c>
      <c r="BL26" s="6">
        <f>IFERROR(__xludf.DUMMYFUNCTION("AVERAGE.WEIGHTED($AV$1:$BB$1,AV26:BB26)"),5.0)</f>
        <v>5</v>
      </c>
      <c r="BM26" s="6">
        <f>IFERROR(__xludf.DUMMYFUNCTION("AVERAGE.WEIGHTED($BC$1:$BI$1,BC26:BI26)"),4.0)</f>
        <v>4</v>
      </c>
      <c r="BN26" s="6">
        <f t="shared" ref="BN26:BO26" si="83">(BL26-1)*100/6</f>
        <v>66.66666667</v>
      </c>
      <c r="BO26" s="6">
        <f t="shared" si="83"/>
        <v>50</v>
      </c>
      <c r="BP26" s="7">
        <f t="shared" si="12"/>
        <v>58.33333333</v>
      </c>
      <c r="BQ26" s="7">
        <f t="shared" si="13"/>
        <v>58.33333333</v>
      </c>
      <c r="BR26" s="7">
        <f t="shared" si="14"/>
        <v>0.1228226481</v>
      </c>
    </row>
    <row r="27">
      <c r="A27" s="3"/>
      <c r="K27" s="6"/>
      <c r="AL27" s="6"/>
      <c r="AM27" s="6"/>
      <c r="AN27" s="12"/>
      <c r="AU27" s="7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7"/>
      <c r="BP27" s="7"/>
      <c r="BQ27" s="7"/>
      <c r="BR27" s="7"/>
    </row>
    <row r="28">
      <c r="K28" s="6"/>
      <c r="AL28" s="6"/>
      <c r="AM28" s="6"/>
      <c r="AN28" s="12"/>
      <c r="AU28" s="7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7"/>
      <c r="BP28" s="7"/>
      <c r="BQ28" s="7"/>
      <c r="BR28" s="7"/>
    </row>
    <row r="29">
      <c r="K29" s="6"/>
      <c r="AL29" s="6"/>
      <c r="AM29" s="6"/>
      <c r="AN29" s="12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</row>
    <row r="30">
      <c r="A30" s="3"/>
      <c r="K30" s="6"/>
      <c r="AL30" s="6"/>
      <c r="AM30" s="6"/>
      <c r="AN30" s="12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</row>
    <row r="31">
      <c r="K31" s="6"/>
      <c r="AL31" s="6"/>
      <c r="AM31" s="6"/>
      <c r="AN31" s="12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</row>
    <row r="32">
      <c r="K32" s="6"/>
      <c r="AL32" s="6"/>
      <c r="AM32" s="6"/>
      <c r="AN32" s="12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</row>
    <row r="33">
      <c r="A33" s="3"/>
      <c r="K33" s="6"/>
      <c r="AL33" s="6"/>
      <c r="AM33" s="6"/>
      <c r="AN33" s="12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</row>
    <row r="34">
      <c r="K34" s="6"/>
      <c r="AL34" s="6"/>
      <c r="AM34" s="6"/>
      <c r="AN34" s="12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>
      <c r="K35" s="6"/>
      <c r="AL35" s="6"/>
      <c r="AM35" s="6"/>
      <c r="AN35" s="12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</row>
    <row r="36">
      <c r="A36" s="3"/>
      <c r="K36" s="6"/>
      <c r="AL36" s="6"/>
      <c r="AM36" s="6"/>
      <c r="AN36" s="12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</row>
    <row r="37">
      <c r="K37" s="6"/>
      <c r="AL37" s="6"/>
      <c r="AM37" s="6"/>
      <c r="AN37" s="12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>
      <c r="K38" s="6"/>
      <c r="AL38" s="6"/>
      <c r="AM38" s="6"/>
      <c r="AN38" s="12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</row>
    <row r="39">
      <c r="A39" s="3"/>
      <c r="K39" s="6"/>
      <c r="AL39" s="6"/>
      <c r="AM39" s="6"/>
      <c r="AN39" s="12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</row>
    <row r="40">
      <c r="K40" s="6"/>
      <c r="AL40" s="6"/>
      <c r="AM40" s="6"/>
      <c r="AN40" s="12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</row>
    <row r="41">
      <c r="K41" s="6"/>
      <c r="AL41" s="6"/>
      <c r="AM41" s="6"/>
      <c r="AN41" s="12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</row>
    <row r="42">
      <c r="A42" s="3"/>
      <c r="K42" s="6"/>
      <c r="AL42" s="6"/>
      <c r="AM42" s="6"/>
      <c r="AN42" s="12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>
      <c r="K43" s="6"/>
      <c r="AL43" s="6"/>
      <c r="AM43" s="6"/>
      <c r="AN43" s="12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>
      <c r="K44" s="6"/>
      <c r="AL44" s="6"/>
      <c r="AM44" s="6"/>
      <c r="AN44" s="12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</row>
    <row r="45">
      <c r="A45" s="3"/>
      <c r="K45" s="6"/>
      <c r="AL45" s="6"/>
      <c r="AM45" s="6"/>
      <c r="AN45" s="12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</row>
    <row r="46">
      <c r="K46" s="6"/>
      <c r="AL46" s="6"/>
      <c r="AM46" s="6"/>
      <c r="AN46" s="12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</row>
    <row r="47">
      <c r="K47" s="6"/>
      <c r="AL47" s="6"/>
      <c r="AM47" s="6"/>
      <c r="AN47" s="12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</row>
    <row r="48">
      <c r="A48" s="3"/>
      <c r="K48" s="6"/>
      <c r="AL48" s="6"/>
      <c r="AM48" s="6"/>
      <c r="AN48" s="12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>
      <c r="K49" s="6"/>
      <c r="AL49" s="6"/>
      <c r="AM49" s="6"/>
      <c r="AN49" s="12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</row>
    <row r="50">
      <c r="K50" s="6"/>
      <c r="AL50" s="6"/>
      <c r="AM50" s="6"/>
      <c r="AN50" s="12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</row>
    <row r="51">
      <c r="A51" s="3"/>
      <c r="K51" s="6"/>
      <c r="AL51" s="6"/>
      <c r="AM51" s="6"/>
      <c r="AN51" s="12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  <row r="53"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</row>
    <row r="54"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</row>
    <row r="55"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</row>
    <row r="56"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</row>
    <row r="57"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</row>
    <row r="58"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</row>
    <row r="59"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</row>
    <row r="60"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</row>
    <row r="61"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</row>
    <row r="62"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</row>
    <row r="63"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</row>
    <row r="64"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</row>
    <row r="65"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</row>
    <row r="66"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</row>
    <row r="67"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</row>
    <row r="68"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</row>
    <row r="69"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</row>
    <row r="70"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</row>
    <row r="71"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</row>
    <row r="72"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</row>
    <row r="73"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</row>
    <row r="74"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</row>
    <row r="75"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</row>
    <row r="76"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</row>
    <row r="77"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</row>
    <row r="78"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</row>
    <row r="79"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</row>
    <row r="80"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</row>
    <row r="81"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</row>
    <row r="82"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</row>
    <row r="83"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</row>
    <row r="84"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</row>
    <row r="85"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</row>
    <row r="86"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</row>
    <row r="87"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</row>
    <row r="88"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</row>
    <row r="89"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</row>
    <row r="90"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</row>
    <row r="91"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</row>
    <row r="92"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</row>
    <row r="93"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</row>
    <row r="94"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</row>
    <row r="95"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</row>
    <row r="96"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</row>
    <row r="97"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</row>
    <row r="98"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</row>
    <row r="99"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</row>
    <row r="100"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</row>
    <row r="101"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</row>
    <row r="102"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</row>
    <row r="103"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</row>
    <row r="104"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</row>
    <row r="105"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</row>
    <row r="106"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</row>
    <row r="107"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</row>
    <row r="108"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</row>
    <row r="109"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</row>
    <row r="110"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</row>
    <row r="111"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</row>
    <row r="112"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</row>
    <row r="113"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</row>
    <row r="114"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</row>
    <row r="115"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</row>
    <row r="116"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</row>
    <row r="117"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</row>
    <row r="118"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</row>
    <row r="119"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</row>
    <row r="120"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</row>
    <row r="121"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</row>
    <row r="122"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</row>
    <row r="123"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</row>
    <row r="124"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</row>
    <row r="125"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</row>
    <row r="126"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</row>
    <row r="127"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</row>
    <row r="128"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</row>
    <row r="129"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</row>
    <row r="130"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</row>
    <row r="131"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</row>
    <row r="132"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</row>
    <row r="133"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</row>
    <row r="134"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</row>
    <row r="135"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</row>
    <row r="136"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</row>
    <row r="137"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</row>
    <row r="138"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</row>
    <row r="139"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</row>
    <row r="140"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</row>
    <row r="141"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</row>
    <row r="142"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</row>
    <row r="143"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</row>
    <row r="144"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</row>
    <row r="145"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</row>
    <row r="146"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</row>
    <row r="147"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</row>
    <row r="148"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</row>
    <row r="149"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</row>
    <row r="150"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</row>
    <row r="151"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</row>
    <row r="152"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</row>
    <row r="153"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</row>
    <row r="154"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</row>
    <row r="155"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</row>
    <row r="156"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</row>
    <row r="157"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</row>
    <row r="158"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</row>
    <row r="159"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</row>
    <row r="160"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</row>
    <row r="161"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</row>
    <row r="162"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</row>
    <row r="163"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</row>
    <row r="164"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</row>
    <row r="165"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</row>
    <row r="166"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</row>
    <row r="167"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</row>
    <row r="168"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</row>
    <row r="169"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</row>
    <row r="170"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</row>
    <row r="171"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</row>
    <row r="172"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</row>
    <row r="173"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</row>
    <row r="174"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</row>
    <row r="175"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</row>
    <row r="176"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</row>
    <row r="177"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</row>
    <row r="178"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</row>
    <row r="179"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</row>
    <row r="180"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</row>
    <row r="181"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</row>
    <row r="182"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</row>
    <row r="183"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</row>
    <row r="184"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</row>
    <row r="185"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</row>
    <row r="186"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</row>
    <row r="187"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</row>
    <row r="188"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</row>
    <row r="189"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</row>
    <row r="190"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</row>
    <row r="191"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</row>
    <row r="192"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</row>
    <row r="193"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</row>
    <row r="194"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</row>
    <row r="195"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</row>
    <row r="196"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</row>
    <row r="197"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</row>
    <row r="198"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</row>
    <row r="199"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</row>
    <row r="200"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</row>
    <row r="201"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</row>
    <row r="202"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</row>
    <row r="203"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</row>
    <row r="204"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</row>
    <row r="205"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</row>
    <row r="206"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</row>
    <row r="207"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</row>
    <row r="208"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</row>
    <row r="209"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</row>
    <row r="210"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</row>
    <row r="211"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</row>
    <row r="212"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</row>
    <row r="213"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</row>
    <row r="214"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</row>
    <row r="215"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</row>
    <row r="216"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</row>
    <row r="217"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</row>
    <row r="218"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</row>
    <row r="219"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</row>
    <row r="220"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</row>
    <row r="221"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</row>
    <row r="222"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</row>
    <row r="223"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</row>
    <row r="224"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</row>
    <row r="225"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</row>
    <row r="226"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</row>
    <row r="227"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</row>
    <row r="228"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</row>
    <row r="229"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</row>
    <row r="230"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</row>
    <row r="231"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</row>
    <row r="232"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</row>
    <row r="233"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</row>
    <row r="234"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</row>
    <row r="235"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</row>
    <row r="236"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</row>
    <row r="237"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</row>
    <row r="238"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</row>
    <row r="239"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</row>
    <row r="240"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</row>
    <row r="241"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</row>
    <row r="242"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</row>
    <row r="243"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</row>
    <row r="244"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</row>
    <row r="245"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</row>
    <row r="246"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</row>
    <row r="247"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</row>
    <row r="248"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</row>
    <row r="249"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</row>
    <row r="250"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</row>
    <row r="251"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</row>
    <row r="252"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</row>
    <row r="253"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</row>
    <row r="254"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</row>
    <row r="255"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</row>
    <row r="256"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</row>
    <row r="257"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</row>
    <row r="258"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</row>
    <row r="259"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</row>
    <row r="260"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</row>
    <row r="261"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</row>
    <row r="262"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</row>
    <row r="263"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</row>
    <row r="264"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</row>
    <row r="265"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</row>
    <row r="266"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</row>
    <row r="267"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</row>
    <row r="268"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</row>
    <row r="269"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</row>
    <row r="270"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</row>
    <row r="271"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</row>
    <row r="272"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</row>
    <row r="273"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</row>
    <row r="274"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</row>
    <row r="275"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</row>
    <row r="276"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</row>
    <row r="277"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</row>
    <row r="278"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</row>
    <row r="279"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</row>
    <row r="280"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</row>
    <row r="281"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</row>
    <row r="282"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</row>
    <row r="283"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</row>
    <row r="284"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</row>
    <row r="285"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</row>
    <row r="286"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</row>
    <row r="287"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</row>
    <row r="288"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</row>
    <row r="289"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</row>
    <row r="290"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</row>
    <row r="291"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</row>
    <row r="292"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</row>
    <row r="293"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</row>
    <row r="294"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</row>
    <row r="295"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</row>
    <row r="296"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</row>
    <row r="297"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</row>
    <row r="298"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</row>
    <row r="299"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</row>
    <row r="300"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</row>
    <row r="301"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</row>
    <row r="302"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</row>
    <row r="303"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</row>
    <row r="304"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</row>
    <row r="305"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</row>
    <row r="306"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</row>
    <row r="307"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</row>
    <row r="308"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</row>
    <row r="309"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</row>
    <row r="310"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</row>
    <row r="311"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</row>
    <row r="312"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</row>
    <row r="313"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</row>
    <row r="314"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</row>
    <row r="315"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</row>
    <row r="316"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</row>
    <row r="317"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</row>
    <row r="318"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</row>
    <row r="319"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</row>
    <row r="320"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</row>
    <row r="321"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</row>
    <row r="322"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</row>
    <row r="323"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</row>
    <row r="324"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</row>
    <row r="325"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</row>
    <row r="326"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</row>
    <row r="327"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</row>
    <row r="328"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</row>
    <row r="329"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</row>
    <row r="330"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</row>
    <row r="331"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</row>
    <row r="332"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</row>
    <row r="333"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</row>
    <row r="334"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</row>
    <row r="335"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</row>
    <row r="336"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</row>
    <row r="337"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</row>
    <row r="338"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</row>
    <row r="339"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</row>
    <row r="340"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</row>
    <row r="341"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</row>
    <row r="342"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</row>
    <row r="343"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</row>
    <row r="344"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</row>
    <row r="345"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</row>
    <row r="346"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</row>
    <row r="347"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</row>
    <row r="348"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</row>
    <row r="349"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</row>
    <row r="350"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</row>
    <row r="351"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</row>
    <row r="352"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</row>
    <row r="353"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</row>
    <row r="354"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</row>
    <row r="355"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</row>
    <row r="356"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</row>
    <row r="357"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</row>
    <row r="358"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</row>
    <row r="359"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</row>
    <row r="360"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</row>
    <row r="361"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</row>
    <row r="362"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</row>
    <row r="363"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</row>
    <row r="364"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</row>
    <row r="365"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</row>
    <row r="366"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</row>
    <row r="367"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</row>
    <row r="368"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</row>
    <row r="369"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</row>
    <row r="370"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</row>
    <row r="371"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</row>
    <row r="372"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</row>
    <row r="373"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</row>
    <row r="374"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</row>
    <row r="375"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</row>
    <row r="376"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</row>
    <row r="377"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</row>
    <row r="378"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</row>
    <row r="379"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</row>
    <row r="380"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</row>
    <row r="381"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</row>
    <row r="382"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</row>
    <row r="383"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</row>
    <row r="384"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</row>
    <row r="385"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</row>
    <row r="386"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</row>
    <row r="387"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</row>
    <row r="388"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</row>
    <row r="389"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</row>
    <row r="390"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</row>
    <row r="391"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</row>
    <row r="392"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</row>
    <row r="393"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</row>
    <row r="394"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</row>
    <row r="395"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</row>
    <row r="396"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</row>
    <row r="397"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</row>
    <row r="398"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</row>
    <row r="399"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</row>
    <row r="400"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</row>
    <row r="401"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</row>
    <row r="402"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</row>
    <row r="403"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</row>
    <row r="404"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</row>
    <row r="405"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</row>
    <row r="406"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</row>
    <row r="407"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</row>
    <row r="408"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</row>
    <row r="409"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</row>
    <row r="410"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</row>
    <row r="411"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</row>
    <row r="412"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</row>
    <row r="413"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</row>
    <row r="414"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</row>
    <row r="415"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</row>
    <row r="416"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</row>
    <row r="417"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</row>
    <row r="418"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</row>
    <row r="419"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</row>
    <row r="420"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</row>
    <row r="421"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</row>
    <row r="422"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</row>
    <row r="423"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</row>
    <row r="424"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</row>
    <row r="425"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</row>
    <row r="426"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</row>
    <row r="427"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</row>
    <row r="428"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</row>
    <row r="429"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</row>
    <row r="430"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</row>
    <row r="431"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</row>
    <row r="432"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</row>
    <row r="433"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</row>
    <row r="434"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</row>
    <row r="435"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</row>
    <row r="436"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</row>
    <row r="437"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</row>
    <row r="438"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</row>
    <row r="439"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</row>
    <row r="440"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</row>
    <row r="441"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</row>
    <row r="442"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</row>
    <row r="443"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</row>
    <row r="444"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</row>
    <row r="445"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</row>
    <row r="446"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</row>
    <row r="447"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</row>
    <row r="448"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</row>
    <row r="449"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</row>
    <row r="450"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</row>
    <row r="451"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</row>
    <row r="452"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</row>
    <row r="453"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</row>
    <row r="454"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</row>
    <row r="455"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</row>
    <row r="456"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</row>
    <row r="457"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</row>
    <row r="458"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</row>
    <row r="459"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</row>
    <row r="460"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</row>
    <row r="461"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</row>
    <row r="462"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</row>
    <row r="463"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</row>
    <row r="464"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</row>
    <row r="465"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</row>
    <row r="466"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</row>
    <row r="467"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</row>
    <row r="468"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</row>
    <row r="469"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</row>
    <row r="470"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</row>
    <row r="471"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</row>
    <row r="472"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</row>
    <row r="473"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</row>
    <row r="474"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</row>
    <row r="475"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</row>
    <row r="476"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</row>
    <row r="477"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</row>
    <row r="478"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</row>
    <row r="479"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</row>
    <row r="480"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</row>
    <row r="481"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</row>
    <row r="482"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</row>
    <row r="483"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</row>
    <row r="484"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</row>
    <row r="485"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</row>
    <row r="486"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</row>
    <row r="487"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</row>
    <row r="488"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</row>
    <row r="489"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</row>
    <row r="490"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</row>
    <row r="491"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</row>
    <row r="492"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</row>
    <row r="493"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</row>
    <row r="494"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</row>
    <row r="495"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</row>
    <row r="496"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</row>
    <row r="497"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</row>
    <row r="498"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</row>
    <row r="499"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</row>
    <row r="500"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</row>
    <row r="501"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</row>
    <row r="502"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</row>
    <row r="503"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</row>
    <row r="504"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</row>
    <row r="505"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</row>
    <row r="506"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</row>
    <row r="507"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</row>
    <row r="508"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</row>
    <row r="509"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</row>
    <row r="510"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</row>
    <row r="511"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</row>
    <row r="512"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</row>
    <row r="513"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</row>
    <row r="514"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</row>
    <row r="515"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</row>
    <row r="516"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</row>
    <row r="517"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</row>
    <row r="518"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</row>
    <row r="519"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</row>
    <row r="520"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</row>
    <row r="521"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</row>
    <row r="522"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</row>
    <row r="523"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</row>
    <row r="524"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</row>
    <row r="525"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</row>
    <row r="526"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</row>
    <row r="527"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</row>
    <row r="528"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</row>
    <row r="529"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</row>
    <row r="530"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</row>
    <row r="531"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</row>
    <row r="532"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</row>
    <row r="533"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</row>
    <row r="534"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</row>
    <row r="535"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</row>
    <row r="536"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</row>
    <row r="537"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</row>
    <row r="538"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</row>
    <row r="539"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</row>
    <row r="540"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</row>
    <row r="541"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</row>
    <row r="542"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</row>
    <row r="543"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</row>
    <row r="544"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</row>
    <row r="545"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</row>
    <row r="546"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</row>
    <row r="547"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</row>
    <row r="548"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</row>
    <row r="549"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</row>
    <row r="550"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</row>
    <row r="551"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</row>
    <row r="552"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</row>
    <row r="553"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</row>
    <row r="554"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</row>
    <row r="555"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</row>
    <row r="556"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</row>
    <row r="557"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</row>
    <row r="558"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</row>
    <row r="559"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</row>
    <row r="560"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</row>
    <row r="561"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</row>
    <row r="562"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</row>
    <row r="563"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</row>
    <row r="564"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</row>
    <row r="565"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</row>
    <row r="566"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</row>
    <row r="567"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</row>
    <row r="568"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</row>
    <row r="569"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</row>
    <row r="570"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</row>
    <row r="571"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</row>
    <row r="572"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</row>
    <row r="573"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</row>
    <row r="574"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</row>
    <row r="575"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</row>
    <row r="576"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</row>
    <row r="577"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</row>
    <row r="578"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</row>
    <row r="579"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</row>
    <row r="580"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</row>
    <row r="581"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</row>
    <row r="582"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</row>
    <row r="583"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</row>
    <row r="584"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</row>
    <row r="585"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</row>
    <row r="586"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</row>
    <row r="587"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</row>
    <row r="588"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</row>
    <row r="589"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</row>
    <row r="590"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</row>
    <row r="591"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</row>
    <row r="592"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</row>
    <row r="593"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</row>
    <row r="594"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</row>
    <row r="595"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</row>
    <row r="596"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</row>
    <row r="597"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</row>
    <row r="598"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</row>
    <row r="599"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</row>
    <row r="600"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</row>
    <row r="601"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</row>
    <row r="602"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</row>
    <row r="603"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</row>
    <row r="604"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</row>
    <row r="605"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</row>
    <row r="606"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</row>
    <row r="607"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</row>
    <row r="608"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</row>
    <row r="609"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</row>
    <row r="610"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</row>
    <row r="611"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</row>
    <row r="612"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</row>
    <row r="613"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</row>
    <row r="614"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</row>
    <row r="615"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</row>
    <row r="616"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</row>
    <row r="617"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</row>
    <row r="618"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</row>
    <row r="619"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</row>
    <row r="620"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</row>
    <row r="621"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</row>
    <row r="622"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</row>
    <row r="623"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</row>
    <row r="624"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</row>
    <row r="625"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</row>
    <row r="626"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</row>
    <row r="627"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</row>
    <row r="628"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</row>
    <row r="629"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</row>
    <row r="630"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</row>
    <row r="631"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</row>
    <row r="632"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</row>
    <row r="633"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</row>
    <row r="634"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</row>
    <row r="635"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</row>
    <row r="636"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</row>
    <row r="637"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</row>
    <row r="638"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</row>
    <row r="639"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</row>
    <row r="640"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</row>
    <row r="641"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</row>
    <row r="642"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</row>
    <row r="643"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</row>
    <row r="644"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</row>
    <row r="645"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</row>
    <row r="646"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</row>
    <row r="647"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</row>
    <row r="648"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</row>
    <row r="649"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</row>
    <row r="650"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</row>
    <row r="651"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</row>
    <row r="652"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</row>
    <row r="653"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</row>
    <row r="654"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</row>
    <row r="655"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</row>
    <row r="656"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</row>
    <row r="657"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</row>
    <row r="658"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</row>
    <row r="659"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</row>
    <row r="660"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</row>
    <row r="661"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</row>
    <row r="662"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</row>
    <row r="663"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</row>
    <row r="664"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</row>
    <row r="665"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</row>
    <row r="666"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</row>
    <row r="667"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</row>
    <row r="668"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</row>
    <row r="669"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</row>
    <row r="670"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</row>
    <row r="671"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</row>
    <row r="672"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</row>
    <row r="673"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</row>
    <row r="674"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</row>
    <row r="675"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</row>
    <row r="676"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</row>
    <row r="677"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</row>
    <row r="678"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</row>
    <row r="679"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</row>
    <row r="680"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</row>
    <row r="681"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</row>
    <row r="682"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</row>
    <row r="683"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</row>
    <row r="684"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</row>
    <row r="685"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</row>
    <row r="686"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</row>
    <row r="687"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</row>
    <row r="688"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</row>
    <row r="689"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</row>
    <row r="690"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</row>
    <row r="691"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</row>
    <row r="692"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</row>
    <row r="693"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</row>
    <row r="694"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</row>
    <row r="695"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</row>
    <row r="696"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</row>
    <row r="697"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</row>
    <row r="698"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</row>
    <row r="699"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</row>
    <row r="700"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</row>
    <row r="701"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</row>
    <row r="702"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</row>
    <row r="703"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</row>
    <row r="704"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</row>
    <row r="705"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</row>
    <row r="706"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</row>
    <row r="707"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</row>
    <row r="708"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</row>
    <row r="709"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</row>
    <row r="710"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</row>
    <row r="711"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</row>
    <row r="712"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</row>
    <row r="713"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</row>
    <row r="714"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</row>
    <row r="715"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</row>
    <row r="716"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</row>
    <row r="717"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</row>
    <row r="718"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</row>
    <row r="719"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</row>
    <row r="720"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</row>
    <row r="721"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</row>
    <row r="722"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</row>
    <row r="723"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</row>
    <row r="724"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</row>
    <row r="725"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</row>
    <row r="726"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</row>
    <row r="727"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</row>
    <row r="728"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</row>
    <row r="729"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</row>
    <row r="730"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</row>
    <row r="731"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</row>
    <row r="732"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</row>
    <row r="733"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</row>
    <row r="734"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</row>
    <row r="735"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</row>
    <row r="736"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</row>
    <row r="737"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</row>
    <row r="738"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</row>
    <row r="739"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</row>
    <row r="740"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</row>
    <row r="741"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</row>
    <row r="742"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</row>
    <row r="743"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</row>
    <row r="744"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</row>
    <row r="745"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</row>
    <row r="746"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</row>
    <row r="747"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</row>
    <row r="748"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</row>
    <row r="749"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</row>
    <row r="750"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</row>
    <row r="751"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</row>
    <row r="752"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</row>
    <row r="753"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</row>
    <row r="754"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</row>
    <row r="755"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</row>
    <row r="756"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</row>
    <row r="757"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</row>
    <row r="758"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</row>
    <row r="759"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</row>
    <row r="760"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</row>
    <row r="761"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</row>
    <row r="762"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</row>
    <row r="763"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</row>
    <row r="764"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</row>
    <row r="765"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</row>
    <row r="766"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</row>
    <row r="767"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</row>
    <row r="768"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</row>
    <row r="769"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</row>
    <row r="770"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</row>
    <row r="771"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</row>
    <row r="772"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</row>
    <row r="773"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</row>
    <row r="774"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</row>
    <row r="775"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</row>
    <row r="776"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</row>
    <row r="777"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</row>
    <row r="778"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</row>
    <row r="779"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</row>
    <row r="780"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</row>
    <row r="781"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</row>
    <row r="782"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</row>
    <row r="783"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</row>
    <row r="784"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</row>
    <row r="785"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</row>
    <row r="786"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</row>
    <row r="787"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</row>
    <row r="788"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</row>
    <row r="789"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</row>
    <row r="790"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</row>
    <row r="791"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</row>
    <row r="792"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</row>
    <row r="793"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</row>
    <row r="794"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</row>
    <row r="795"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</row>
    <row r="796"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</row>
    <row r="797"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</row>
    <row r="798"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</row>
    <row r="799"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</row>
    <row r="800"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</row>
    <row r="801"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</row>
    <row r="802"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</row>
    <row r="803"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</row>
    <row r="804"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</row>
    <row r="805"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</row>
    <row r="806"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</row>
    <row r="807"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</row>
    <row r="808"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</row>
    <row r="809"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</row>
    <row r="810"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</row>
    <row r="811"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</row>
    <row r="812"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</row>
    <row r="813"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</row>
    <row r="814"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</row>
    <row r="815"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</row>
    <row r="816"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</row>
    <row r="817"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</row>
    <row r="818"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</row>
    <row r="819"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</row>
    <row r="820"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</row>
    <row r="821"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</row>
    <row r="822"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</row>
    <row r="823"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</row>
    <row r="824"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</row>
    <row r="825"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</row>
    <row r="826"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</row>
    <row r="827"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</row>
    <row r="828"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</row>
    <row r="829"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</row>
    <row r="830"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</row>
    <row r="831"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</row>
    <row r="832"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</row>
    <row r="833"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</row>
    <row r="834"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</row>
    <row r="835"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</row>
    <row r="836"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</row>
    <row r="837"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</row>
    <row r="838"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</row>
    <row r="839"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</row>
    <row r="840"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</row>
    <row r="841"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</row>
    <row r="842"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</row>
    <row r="843"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</row>
    <row r="844"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</row>
    <row r="845"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</row>
    <row r="846"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</row>
    <row r="847"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</row>
    <row r="848"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</row>
    <row r="849"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</row>
    <row r="850"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</row>
    <row r="851"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</row>
    <row r="852"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</row>
    <row r="853"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</row>
    <row r="854"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</row>
    <row r="855"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</row>
    <row r="856"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</row>
    <row r="857"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</row>
    <row r="858"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</row>
    <row r="859"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</row>
    <row r="860"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</row>
    <row r="861"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</row>
    <row r="862"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</row>
    <row r="863"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</row>
    <row r="864"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</row>
    <row r="865"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</row>
    <row r="866"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</row>
    <row r="867"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</row>
    <row r="868"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</row>
    <row r="869"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</row>
    <row r="870"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</row>
    <row r="871"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</row>
    <row r="872"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</row>
    <row r="873"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</row>
    <row r="874"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</row>
    <row r="875"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</row>
    <row r="876"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</row>
    <row r="877"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</row>
    <row r="878"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</row>
    <row r="879"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</row>
    <row r="880"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</row>
    <row r="881"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</row>
    <row r="882"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</row>
    <row r="883"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</row>
    <row r="884"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</row>
    <row r="885"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</row>
    <row r="886"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</row>
    <row r="887"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</row>
    <row r="888"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</row>
    <row r="889"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</row>
    <row r="890"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</row>
    <row r="891"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</row>
    <row r="892"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</row>
    <row r="893"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</row>
    <row r="894"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</row>
    <row r="895"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</row>
    <row r="896"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</row>
    <row r="897"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</row>
    <row r="898"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</row>
    <row r="899"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</row>
    <row r="900"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</row>
    <row r="901"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</row>
    <row r="902"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</row>
    <row r="903"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</row>
    <row r="904"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</row>
    <row r="905"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</row>
    <row r="906"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</row>
    <row r="907"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</row>
    <row r="908"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</row>
    <row r="909"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</row>
    <row r="910"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</row>
    <row r="911"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</row>
    <row r="912"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</row>
    <row r="913"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</row>
    <row r="914"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</row>
    <row r="915"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</row>
    <row r="916"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</row>
    <row r="917"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</row>
    <row r="918"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</row>
    <row r="919"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</row>
    <row r="920"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</row>
    <row r="921"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</row>
    <row r="922"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</row>
    <row r="923"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</row>
    <row r="924"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</row>
    <row r="925"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</row>
    <row r="926"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</row>
    <row r="927"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</row>
    <row r="928"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</row>
    <row r="929"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</row>
    <row r="930"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</row>
    <row r="931"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</row>
    <row r="932"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</row>
    <row r="933"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</row>
    <row r="934"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</row>
    <row r="935"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</row>
    <row r="936"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</row>
    <row r="937"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</row>
    <row r="938"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</row>
    <row r="939"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</row>
    <row r="940"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</row>
    <row r="941"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</row>
    <row r="942"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</row>
    <row r="943"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</row>
    <row r="944"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</row>
    <row r="945"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</row>
    <row r="946"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</row>
    <row r="947"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</row>
    <row r="948"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</row>
    <row r="949"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</row>
    <row r="950"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</row>
    <row r="951"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</row>
    <row r="952"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</row>
    <row r="953"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</row>
    <row r="954"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</row>
    <row r="955"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</row>
    <row r="956"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</row>
    <row r="957"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</row>
    <row r="958"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</row>
    <row r="959"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</row>
    <row r="960"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</row>
    <row r="961"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</row>
    <row r="962"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</row>
    <row r="963"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</row>
    <row r="964"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</row>
    <row r="965"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</row>
    <row r="966"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</row>
    <row r="967"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</row>
    <row r="968"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</row>
    <row r="969"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</row>
    <row r="970"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</row>
    <row r="971"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</row>
    <row r="972"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</row>
    <row r="973"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</row>
    <row r="974"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</row>
    <row r="975"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</row>
    <row r="976"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</row>
    <row r="977"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</row>
    <row r="978"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</row>
    <row r="979"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</row>
    <row r="980"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</row>
    <row r="981"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</row>
    <row r="982"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</row>
    <row r="983"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</row>
    <row r="984"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</row>
    <row r="985"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</row>
    <row r="986"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</row>
    <row r="987"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</row>
    <row r="988"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</row>
    <row r="989"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</row>
    <row r="990"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</row>
    <row r="991"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</row>
    <row r="992"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</row>
    <row r="993"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</row>
    <row r="994"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</row>
    <row r="995"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</row>
    <row r="996"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</row>
    <row r="997"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</row>
    <row r="998"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</row>
    <row r="999"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</row>
    <row r="1000"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