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A" sheetId="1" r:id="rId4"/>
    <sheet state="visible" name="6B" sheetId="2" r:id="rId5"/>
    <sheet state="visible" name="General average A" sheetId="3" r:id="rId6"/>
    <sheet state="visible" name="General average B" sheetId="4" r:id="rId7"/>
  </sheets>
  <definedNames>
    <definedName hidden="1" localSheetId="0" name="_xlnm._FilterDatabase">'6A'!$A$1:$AB$22</definedName>
    <definedName hidden="1" localSheetId="1" name="_xlnm._FilterDatabase">'6B'!$A$1:$AB$22</definedName>
  </definedNames>
  <calcPr/>
</workbook>
</file>

<file path=xl/sharedStrings.xml><?xml version="1.0" encoding="utf-8"?>
<sst xmlns="http://schemas.openxmlformats.org/spreadsheetml/2006/main" count="184" uniqueCount="76">
  <si>
    <t>Timestamp</t>
  </si>
  <si>
    <t>Aldur:</t>
  </si>
  <si>
    <t>Kyn:</t>
  </si>
  <si>
    <t>1. Salt og pipar er ágætt á hrefnukjöti.</t>
  </si>
  <si>
    <t>2. Mér leiddist það að fá enga athygli frá Silju.</t>
  </si>
  <si>
    <t>3. Snjórinn tók að kyngja niður í Reykjanesbæ upp úr miðnætti.</t>
  </si>
  <si>
    <t>4. Ég myndi aldrei mæta fullur eða skrópa í vinnuna.</t>
  </si>
  <si>
    <t>5. Við erum háð hvað fulltrúar Reykjavíkurborgar vilja gera á þessu svæði.</t>
  </si>
  <si>
    <t>6. Meirihluti borgarstjórnar samþykktu í dag fyrirkomulag næsta ársins.</t>
  </si>
  <si>
    <t>7. Við vorum að vera vitni að algjörlega hörmulegri frammistöðu.</t>
  </si>
  <si>
    <t>8. Vopnahléið svipti það öllum hetjuljóma að hermenn fórnuðu lífi sínu.</t>
  </si>
  <si>
    <t>9. Yfirvöld vilja ekki afhenda íbúum lóðina án þess að kanna málið.</t>
  </si>
  <si>
    <t>10. Hinrik er skemmtilegur að tala við fullan.</t>
  </si>
  <si>
    <t>11. Dómarinn krafðist að fá að lesa skýrslurnar.</t>
  </si>
  <si>
    <t>12. Ég sá tvær fallegar buxur í búðinni við hliðina á kaffihúsinu.</t>
  </si>
  <si>
    <t>13. Meiðslin angruðu hana alla síðustu leiktíð.</t>
  </si>
  <si>
    <t>14. Því að Sara væri að gráta var engin athygli veitt.</t>
  </si>
  <si>
    <t>15. Stór hluti barnanna í skólanum hafa smitast af flensunni.</t>
  </si>
  <si>
    <t>16. Hann segist hafa tilkynnt starfsmönnum óhappið sama dag.</t>
  </si>
  <si>
    <t>17. Ég harma hvað gerðist í síðustu viku.</t>
  </si>
  <si>
    <t>18. Mér sýnist að meirihluti prófanna séu ekki ennþá tilbúin.</t>
  </si>
  <si>
    <t>19. Þetta er raunveruleikinn sem þeir ræddu við hvern annan.</t>
  </si>
  <si>
    <t>20. Þið þurfið að vera minnug þess að ekkert er sjálfgefið í lífinu.</t>
  </si>
  <si>
    <t>21. Eftir athöfnina var drifið sig heim til að skipta um föt.</t>
  </si>
  <si>
    <t>22. Það var því miður rænt mig veskinu á leiðinni til þín.</t>
  </si>
  <si>
    <t>23. Þau hafa aldrei pælt í að þetta handrit geti verið fölsun.</t>
  </si>
  <si>
    <t>24. Jón ætlar að afhenda minnisblaðið blaðamönnum strax á morgun.</t>
  </si>
  <si>
    <t>25. Þannig á að tryggja neytendum vöruna á kostnaðarverði.</t>
  </si>
  <si>
    <t>Karl</t>
  </si>
  <si>
    <t>Kona</t>
  </si>
  <si>
    <t>1. Þannig á að tryggja neytendum vöruna á kostnaðarverði.</t>
  </si>
  <si>
    <t>2. Jón ætlar að afhenda blaðamönnum minnisblaðið strax á morgun.</t>
  </si>
  <si>
    <t>3. Þau hafa aldrei pælt í því að þetta handrit geti verið fölsun.</t>
  </si>
  <si>
    <t>4. Það var því miður rænt mig veskinu á leiðinni til þín.</t>
  </si>
  <si>
    <t>5. Eftir athöfnina var drifið sig heim til að skipta um föt.</t>
  </si>
  <si>
    <t>6. Þið þurfið að vera minnug að ekkert er sjálfgefið í lífinu.</t>
  </si>
  <si>
    <t>7. Þetta er raunveruleikinn sem þeir ræddu við hvern annan.</t>
  </si>
  <si>
    <t>8. Mér sýnist að meirihluti prófanna sé ekki ennþá tilbúinn.</t>
  </si>
  <si>
    <t>9. Ég harma það hvað gerðist í síðustu viku.</t>
  </si>
  <si>
    <t>10. Hann segist hafa tilkynnt óhappið starfsmönnum sama dag.</t>
  </si>
  <si>
    <t>11. Stór hluti barnanna í skólanum hafa smitast af flensunni.</t>
  </si>
  <si>
    <t>12. Að Sara væri að gráta var engin athygli veitt.</t>
  </si>
  <si>
    <t>14. Ég sá tvær fallegar buxur í búðinni við hliðina á kaffihúsinu.</t>
  </si>
  <si>
    <t>15. Dómarinn krafðist þess að fá að lesa skýrslurnar.</t>
  </si>
  <si>
    <t>16. Hinrik er skemmtilegur að tala við fullan.</t>
  </si>
  <si>
    <t>17. Yfirvöld vilja ekki afhenda lóðina íbúum án þess að kanna málið.</t>
  </si>
  <si>
    <t>18. Vopnahléið svipti öllum hetjuljóma að hermenn fórnuðu lífi sínu.</t>
  </si>
  <si>
    <t>19. Við vorum að vera vitni að algjörlega hörmulegri frammistöðu.</t>
  </si>
  <si>
    <t>20. Meirihluti borgarstjórnar samþykktu í dag fyrirkomulag næsta ársins.</t>
  </si>
  <si>
    <t>21. Við erum háð því hvað fulltrúar Reykjavíkurborgar vilja gera á þessu svæði.</t>
  </si>
  <si>
    <t>22. Ég myndi aldrei mæta fullur eða skrópa í vinnuna.</t>
  </si>
  <si>
    <t>23. Snjórinn tók að kyngja niður í Reykjanesbæ upp úr miðnætti.</t>
  </si>
  <si>
    <t>24. Mér leiddist að fá enga athygli frá Silju.</t>
  </si>
  <si>
    <t>25. Salt og pipar eru ágæt á hrefnukjöti.</t>
  </si>
  <si>
    <t>ID</t>
  </si>
  <si>
    <t>Sentence</t>
  </si>
  <si>
    <t>Total</t>
  </si>
  <si>
    <t>Weighted average</t>
  </si>
  <si>
    <t>Age ranges</t>
  </si>
  <si>
    <t>Tot. Age 1</t>
  </si>
  <si>
    <t>Tot. Age 2</t>
  </si>
  <si>
    <t>Tot. Age 3</t>
  </si>
  <si>
    <t>W. average A</t>
  </si>
  <si>
    <t>W. average B</t>
  </si>
  <si>
    <t>W. average C</t>
  </si>
  <si>
    <t>Expected values</t>
  </si>
  <si>
    <t>P-value</t>
  </si>
  <si>
    <t>Tot. men A</t>
  </si>
  <si>
    <t>Tot. women A</t>
  </si>
  <si>
    <t>W. average Men</t>
  </si>
  <si>
    <t>W. average women</t>
  </si>
  <si>
    <t>Positive expected values</t>
  </si>
  <si>
    <t>Tot. men B</t>
  </si>
  <si>
    <t>Tot. women B</t>
  </si>
  <si>
    <t>Average Men</t>
  </si>
  <si>
    <t>Average women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</si>
</sst>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1" numFmtId="2" xfId="0" applyFont="1" applyNumberFormat="1"/>
    <xf borderId="0" fillId="0" fontId="1" numFmtId="165" xfId="0" applyFont="1" applyNumberFormat="1"/>
    <xf borderId="0" fillId="0" fontId="1" numFmtId="1" xfId="0" applyFont="1" applyNumberFormat="1"/>
    <xf borderId="0" fillId="0" fontId="2" numFmtId="165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2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88"/>
    <col customWidth="1" min="2" max="2" width="8.38"/>
    <col customWidth="1" min="3" max="3" width="7.25"/>
    <col customWidth="1" hidden="1" min="4" max="4" width="18.88"/>
    <col customWidth="1" min="5" max="5" width="18.88"/>
    <col customWidth="1" hidden="1" min="6" max="7" width="18.88"/>
    <col customWidth="1" min="8" max="8" width="18.88"/>
    <col customWidth="1" hidden="1" min="9" max="10" width="18.88"/>
    <col customWidth="1" min="11" max="11" width="18.88"/>
    <col customWidth="1" hidden="1" min="12" max="13" width="18.88"/>
    <col customWidth="1" min="14" max="14" width="18.88"/>
    <col customWidth="1" hidden="1" min="15" max="16" width="18.88"/>
    <col customWidth="1" min="17" max="17" width="18.88"/>
    <col customWidth="1" hidden="1" min="18" max="19" width="18.88"/>
    <col customWidth="1" min="20" max="20" width="18.88"/>
    <col customWidth="1" hidden="1" min="21" max="22" width="18.88"/>
    <col customWidth="1" min="23" max="23" width="18.88"/>
    <col customWidth="1" hidden="1" min="24" max="25" width="18.88"/>
    <col customWidth="1" min="26" max="26" width="18.88"/>
    <col customWidth="1" hidden="1" min="27" max="28" width="18.88"/>
    <col customWidth="1" min="29" max="3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2">
        <v>44803.79511395833</v>
      </c>
      <c r="B2" s="3">
        <v>40.0</v>
      </c>
      <c r="C2" s="3" t="s">
        <v>28</v>
      </c>
      <c r="D2" s="3">
        <v>4.0</v>
      </c>
      <c r="E2" s="3">
        <v>1.0</v>
      </c>
      <c r="F2" s="3">
        <v>1.0</v>
      </c>
      <c r="G2" s="3">
        <v>7.0</v>
      </c>
      <c r="H2" s="3">
        <v>1.0</v>
      </c>
      <c r="I2" s="3">
        <v>1.0</v>
      </c>
      <c r="J2" s="3">
        <v>1.0</v>
      </c>
      <c r="K2" s="3">
        <v>4.0</v>
      </c>
      <c r="L2" s="3">
        <v>7.0</v>
      </c>
      <c r="M2" s="3">
        <v>1.0</v>
      </c>
      <c r="N2" s="3">
        <v>1.0</v>
      </c>
      <c r="O2" s="3">
        <v>1.0</v>
      </c>
      <c r="P2" s="3">
        <v>4.0</v>
      </c>
      <c r="Q2" s="3">
        <v>3.0</v>
      </c>
      <c r="R2" s="3">
        <v>1.0</v>
      </c>
      <c r="S2" s="3">
        <v>4.0</v>
      </c>
      <c r="T2" s="3">
        <v>6.0</v>
      </c>
      <c r="U2" s="3">
        <v>1.0</v>
      </c>
      <c r="V2" s="3">
        <v>3.0</v>
      </c>
      <c r="W2" s="3">
        <v>7.0</v>
      </c>
      <c r="X2" s="3">
        <v>3.0</v>
      </c>
      <c r="Y2" s="3">
        <v>1.0</v>
      </c>
      <c r="Z2" s="3">
        <v>2.0</v>
      </c>
      <c r="AA2" s="3">
        <v>4.0</v>
      </c>
      <c r="AB2" s="3">
        <v>7.0</v>
      </c>
    </row>
    <row r="3">
      <c r="A3" s="2">
        <v>44849.79708581018</v>
      </c>
      <c r="B3" s="3">
        <v>21.0</v>
      </c>
      <c r="C3" s="3" t="s">
        <v>29</v>
      </c>
      <c r="D3" s="3">
        <v>7.0</v>
      </c>
      <c r="E3" s="3">
        <v>6.0</v>
      </c>
      <c r="F3" s="3">
        <v>1.0</v>
      </c>
      <c r="G3" s="3">
        <v>7.0</v>
      </c>
      <c r="H3" s="3">
        <v>1.0</v>
      </c>
      <c r="I3" s="3">
        <v>1.0</v>
      </c>
      <c r="J3" s="3">
        <v>1.0</v>
      </c>
      <c r="K3" s="3">
        <v>5.0</v>
      </c>
      <c r="L3" s="3">
        <v>7.0</v>
      </c>
      <c r="M3" s="3">
        <v>1.0</v>
      </c>
      <c r="N3" s="3">
        <v>4.0</v>
      </c>
      <c r="O3" s="3">
        <v>1.0</v>
      </c>
      <c r="P3" s="3">
        <v>1.0</v>
      </c>
      <c r="Q3" s="3">
        <v>1.0</v>
      </c>
      <c r="R3" s="3">
        <v>1.0</v>
      </c>
      <c r="S3" s="3">
        <v>7.0</v>
      </c>
      <c r="T3" s="3">
        <v>5.0</v>
      </c>
      <c r="U3" s="3">
        <v>1.0</v>
      </c>
      <c r="V3" s="3">
        <v>4.0</v>
      </c>
      <c r="W3" s="3">
        <v>7.0</v>
      </c>
      <c r="X3" s="3">
        <v>1.0</v>
      </c>
      <c r="Y3" s="3">
        <v>1.0</v>
      </c>
      <c r="Z3" s="3">
        <v>7.0</v>
      </c>
      <c r="AA3" s="3">
        <v>4.0</v>
      </c>
      <c r="AB3" s="3">
        <v>7.0</v>
      </c>
    </row>
    <row r="4">
      <c r="A4" s="2">
        <v>44849.80403327546</v>
      </c>
      <c r="B4" s="3">
        <v>45.0</v>
      </c>
      <c r="C4" s="3" t="s">
        <v>29</v>
      </c>
      <c r="D4" s="3">
        <v>1.0</v>
      </c>
      <c r="E4" s="3">
        <v>1.0</v>
      </c>
      <c r="F4" s="3">
        <v>1.0</v>
      </c>
      <c r="G4" s="3">
        <v>1.0</v>
      </c>
      <c r="H4" s="3">
        <v>1.0</v>
      </c>
      <c r="I4" s="3">
        <v>7.0</v>
      </c>
      <c r="J4" s="3">
        <v>1.0</v>
      </c>
      <c r="K4" s="3">
        <v>1.0</v>
      </c>
      <c r="L4" s="3">
        <v>7.0</v>
      </c>
      <c r="M4" s="3">
        <v>1.0</v>
      </c>
      <c r="N4" s="3">
        <v>7.0</v>
      </c>
      <c r="O4" s="3">
        <v>1.0</v>
      </c>
      <c r="P4" s="3">
        <v>1.0</v>
      </c>
      <c r="Q4" s="3">
        <v>1.0</v>
      </c>
      <c r="R4" s="3">
        <v>7.0</v>
      </c>
      <c r="S4" s="3">
        <v>7.0</v>
      </c>
      <c r="T4" s="3">
        <v>7.0</v>
      </c>
      <c r="U4" s="3">
        <v>1.0</v>
      </c>
      <c r="V4" s="3">
        <v>1.0</v>
      </c>
      <c r="W4" s="3">
        <v>1.0</v>
      </c>
      <c r="X4" s="3">
        <v>7.0</v>
      </c>
      <c r="Y4" s="3">
        <v>1.0</v>
      </c>
      <c r="Z4" s="3">
        <v>1.0</v>
      </c>
      <c r="AA4" s="3">
        <v>7.0</v>
      </c>
      <c r="AB4" s="3">
        <v>7.0</v>
      </c>
    </row>
    <row r="5">
      <c r="A5" s="2">
        <v>44849.80508332176</v>
      </c>
      <c r="B5" s="3">
        <v>20.0</v>
      </c>
      <c r="C5" s="3" t="s">
        <v>29</v>
      </c>
      <c r="D5" s="3">
        <v>7.0</v>
      </c>
      <c r="E5" s="3">
        <v>7.0</v>
      </c>
      <c r="F5" s="3">
        <v>2.0</v>
      </c>
      <c r="G5" s="3">
        <v>7.0</v>
      </c>
      <c r="H5" s="3">
        <v>7.0</v>
      </c>
      <c r="I5" s="3">
        <v>2.0</v>
      </c>
      <c r="J5" s="3">
        <v>2.0</v>
      </c>
      <c r="K5" s="3">
        <v>2.0</v>
      </c>
      <c r="L5" s="3">
        <v>6.0</v>
      </c>
      <c r="M5" s="3">
        <v>2.0</v>
      </c>
      <c r="N5" s="3">
        <v>6.0</v>
      </c>
      <c r="O5" s="3">
        <v>7.0</v>
      </c>
      <c r="P5" s="3">
        <v>2.0</v>
      </c>
      <c r="Q5" s="3">
        <v>2.0</v>
      </c>
      <c r="R5" s="3">
        <v>6.0</v>
      </c>
      <c r="S5" s="3">
        <v>6.0</v>
      </c>
      <c r="T5" s="3">
        <v>6.0</v>
      </c>
      <c r="U5" s="3">
        <v>6.0</v>
      </c>
      <c r="V5" s="3">
        <v>2.0</v>
      </c>
      <c r="W5" s="3">
        <v>2.0</v>
      </c>
      <c r="X5" s="3">
        <v>7.0</v>
      </c>
      <c r="Y5" s="3">
        <v>2.0</v>
      </c>
      <c r="Z5" s="3">
        <v>6.0</v>
      </c>
      <c r="AA5" s="3">
        <v>6.0</v>
      </c>
      <c r="AB5" s="3">
        <v>6.0</v>
      </c>
    </row>
    <row r="6">
      <c r="A6" s="2">
        <v>44849.82294903936</v>
      </c>
      <c r="B6" s="3">
        <v>31.0</v>
      </c>
      <c r="C6" s="3" t="s">
        <v>29</v>
      </c>
      <c r="D6" s="3">
        <v>2.0</v>
      </c>
      <c r="E6" s="3">
        <v>2.0</v>
      </c>
      <c r="F6" s="3">
        <v>1.0</v>
      </c>
      <c r="G6" s="3">
        <v>5.0</v>
      </c>
      <c r="H6" s="3">
        <v>1.0</v>
      </c>
      <c r="I6" s="3">
        <v>1.0</v>
      </c>
      <c r="J6" s="3">
        <v>1.0</v>
      </c>
      <c r="K6" s="3">
        <v>4.0</v>
      </c>
      <c r="L6" s="3">
        <v>7.0</v>
      </c>
      <c r="M6" s="3">
        <v>1.0</v>
      </c>
      <c r="N6" s="3">
        <v>2.0</v>
      </c>
      <c r="O6" s="3">
        <v>1.0</v>
      </c>
      <c r="P6" s="3">
        <v>2.0</v>
      </c>
      <c r="Q6" s="3">
        <v>1.0</v>
      </c>
      <c r="R6" s="3">
        <v>5.0</v>
      </c>
      <c r="S6" s="3">
        <v>7.0</v>
      </c>
      <c r="T6" s="3">
        <v>3.0</v>
      </c>
      <c r="U6" s="3">
        <v>7.0</v>
      </c>
      <c r="V6" s="3">
        <v>4.0</v>
      </c>
      <c r="W6" s="3">
        <v>2.0</v>
      </c>
      <c r="X6" s="3">
        <v>7.0</v>
      </c>
      <c r="Y6" s="3">
        <v>1.0</v>
      </c>
      <c r="Z6" s="3">
        <v>1.0</v>
      </c>
      <c r="AA6" s="3">
        <v>1.0</v>
      </c>
      <c r="AB6" s="3">
        <v>7.0</v>
      </c>
    </row>
    <row r="7">
      <c r="A7" s="2">
        <v>44849.84123027777</v>
      </c>
      <c r="B7" s="3">
        <v>22.0</v>
      </c>
      <c r="C7" s="3" t="s">
        <v>29</v>
      </c>
      <c r="D7" s="3">
        <v>2.0</v>
      </c>
      <c r="E7" s="3">
        <v>1.0</v>
      </c>
      <c r="F7" s="3">
        <v>1.0</v>
      </c>
      <c r="G7" s="3">
        <v>3.0</v>
      </c>
      <c r="H7" s="3">
        <v>3.0</v>
      </c>
      <c r="I7" s="3">
        <v>5.0</v>
      </c>
      <c r="J7" s="3">
        <v>6.0</v>
      </c>
      <c r="K7" s="3">
        <v>2.0</v>
      </c>
      <c r="L7" s="3">
        <v>7.0</v>
      </c>
      <c r="M7" s="3">
        <v>1.0</v>
      </c>
      <c r="N7" s="3">
        <v>2.0</v>
      </c>
      <c r="O7" s="3">
        <v>6.0</v>
      </c>
      <c r="P7" s="3">
        <v>1.0</v>
      </c>
      <c r="Q7" s="3">
        <v>1.0</v>
      </c>
      <c r="R7" s="3">
        <v>6.0</v>
      </c>
      <c r="S7" s="3">
        <v>5.0</v>
      </c>
      <c r="T7" s="3">
        <v>1.0</v>
      </c>
      <c r="U7" s="3">
        <v>6.0</v>
      </c>
      <c r="V7" s="3">
        <v>1.0</v>
      </c>
      <c r="W7" s="3">
        <v>2.0</v>
      </c>
      <c r="X7" s="3">
        <v>2.0</v>
      </c>
      <c r="Y7" s="3">
        <v>1.0</v>
      </c>
      <c r="Z7" s="3">
        <v>6.0</v>
      </c>
      <c r="AA7" s="3">
        <v>1.0</v>
      </c>
      <c r="AB7" s="3">
        <v>6.0</v>
      </c>
    </row>
    <row r="8">
      <c r="A8" s="2">
        <v>44849.917873900464</v>
      </c>
      <c r="B8" s="3">
        <v>35.0</v>
      </c>
      <c r="C8" s="3" t="s">
        <v>29</v>
      </c>
      <c r="D8" s="3">
        <v>1.0</v>
      </c>
      <c r="E8" s="3">
        <v>7.0</v>
      </c>
      <c r="F8" s="3">
        <v>1.0</v>
      </c>
      <c r="G8" s="3">
        <v>1.0</v>
      </c>
      <c r="H8" s="3">
        <v>1.0</v>
      </c>
      <c r="I8" s="3">
        <v>1.0</v>
      </c>
      <c r="J8" s="3">
        <v>1.0</v>
      </c>
      <c r="K8" s="3">
        <v>7.0</v>
      </c>
      <c r="L8" s="3">
        <v>7.0</v>
      </c>
      <c r="M8" s="3">
        <v>1.0</v>
      </c>
      <c r="N8" s="3">
        <v>1.0</v>
      </c>
      <c r="O8" s="3">
        <v>1.0</v>
      </c>
      <c r="P8" s="3">
        <v>1.0</v>
      </c>
      <c r="Q8" s="3">
        <v>1.0</v>
      </c>
      <c r="R8" s="3">
        <v>1.0</v>
      </c>
      <c r="S8" s="3">
        <v>1.0</v>
      </c>
      <c r="T8" s="3">
        <v>1.0</v>
      </c>
      <c r="U8" s="3">
        <v>1.0</v>
      </c>
      <c r="V8" s="3">
        <v>1.0</v>
      </c>
      <c r="W8" s="3">
        <v>7.0</v>
      </c>
      <c r="X8" s="3">
        <v>1.0</v>
      </c>
      <c r="Y8" s="3">
        <v>1.0</v>
      </c>
      <c r="Z8" s="3">
        <v>7.0</v>
      </c>
      <c r="AA8" s="3">
        <v>1.0</v>
      </c>
      <c r="AB8" s="3">
        <v>7.0</v>
      </c>
    </row>
    <row r="9">
      <c r="A9" s="2">
        <v>44850.039186423615</v>
      </c>
      <c r="B9" s="3">
        <v>21.0</v>
      </c>
      <c r="C9" s="3" t="s">
        <v>28</v>
      </c>
      <c r="D9" s="3">
        <v>2.0</v>
      </c>
      <c r="E9" s="3">
        <v>2.0</v>
      </c>
      <c r="F9" s="3">
        <v>1.0</v>
      </c>
      <c r="G9" s="3">
        <v>5.0</v>
      </c>
      <c r="H9" s="3">
        <v>1.0</v>
      </c>
      <c r="I9" s="3">
        <v>1.0</v>
      </c>
      <c r="J9" s="3">
        <v>1.0</v>
      </c>
      <c r="K9" s="3">
        <v>1.0</v>
      </c>
      <c r="L9" s="3">
        <v>7.0</v>
      </c>
      <c r="M9" s="3">
        <v>1.0</v>
      </c>
      <c r="N9" s="3">
        <v>3.0</v>
      </c>
      <c r="O9" s="3">
        <v>6.0</v>
      </c>
      <c r="P9" s="3">
        <v>1.0</v>
      </c>
      <c r="Q9" s="3">
        <v>1.0</v>
      </c>
      <c r="R9" s="3">
        <v>7.0</v>
      </c>
      <c r="S9" s="3">
        <v>6.0</v>
      </c>
      <c r="T9" s="3">
        <v>4.0</v>
      </c>
      <c r="U9" s="3">
        <v>1.0</v>
      </c>
      <c r="V9" s="3">
        <v>1.0</v>
      </c>
      <c r="W9" s="3">
        <v>4.0</v>
      </c>
      <c r="X9" s="3">
        <v>1.0</v>
      </c>
      <c r="Y9" s="3">
        <v>1.0</v>
      </c>
      <c r="Z9" s="3">
        <v>5.0</v>
      </c>
      <c r="AA9" s="3">
        <v>2.0</v>
      </c>
      <c r="AB9" s="3">
        <v>6.0</v>
      </c>
    </row>
    <row r="10">
      <c r="A10" s="2">
        <v>44850.6197107176</v>
      </c>
      <c r="B10" s="3">
        <v>27.0</v>
      </c>
      <c r="C10" s="3" t="s">
        <v>28</v>
      </c>
      <c r="D10" s="3">
        <v>2.0</v>
      </c>
      <c r="E10" s="3">
        <v>4.0</v>
      </c>
      <c r="F10" s="3">
        <v>6.0</v>
      </c>
      <c r="G10" s="3">
        <v>7.0</v>
      </c>
      <c r="H10" s="3">
        <v>1.0</v>
      </c>
      <c r="I10" s="3">
        <v>5.0</v>
      </c>
      <c r="J10" s="3">
        <v>5.0</v>
      </c>
      <c r="K10" s="3">
        <v>2.0</v>
      </c>
      <c r="L10" s="3">
        <v>7.0</v>
      </c>
      <c r="M10" s="3">
        <v>1.0</v>
      </c>
      <c r="N10" s="3">
        <v>7.0</v>
      </c>
      <c r="O10" s="3">
        <v>7.0</v>
      </c>
      <c r="P10" s="3">
        <v>6.0</v>
      </c>
      <c r="Q10" s="3">
        <v>3.0</v>
      </c>
      <c r="R10" s="3">
        <v>5.0</v>
      </c>
      <c r="S10" s="3">
        <v>7.0</v>
      </c>
      <c r="T10" s="3">
        <v>6.0</v>
      </c>
      <c r="U10" s="3">
        <v>5.0</v>
      </c>
      <c r="V10" s="3">
        <v>6.0</v>
      </c>
      <c r="W10" s="3">
        <v>6.0</v>
      </c>
      <c r="X10" s="3">
        <v>7.0</v>
      </c>
      <c r="Y10" s="3">
        <v>3.0</v>
      </c>
      <c r="Z10" s="3">
        <v>4.0</v>
      </c>
      <c r="AA10" s="3">
        <v>2.0</v>
      </c>
      <c r="AB10" s="3">
        <v>3.0</v>
      </c>
    </row>
    <row r="11">
      <c r="A11" s="2">
        <v>44850.823051886575</v>
      </c>
      <c r="B11" s="3">
        <v>19.0</v>
      </c>
      <c r="C11" s="3" t="s">
        <v>28</v>
      </c>
      <c r="D11" s="3">
        <v>1.0</v>
      </c>
      <c r="E11" s="3">
        <v>1.0</v>
      </c>
      <c r="F11" s="3">
        <v>1.0</v>
      </c>
      <c r="G11" s="3">
        <v>7.0</v>
      </c>
      <c r="H11" s="3">
        <v>7.0</v>
      </c>
      <c r="I11" s="3">
        <v>7.0</v>
      </c>
      <c r="J11" s="3">
        <v>7.0</v>
      </c>
      <c r="K11" s="3">
        <v>4.0</v>
      </c>
      <c r="L11" s="3">
        <v>5.0</v>
      </c>
      <c r="M11" s="3">
        <v>2.0</v>
      </c>
      <c r="N11" s="3">
        <v>6.0</v>
      </c>
      <c r="O11" s="3">
        <v>7.0</v>
      </c>
      <c r="P11" s="3">
        <v>3.0</v>
      </c>
      <c r="Q11" s="3">
        <v>1.0</v>
      </c>
      <c r="R11" s="3">
        <v>1.0</v>
      </c>
      <c r="S11" s="3">
        <v>1.0</v>
      </c>
      <c r="T11" s="3">
        <v>1.0</v>
      </c>
      <c r="U11" s="3">
        <v>3.0</v>
      </c>
      <c r="V11" s="3">
        <v>4.0</v>
      </c>
      <c r="W11" s="3">
        <v>7.0</v>
      </c>
      <c r="X11" s="3">
        <v>5.0</v>
      </c>
      <c r="Y11" s="3">
        <v>7.0</v>
      </c>
      <c r="Z11" s="3">
        <v>1.0</v>
      </c>
      <c r="AA11" s="3">
        <v>3.0</v>
      </c>
      <c r="AB11" s="3">
        <v>4.0</v>
      </c>
    </row>
    <row r="12">
      <c r="A12" s="2">
        <v>44850.975203379625</v>
      </c>
      <c r="B12" s="3">
        <v>23.0</v>
      </c>
      <c r="C12" s="3" t="s">
        <v>29</v>
      </c>
      <c r="D12" s="3">
        <v>2.0</v>
      </c>
      <c r="E12" s="3">
        <v>5.0</v>
      </c>
      <c r="F12" s="3">
        <v>7.0</v>
      </c>
      <c r="G12" s="3">
        <v>4.0</v>
      </c>
      <c r="H12" s="3">
        <v>2.0</v>
      </c>
      <c r="I12" s="3">
        <v>3.0</v>
      </c>
      <c r="J12" s="3">
        <v>6.0</v>
      </c>
      <c r="K12" s="3">
        <v>6.0</v>
      </c>
      <c r="L12" s="3">
        <v>7.0</v>
      </c>
      <c r="M12" s="3">
        <v>1.0</v>
      </c>
      <c r="N12" s="3">
        <v>3.0</v>
      </c>
      <c r="O12" s="3">
        <v>1.0</v>
      </c>
      <c r="P12" s="3">
        <v>1.0</v>
      </c>
      <c r="Q12" s="3">
        <v>5.0</v>
      </c>
      <c r="R12" s="3">
        <v>7.0</v>
      </c>
      <c r="S12" s="3">
        <v>7.0</v>
      </c>
      <c r="T12" s="3">
        <v>4.0</v>
      </c>
      <c r="U12" s="3">
        <v>7.0</v>
      </c>
      <c r="V12" s="3">
        <v>1.0</v>
      </c>
      <c r="W12" s="3">
        <v>5.0</v>
      </c>
      <c r="X12" s="3">
        <v>7.0</v>
      </c>
      <c r="Y12" s="3">
        <v>3.0</v>
      </c>
      <c r="Z12" s="3">
        <v>1.0</v>
      </c>
      <c r="AA12" s="3">
        <v>7.0</v>
      </c>
      <c r="AB12" s="3">
        <v>3.0</v>
      </c>
    </row>
    <row r="13">
      <c r="A13" s="2">
        <v>44852.84727834491</v>
      </c>
      <c r="B13" s="3">
        <v>54.0</v>
      </c>
      <c r="C13" s="3" t="s">
        <v>29</v>
      </c>
      <c r="D13" s="3">
        <v>6.0</v>
      </c>
      <c r="E13" s="3">
        <v>1.0</v>
      </c>
      <c r="F13" s="3">
        <v>6.0</v>
      </c>
      <c r="G13" s="3">
        <v>4.0</v>
      </c>
      <c r="H13" s="3">
        <v>1.0</v>
      </c>
      <c r="I13" s="3">
        <v>1.0</v>
      </c>
      <c r="J13" s="3">
        <v>1.0</v>
      </c>
      <c r="K13" s="3">
        <v>1.0</v>
      </c>
      <c r="L13" s="3">
        <v>7.0</v>
      </c>
      <c r="M13" s="3">
        <v>1.0</v>
      </c>
      <c r="N13" s="3">
        <v>7.0</v>
      </c>
      <c r="O13" s="3">
        <v>1.0</v>
      </c>
      <c r="P13" s="3">
        <v>1.0</v>
      </c>
      <c r="Q13" s="3">
        <v>1.0</v>
      </c>
      <c r="R13" s="3">
        <v>5.0</v>
      </c>
      <c r="S13" s="3">
        <v>5.0</v>
      </c>
      <c r="T13" s="3">
        <v>6.0</v>
      </c>
      <c r="U13" s="3">
        <v>3.0</v>
      </c>
      <c r="V13" s="3">
        <v>1.0</v>
      </c>
      <c r="W13" s="3">
        <v>6.0</v>
      </c>
      <c r="X13" s="3">
        <v>2.0</v>
      </c>
      <c r="Y13" s="3">
        <v>1.0</v>
      </c>
      <c r="Z13" s="3">
        <v>6.0</v>
      </c>
      <c r="AA13" s="3">
        <v>1.0</v>
      </c>
      <c r="AB13" s="3">
        <v>6.0</v>
      </c>
    </row>
    <row r="14">
      <c r="A14" s="2">
        <v>44867.61397290509</v>
      </c>
      <c r="B14" s="3">
        <v>20.0</v>
      </c>
      <c r="C14" s="3" t="s">
        <v>29</v>
      </c>
      <c r="D14" s="3">
        <v>1.0</v>
      </c>
      <c r="E14" s="3">
        <v>6.0</v>
      </c>
      <c r="F14" s="3">
        <v>1.0</v>
      </c>
      <c r="G14" s="3">
        <v>1.0</v>
      </c>
      <c r="H14" s="3">
        <v>1.0</v>
      </c>
      <c r="I14" s="3">
        <v>1.0</v>
      </c>
      <c r="J14" s="3">
        <v>1.0</v>
      </c>
      <c r="K14" s="3">
        <v>5.0</v>
      </c>
      <c r="L14" s="3">
        <v>7.0</v>
      </c>
      <c r="M14" s="3">
        <v>1.0</v>
      </c>
      <c r="N14" s="3">
        <v>2.0</v>
      </c>
      <c r="O14" s="3">
        <v>1.0</v>
      </c>
      <c r="P14" s="3">
        <v>1.0</v>
      </c>
      <c r="Q14" s="3">
        <v>1.0</v>
      </c>
      <c r="R14" s="3">
        <v>5.0</v>
      </c>
      <c r="S14" s="3">
        <v>2.0</v>
      </c>
      <c r="T14" s="3">
        <v>3.0</v>
      </c>
      <c r="U14" s="3">
        <v>1.0</v>
      </c>
      <c r="V14" s="3">
        <v>1.0</v>
      </c>
      <c r="W14" s="3">
        <v>5.0</v>
      </c>
      <c r="X14" s="3">
        <v>5.0</v>
      </c>
      <c r="Y14" s="3">
        <v>1.0</v>
      </c>
      <c r="Z14" s="3">
        <v>5.0</v>
      </c>
      <c r="AA14" s="3">
        <v>1.0</v>
      </c>
      <c r="AB14" s="3">
        <v>6.0</v>
      </c>
    </row>
    <row r="15">
      <c r="A15" s="2">
        <v>44871.54296630787</v>
      </c>
      <c r="B15" s="3">
        <v>47.0</v>
      </c>
      <c r="C15" s="3" t="s">
        <v>28</v>
      </c>
      <c r="D15" s="3">
        <v>2.0</v>
      </c>
      <c r="E15" s="3">
        <v>7.0</v>
      </c>
      <c r="F15" s="3">
        <v>2.0</v>
      </c>
      <c r="G15" s="3">
        <v>7.0</v>
      </c>
      <c r="H15" s="3">
        <v>1.0</v>
      </c>
      <c r="I15" s="3">
        <v>1.0</v>
      </c>
      <c r="J15" s="3">
        <v>1.0</v>
      </c>
      <c r="K15" s="3">
        <v>2.0</v>
      </c>
      <c r="L15" s="3">
        <v>6.0</v>
      </c>
      <c r="M15" s="3">
        <v>1.0</v>
      </c>
      <c r="N15" s="3">
        <v>4.0</v>
      </c>
      <c r="O15" s="3">
        <v>1.0</v>
      </c>
      <c r="P15" s="3">
        <v>1.0</v>
      </c>
      <c r="Q15" s="3">
        <v>5.0</v>
      </c>
      <c r="R15" s="3">
        <v>2.0</v>
      </c>
      <c r="S15" s="3">
        <v>6.0</v>
      </c>
      <c r="T15" s="3">
        <v>6.0</v>
      </c>
      <c r="U15" s="3">
        <v>2.0</v>
      </c>
      <c r="V15" s="3">
        <v>1.0</v>
      </c>
      <c r="W15" s="3">
        <v>6.0</v>
      </c>
      <c r="X15" s="3">
        <v>1.0</v>
      </c>
      <c r="Y15" s="3">
        <v>1.0</v>
      </c>
      <c r="Z15" s="3">
        <v>5.0</v>
      </c>
      <c r="AA15" s="3">
        <v>2.0</v>
      </c>
      <c r="AB15" s="3">
        <v>6.0</v>
      </c>
    </row>
    <row r="16">
      <c r="A16" s="2">
        <v>44872.48927164351</v>
      </c>
      <c r="B16" s="3">
        <v>46.0</v>
      </c>
      <c r="C16" s="3" t="s">
        <v>29</v>
      </c>
      <c r="D16" s="3">
        <v>1.0</v>
      </c>
      <c r="E16" s="3">
        <v>4.0</v>
      </c>
      <c r="F16" s="3">
        <v>1.0</v>
      </c>
      <c r="G16" s="3">
        <v>1.0</v>
      </c>
      <c r="H16" s="3">
        <v>1.0</v>
      </c>
      <c r="I16" s="3">
        <v>1.0</v>
      </c>
      <c r="J16" s="3">
        <v>1.0</v>
      </c>
      <c r="K16" s="3">
        <v>1.0</v>
      </c>
      <c r="L16" s="3">
        <v>4.0</v>
      </c>
      <c r="M16" s="3">
        <v>1.0</v>
      </c>
      <c r="N16" s="3">
        <v>1.0</v>
      </c>
      <c r="O16" s="3">
        <v>1.0</v>
      </c>
      <c r="P16" s="3">
        <v>2.0</v>
      </c>
      <c r="Q16" s="3">
        <v>1.0</v>
      </c>
      <c r="R16" s="3">
        <v>2.0</v>
      </c>
      <c r="S16" s="3">
        <v>2.0</v>
      </c>
      <c r="T16" s="3">
        <v>4.0</v>
      </c>
      <c r="U16" s="3">
        <v>4.0</v>
      </c>
      <c r="V16" s="3">
        <v>3.0</v>
      </c>
      <c r="W16" s="3">
        <v>4.0</v>
      </c>
      <c r="X16" s="3">
        <v>1.0</v>
      </c>
      <c r="Y16" s="3">
        <v>1.0</v>
      </c>
      <c r="Z16" s="3">
        <v>1.0</v>
      </c>
      <c r="AA16" s="3">
        <v>1.0</v>
      </c>
      <c r="AB16" s="3">
        <v>4.0</v>
      </c>
    </row>
    <row r="17">
      <c r="A17" s="2">
        <v>44872.86748785879</v>
      </c>
      <c r="B17" s="3">
        <v>23.0</v>
      </c>
      <c r="C17" s="3" t="s">
        <v>28</v>
      </c>
      <c r="D17" s="3">
        <v>6.0</v>
      </c>
      <c r="E17" s="3">
        <v>1.0</v>
      </c>
      <c r="F17" s="3">
        <v>1.0</v>
      </c>
      <c r="G17" s="3">
        <v>1.0</v>
      </c>
      <c r="H17" s="3">
        <v>1.0</v>
      </c>
      <c r="I17" s="3">
        <v>1.0</v>
      </c>
      <c r="J17" s="3">
        <v>1.0</v>
      </c>
      <c r="K17" s="3">
        <v>1.0</v>
      </c>
      <c r="L17" s="3">
        <v>7.0</v>
      </c>
      <c r="M17" s="3">
        <v>1.0</v>
      </c>
      <c r="N17" s="3">
        <v>5.0</v>
      </c>
      <c r="O17" s="3">
        <v>7.0</v>
      </c>
      <c r="P17" s="3">
        <v>6.0</v>
      </c>
      <c r="Q17" s="3">
        <v>1.0</v>
      </c>
      <c r="R17" s="3">
        <v>1.0</v>
      </c>
      <c r="S17" s="3">
        <v>6.0</v>
      </c>
      <c r="T17" s="3">
        <v>1.0</v>
      </c>
      <c r="U17" s="3">
        <v>7.0</v>
      </c>
      <c r="V17" s="3">
        <v>1.0</v>
      </c>
      <c r="W17" s="3">
        <v>4.0</v>
      </c>
      <c r="X17" s="3">
        <v>1.0</v>
      </c>
      <c r="Y17" s="3">
        <v>1.0</v>
      </c>
      <c r="Z17" s="3">
        <v>4.0</v>
      </c>
      <c r="AA17" s="3">
        <v>1.0</v>
      </c>
      <c r="AB17" s="3">
        <v>7.0</v>
      </c>
    </row>
    <row r="18">
      <c r="A18" s="2">
        <v>44873.495414363424</v>
      </c>
      <c r="B18" s="3">
        <v>69.0</v>
      </c>
      <c r="C18" s="3" t="s">
        <v>29</v>
      </c>
      <c r="D18" s="3">
        <v>1.0</v>
      </c>
      <c r="E18" s="3">
        <v>1.0</v>
      </c>
      <c r="F18" s="3">
        <v>1.0</v>
      </c>
      <c r="G18" s="3">
        <v>4.0</v>
      </c>
      <c r="H18" s="3">
        <v>1.0</v>
      </c>
      <c r="I18" s="3">
        <v>1.0</v>
      </c>
      <c r="J18" s="3">
        <v>1.0</v>
      </c>
      <c r="K18" s="3">
        <v>1.0</v>
      </c>
      <c r="L18" s="3">
        <v>6.0</v>
      </c>
      <c r="M18" s="3">
        <v>1.0</v>
      </c>
      <c r="N18" s="3">
        <v>2.0</v>
      </c>
      <c r="O18" s="3">
        <v>1.0</v>
      </c>
      <c r="P18" s="3">
        <v>1.0</v>
      </c>
      <c r="Q18" s="3">
        <v>1.0</v>
      </c>
      <c r="R18" s="3">
        <v>1.0</v>
      </c>
      <c r="S18" s="3">
        <v>3.0</v>
      </c>
      <c r="T18" s="3">
        <v>2.0</v>
      </c>
      <c r="U18" s="3">
        <v>1.0</v>
      </c>
      <c r="V18" s="3">
        <v>1.0</v>
      </c>
      <c r="W18" s="3">
        <v>6.0</v>
      </c>
      <c r="X18" s="3">
        <v>1.0</v>
      </c>
      <c r="Y18" s="3">
        <v>1.0</v>
      </c>
      <c r="Z18" s="3">
        <v>1.0</v>
      </c>
      <c r="AA18" s="3">
        <v>6.0</v>
      </c>
      <c r="AB18" s="3">
        <v>6.0</v>
      </c>
    </row>
    <row r="19">
      <c r="A19" s="2">
        <v>44877.67599741898</v>
      </c>
      <c r="B19" s="3">
        <v>19.0</v>
      </c>
      <c r="C19" s="3" t="s">
        <v>29</v>
      </c>
      <c r="D19" s="3">
        <v>1.0</v>
      </c>
      <c r="E19" s="3">
        <v>1.0</v>
      </c>
      <c r="F19" s="3">
        <v>1.0</v>
      </c>
      <c r="G19" s="3">
        <v>5.0</v>
      </c>
      <c r="H19" s="3">
        <v>1.0</v>
      </c>
      <c r="I19" s="3">
        <v>1.0</v>
      </c>
      <c r="J19" s="3">
        <v>4.0</v>
      </c>
      <c r="K19" s="3">
        <v>1.0</v>
      </c>
      <c r="L19" s="3">
        <v>4.0</v>
      </c>
      <c r="M19" s="3">
        <v>1.0</v>
      </c>
      <c r="N19" s="3">
        <v>1.0</v>
      </c>
      <c r="O19" s="3">
        <v>4.0</v>
      </c>
      <c r="P19" s="3">
        <v>3.0</v>
      </c>
      <c r="Q19" s="3">
        <v>1.0</v>
      </c>
      <c r="R19" s="3">
        <v>5.0</v>
      </c>
      <c r="S19" s="3">
        <v>2.0</v>
      </c>
      <c r="T19" s="3">
        <v>1.0</v>
      </c>
      <c r="U19" s="3">
        <v>4.0</v>
      </c>
      <c r="V19" s="3">
        <v>2.0</v>
      </c>
      <c r="W19" s="3">
        <v>1.0</v>
      </c>
      <c r="X19" s="3">
        <v>7.0</v>
      </c>
      <c r="Y19" s="3">
        <v>1.0</v>
      </c>
      <c r="Z19" s="3">
        <v>1.0</v>
      </c>
      <c r="AA19" s="3">
        <v>3.0</v>
      </c>
      <c r="AB19" s="3">
        <v>3.0</v>
      </c>
    </row>
    <row r="20">
      <c r="A20" s="2">
        <v>44888.444966111114</v>
      </c>
      <c r="B20" s="3">
        <v>28.0</v>
      </c>
      <c r="C20" s="3" t="s">
        <v>28</v>
      </c>
      <c r="D20" s="3">
        <v>1.0</v>
      </c>
      <c r="E20" s="3">
        <v>2.0</v>
      </c>
      <c r="F20" s="3">
        <v>1.0</v>
      </c>
      <c r="G20" s="3">
        <v>4.0</v>
      </c>
      <c r="H20" s="3">
        <v>2.0</v>
      </c>
      <c r="I20" s="3">
        <v>1.0</v>
      </c>
      <c r="J20" s="3">
        <v>1.0</v>
      </c>
      <c r="K20" s="3">
        <v>1.0</v>
      </c>
      <c r="L20" s="3">
        <v>3.0</v>
      </c>
      <c r="M20" s="3">
        <v>1.0</v>
      </c>
      <c r="N20" s="3">
        <v>5.0</v>
      </c>
      <c r="O20" s="3">
        <v>1.0</v>
      </c>
      <c r="P20" s="3">
        <v>2.0</v>
      </c>
      <c r="Q20" s="3">
        <v>1.0</v>
      </c>
      <c r="R20" s="3">
        <v>3.0</v>
      </c>
      <c r="S20" s="3">
        <v>4.0</v>
      </c>
      <c r="T20" s="3">
        <v>1.0</v>
      </c>
      <c r="U20" s="3">
        <v>5.0</v>
      </c>
      <c r="V20" s="3">
        <v>2.0</v>
      </c>
      <c r="W20" s="3">
        <v>2.0</v>
      </c>
      <c r="X20" s="3">
        <v>3.0</v>
      </c>
      <c r="Y20" s="3">
        <v>1.0</v>
      </c>
      <c r="Z20" s="3">
        <v>3.0</v>
      </c>
      <c r="AA20" s="3">
        <v>5.0</v>
      </c>
      <c r="AB20" s="3">
        <v>5.0</v>
      </c>
    </row>
    <row r="21">
      <c r="A21" s="2">
        <v>44888.63699572917</v>
      </c>
      <c r="B21" s="3">
        <v>22.0</v>
      </c>
      <c r="C21" s="3" t="s">
        <v>29</v>
      </c>
      <c r="D21" s="3">
        <v>5.0</v>
      </c>
      <c r="E21" s="3">
        <v>2.0</v>
      </c>
      <c r="F21" s="3">
        <v>1.0</v>
      </c>
      <c r="G21" s="3">
        <v>2.0</v>
      </c>
      <c r="H21" s="3">
        <v>1.0</v>
      </c>
      <c r="I21" s="3">
        <v>1.0</v>
      </c>
      <c r="J21" s="3">
        <v>1.0</v>
      </c>
      <c r="K21" s="3">
        <v>2.0</v>
      </c>
      <c r="L21" s="3">
        <v>6.0</v>
      </c>
      <c r="M21" s="3">
        <v>1.0</v>
      </c>
      <c r="N21" s="3">
        <v>2.0</v>
      </c>
      <c r="O21" s="3">
        <v>1.0</v>
      </c>
      <c r="P21" s="3">
        <v>1.0</v>
      </c>
      <c r="Q21" s="3">
        <v>1.0</v>
      </c>
      <c r="R21" s="3">
        <v>6.0</v>
      </c>
      <c r="S21" s="3">
        <v>7.0</v>
      </c>
      <c r="T21" s="3">
        <v>3.0</v>
      </c>
      <c r="U21" s="3">
        <v>5.0</v>
      </c>
      <c r="V21" s="3">
        <v>3.0</v>
      </c>
      <c r="W21" s="3">
        <v>2.0</v>
      </c>
      <c r="X21" s="3">
        <v>6.0</v>
      </c>
      <c r="Y21" s="3">
        <v>1.0</v>
      </c>
      <c r="Z21" s="3">
        <v>2.0</v>
      </c>
      <c r="AA21" s="3">
        <v>4.0</v>
      </c>
      <c r="AB21" s="3">
        <v>5.0</v>
      </c>
    </row>
    <row r="22">
      <c r="A22" s="2">
        <v>44889.60165053241</v>
      </c>
      <c r="B22" s="3">
        <v>19.0</v>
      </c>
      <c r="C22" s="3" t="s">
        <v>29</v>
      </c>
      <c r="D22" s="3">
        <v>5.0</v>
      </c>
      <c r="E22" s="3">
        <v>3.0</v>
      </c>
      <c r="F22" s="3">
        <v>6.0</v>
      </c>
      <c r="G22" s="3">
        <v>7.0</v>
      </c>
      <c r="H22" s="3">
        <v>2.0</v>
      </c>
      <c r="I22" s="3">
        <v>3.0</v>
      </c>
      <c r="J22" s="3">
        <v>1.0</v>
      </c>
      <c r="K22" s="3">
        <v>1.0</v>
      </c>
      <c r="L22" s="3">
        <v>6.0</v>
      </c>
      <c r="M22" s="3">
        <v>2.0</v>
      </c>
      <c r="N22" s="3">
        <v>2.0</v>
      </c>
      <c r="O22" s="3">
        <v>2.0</v>
      </c>
      <c r="P22" s="3">
        <v>6.0</v>
      </c>
      <c r="Q22" s="3">
        <v>1.0</v>
      </c>
      <c r="R22" s="3">
        <v>7.0</v>
      </c>
      <c r="S22" s="3">
        <v>4.0</v>
      </c>
      <c r="T22" s="3">
        <v>4.0</v>
      </c>
      <c r="U22" s="3">
        <v>2.0</v>
      </c>
      <c r="V22" s="3">
        <v>5.0</v>
      </c>
      <c r="W22" s="3">
        <v>7.0</v>
      </c>
      <c r="X22" s="3">
        <v>7.0</v>
      </c>
      <c r="Y22" s="3">
        <v>2.0</v>
      </c>
      <c r="Z22" s="3">
        <v>6.0</v>
      </c>
      <c r="AA22" s="3">
        <v>3.0</v>
      </c>
      <c r="AB22" s="3">
        <v>6.0</v>
      </c>
    </row>
  </sheetData>
  <autoFilter ref="$A$1:$AB$2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8.88"/>
    <col customWidth="1" min="2" max="2" width="8.38"/>
    <col customWidth="1" min="3" max="3" width="7.25"/>
    <col customWidth="1" hidden="1" min="4" max="5" width="18.88"/>
    <col customWidth="1" min="6" max="6" width="18.88"/>
    <col customWidth="1" hidden="1" min="7" max="8" width="18.88"/>
    <col customWidth="1" min="9" max="9" width="18.88"/>
    <col customWidth="1" hidden="1" min="10" max="11" width="18.88"/>
    <col customWidth="1" min="12" max="12" width="18.88"/>
    <col customWidth="1" hidden="1" min="13" max="14" width="18.88"/>
    <col customWidth="1" min="15" max="15" width="18.88"/>
    <col customWidth="1" hidden="1" min="16" max="17" width="18.88"/>
    <col customWidth="1" min="18" max="18" width="18.88"/>
    <col customWidth="1" hidden="1" min="19" max="20" width="18.88"/>
    <col customWidth="1" min="21" max="21" width="18.88"/>
    <col customWidth="1" hidden="1" min="22" max="23" width="18.88"/>
    <col customWidth="1" min="24" max="24" width="18.88"/>
    <col customWidth="1" hidden="1" min="25" max="26" width="18.88"/>
    <col customWidth="1" min="27" max="27" width="18.88"/>
    <col customWidth="1" hidden="1" min="28" max="28" width="18.88"/>
    <col customWidth="1" min="29" max="34" width="18.88"/>
  </cols>
  <sheetData>
    <row r="1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15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</row>
    <row r="2">
      <c r="A2" s="2">
        <v>44851.87903490741</v>
      </c>
      <c r="B2" s="3">
        <v>50.0</v>
      </c>
      <c r="C2" s="3" t="s">
        <v>29</v>
      </c>
      <c r="D2" s="3">
        <v>7.0</v>
      </c>
      <c r="E2" s="3">
        <v>7.0</v>
      </c>
      <c r="F2" s="3">
        <v>1.0</v>
      </c>
      <c r="G2" s="3">
        <v>1.0</v>
      </c>
      <c r="H2" s="3">
        <v>1.0</v>
      </c>
      <c r="I2" s="3">
        <v>1.0</v>
      </c>
      <c r="J2" s="3">
        <v>1.0</v>
      </c>
      <c r="K2" s="3">
        <v>7.0</v>
      </c>
      <c r="L2" s="3">
        <v>7.0</v>
      </c>
      <c r="M2" s="3">
        <v>7.0</v>
      </c>
      <c r="N2" s="3">
        <v>7.0</v>
      </c>
      <c r="O2" s="3">
        <v>1.0</v>
      </c>
      <c r="P2" s="3">
        <v>1.0</v>
      </c>
      <c r="Q2" s="3">
        <v>1.0</v>
      </c>
      <c r="R2" s="3">
        <v>7.0</v>
      </c>
      <c r="S2" s="3">
        <v>1.0</v>
      </c>
      <c r="T2" s="3">
        <v>1.0</v>
      </c>
      <c r="U2" s="3">
        <v>1.0</v>
      </c>
      <c r="V2" s="3">
        <v>1.0</v>
      </c>
      <c r="W2" s="3">
        <v>1.0</v>
      </c>
      <c r="X2" s="3">
        <v>7.0</v>
      </c>
      <c r="Y2" s="3">
        <v>7.0</v>
      </c>
      <c r="Z2" s="3">
        <v>1.0</v>
      </c>
      <c r="AA2" s="3">
        <v>7.0</v>
      </c>
      <c r="AB2" s="3">
        <v>1.0</v>
      </c>
    </row>
    <row r="3">
      <c r="A3" s="2">
        <v>44851.9295859375</v>
      </c>
      <c r="B3" s="3">
        <v>38.0</v>
      </c>
      <c r="C3" s="3" t="s">
        <v>29</v>
      </c>
      <c r="D3" s="3">
        <v>6.0</v>
      </c>
      <c r="E3" s="3">
        <v>4.0</v>
      </c>
      <c r="F3" s="3">
        <v>1.0</v>
      </c>
      <c r="G3" s="3">
        <v>1.0</v>
      </c>
      <c r="H3" s="3">
        <v>6.0</v>
      </c>
      <c r="I3" s="3">
        <v>1.0</v>
      </c>
      <c r="J3" s="3">
        <v>5.0</v>
      </c>
      <c r="K3" s="3">
        <v>2.0</v>
      </c>
      <c r="L3" s="3">
        <v>2.0</v>
      </c>
      <c r="M3" s="3">
        <v>6.0</v>
      </c>
      <c r="N3" s="3">
        <v>3.0</v>
      </c>
      <c r="O3" s="3">
        <v>1.0</v>
      </c>
      <c r="P3" s="3">
        <v>1.0</v>
      </c>
      <c r="Q3" s="3">
        <v>1.0</v>
      </c>
      <c r="R3" s="3">
        <v>7.0</v>
      </c>
      <c r="S3" s="3">
        <v>7.0</v>
      </c>
      <c r="T3" s="3">
        <v>7.0</v>
      </c>
      <c r="U3" s="3">
        <v>2.0</v>
      </c>
      <c r="V3" s="3">
        <v>1.0</v>
      </c>
      <c r="W3" s="3">
        <v>1.0</v>
      </c>
      <c r="X3" s="3">
        <v>6.0</v>
      </c>
      <c r="Y3" s="3">
        <v>7.0</v>
      </c>
      <c r="Z3" s="3">
        <v>1.0</v>
      </c>
      <c r="AA3" s="3">
        <v>4.0</v>
      </c>
      <c r="AB3" s="3">
        <v>1.0</v>
      </c>
    </row>
    <row r="4">
      <c r="A4" s="2">
        <v>44852.73445318287</v>
      </c>
      <c r="B4" s="3">
        <v>29.0</v>
      </c>
      <c r="C4" s="3" t="s">
        <v>29</v>
      </c>
      <c r="D4" s="3">
        <v>7.0</v>
      </c>
      <c r="E4" s="3">
        <v>7.0</v>
      </c>
      <c r="F4" s="3">
        <v>7.0</v>
      </c>
      <c r="G4" s="3">
        <v>3.0</v>
      </c>
      <c r="H4" s="3">
        <v>6.0</v>
      </c>
      <c r="I4" s="3">
        <v>6.0</v>
      </c>
      <c r="J4" s="3">
        <v>7.0</v>
      </c>
      <c r="K4" s="3">
        <v>7.0</v>
      </c>
      <c r="L4" s="3">
        <v>7.0</v>
      </c>
      <c r="M4" s="3">
        <v>7.0</v>
      </c>
      <c r="N4" s="3">
        <v>7.0</v>
      </c>
      <c r="O4" s="3">
        <v>1.0</v>
      </c>
      <c r="P4" s="3">
        <v>2.0</v>
      </c>
      <c r="Q4" s="3">
        <v>7.0</v>
      </c>
      <c r="R4" s="3">
        <v>7.0</v>
      </c>
      <c r="S4" s="3">
        <v>7.0</v>
      </c>
      <c r="T4" s="3">
        <v>7.0</v>
      </c>
      <c r="U4" s="3">
        <v>6.0</v>
      </c>
      <c r="V4" s="3">
        <v>7.0</v>
      </c>
      <c r="W4" s="3">
        <v>7.0</v>
      </c>
      <c r="X4" s="3">
        <v>7.0</v>
      </c>
      <c r="Y4" s="3">
        <v>7.0</v>
      </c>
      <c r="Z4" s="3">
        <v>7.0</v>
      </c>
      <c r="AA4" s="3">
        <v>7.0</v>
      </c>
      <c r="AB4" s="3">
        <v>7.0</v>
      </c>
    </row>
    <row r="5">
      <c r="A5" s="2">
        <v>44852.847299699075</v>
      </c>
      <c r="B5" s="3">
        <v>81.0</v>
      </c>
      <c r="C5" s="3" t="s">
        <v>28</v>
      </c>
      <c r="D5" s="3">
        <v>7.0</v>
      </c>
      <c r="E5" s="3">
        <v>5.0</v>
      </c>
      <c r="F5" s="3">
        <v>1.0</v>
      </c>
      <c r="G5" s="3">
        <v>1.0</v>
      </c>
      <c r="H5" s="3">
        <v>2.0</v>
      </c>
      <c r="I5" s="3">
        <v>1.0</v>
      </c>
      <c r="J5" s="3">
        <v>1.0</v>
      </c>
      <c r="K5" s="3">
        <v>2.0</v>
      </c>
      <c r="L5" s="3">
        <v>7.0</v>
      </c>
      <c r="M5" s="3">
        <v>2.0</v>
      </c>
      <c r="N5" s="3">
        <v>1.0</v>
      </c>
      <c r="O5" s="3">
        <v>1.0</v>
      </c>
      <c r="P5" s="3">
        <v>5.0</v>
      </c>
      <c r="Q5" s="3">
        <v>3.0</v>
      </c>
      <c r="R5" s="3">
        <v>7.0</v>
      </c>
      <c r="S5" s="3">
        <v>4.0</v>
      </c>
      <c r="T5" s="3">
        <v>2.0</v>
      </c>
      <c r="U5" s="3">
        <v>1.0</v>
      </c>
      <c r="V5" s="3">
        <v>7.0</v>
      </c>
      <c r="W5" s="3">
        <v>1.0</v>
      </c>
      <c r="X5" s="3">
        <v>7.0</v>
      </c>
      <c r="Y5" s="3">
        <v>7.0</v>
      </c>
      <c r="Z5" s="3">
        <v>1.0</v>
      </c>
      <c r="AA5" s="3">
        <v>3.0</v>
      </c>
      <c r="AB5" s="3">
        <v>1.0</v>
      </c>
    </row>
    <row r="6">
      <c r="A6" s="2">
        <v>44854.44700649305</v>
      </c>
      <c r="B6" s="3">
        <v>37.0</v>
      </c>
      <c r="C6" s="3" t="s">
        <v>28</v>
      </c>
      <c r="D6" s="3">
        <v>2.0</v>
      </c>
      <c r="E6" s="3">
        <v>2.0</v>
      </c>
      <c r="F6" s="3">
        <v>6.0</v>
      </c>
      <c r="G6" s="3">
        <v>4.0</v>
      </c>
      <c r="H6" s="3">
        <v>2.0</v>
      </c>
      <c r="I6" s="3">
        <v>6.0</v>
      </c>
      <c r="J6" s="3">
        <v>6.0</v>
      </c>
      <c r="K6" s="3">
        <v>6.0</v>
      </c>
      <c r="L6" s="3">
        <v>2.0</v>
      </c>
      <c r="M6" s="3">
        <v>5.0</v>
      </c>
      <c r="N6" s="3">
        <v>6.0</v>
      </c>
      <c r="O6" s="3">
        <v>6.0</v>
      </c>
      <c r="P6" s="3">
        <v>6.0</v>
      </c>
      <c r="Q6" s="3">
        <v>4.0</v>
      </c>
      <c r="R6" s="3">
        <v>7.0</v>
      </c>
      <c r="S6" s="3">
        <v>2.0</v>
      </c>
      <c r="T6" s="3">
        <v>6.0</v>
      </c>
      <c r="U6" s="3">
        <v>6.0</v>
      </c>
      <c r="V6" s="3">
        <v>2.0</v>
      </c>
      <c r="W6" s="3">
        <v>6.0</v>
      </c>
      <c r="X6" s="3">
        <v>4.0</v>
      </c>
      <c r="Y6" s="3">
        <v>7.0</v>
      </c>
      <c r="Z6" s="3">
        <v>7.0</v>
      </c>
      <c r="AA6" s="3">
        <v>7.0</v>
      </c>
      <c r="AB6" s="3">
        <v>7.0</v>
      </c>
    </row>
    <row r="7">
      <c r="A7" s="2">
        <v>44854.546999259255</v>
      </c>
      <c r="B7" s="3">
        <v>24.0</v>
      </c>
      <c r="C7" s="3" t="s">
        <v>29</v>
      </c>
      <c r="D7" s="3">
        <v>1.0</v>
      </c>
      <c r="E7" s="3">
        <v>7.0</v>
      </c>
      <c r="F7" s="3">
        <v>5.0</v>
      </c>
      <c r="G7" s="3">
        <v>1.0</v>
      </c>
      <c r="H7" s="3">
        <v>7.0</v>
      </c>
      <c r="I7" s="3">
        <v>1.0</v>
      </c>
      <c r="J7" s="3">
        <v>1.0</v>
      </c>
      <c r="K7" s="3">
        <v>1.0</v>
      </c>
      <c r="L7" s="3">
        <v>1.0</v>
      </c>
      <c r="M7" s="3">
        <v>1.0</v>
      </c>
      <c r="N7" s="3">
        <v>7.0</v>
      </c>
      <c r="O7" s="3">
        <v>1.0</v>
      </c>
      <c r="P7" s="3">
        <v>7.0</v>
      </c>
      <c r="Q7" s="3">
        <v>7.0</v>
      </c>
      <c r="R7" s="3">
        <v>7.0</v>
      </c>
      <c r="S7" s="3">
        <v>1.0</v>
      </c>
      <c r="T7" s="3">
        <v>1.0</v>
      </c>
      <c r="U7" s="3">
        <v>4.0</v>
      </c>
      <c r="V7" s="3">
        <v>7.0</v>
      </c>
      <c r="W7" s="3">
        <v>7.0</v>
      </c>
      <c r="X7" s="3">
        <v>7.0</v>
      </c>
      <c r="Y7" s="3">
        <v>7.0</v>
      </c>
      <c r="Z7" s="3">
        <v>7.0</v>
      </c>
      <c r="AA7" s="3">
        <v>7.0</v>
      </c>
      <c r="AB7" s="3">
        <v>7.0</v>
      </c>
    </row>
    <row r="8">
      <c r="A8" s="2">
        <v>44855.51298738426</v>
      </c>
      <c r="B8" s="3">
        <v>24.0</v>
      </c>
      <c r="C8" s="3" t="s">
        <v>28</v>
      </c>
      <c r="D8" s="3">
        <v>6.0</v>
      </c>
      <c r="E8" s="3">
        <v>7.0</v>
      </c>
      <c r="F8" s="3">
        <v>1.0</v>
      </c>
      <c r="G8" s="3">
        <v>1.0</v>
      </c>
      <c r="H8" s="3">
        <v>1.0</v>
      </c>
      <c r="I8" s="3">
        <v>1.0</v>
      </c>
      <c r="J8" s="3">
        <v>1.0</v>
      </c>
      <c r="K8" s="3">
        <v>7.0</v>
      </c>
      <c r="L8" s="3">
        <v>4.0</v>
      </c>
      <c r="M8" s="3">
        <v>2.0</v>
      </c>
      <c r="N8" s="3">
        <v>1.0</v>
      </c>
      <c r="O8" s="3">
        <v>1.0</v>
      </c>
      <c r="P8" s="3">
        <v>3.0</v>
      </c>
      <c r="Q8" s="3">
        <v>2.0</v>
      </c>
      <c r="R8" s="3">
        <v>7.0</v>
      </c>
      <c r="S8" s="3">
        <v>3.0</v>
      </c>
      <c r="T8" s="3">
        <v>2.0</v>
      </c>
      <c r="U8" s="3">
        <v>3.0</v>
      </c>
      <c r="V8" s="3">
        <v>1.0</v>
      </c>
      <c r="W8" s="3">
        <v>1.0</v>
      </c>
      <c r="X8" s="3">
        <v>3.0</v>
      </c>
      <c r="Y8" s="3">
        <v>5.0</v>
      </c>
      <c r="Z8" s="3">
        <v>1.0</v>
      </c>
      <c r="AA8" s="3">
        <v>2.0</v>
      </c>
      <c r="AB8" s="3">
        <v>4.0</v>
      </c>
    </row>
    <row r="9">
      <c r="A9" s="2">
        <v>44855.67969671296</v>
      </c>
      <c r="B9" s="3">
        <v>72.0</v>
      </c>
      <c r="C9" s="3" t="s">
        <v>28</v>
      </c>
      <c r="D9" s="3">
        <v>5.0</v>
      </c>
      <c r="E9" s="3">
        <v>7.0</v>
      </c>
      <c r="F9" s="3">
        <v>5.0</v>
      </c>
      <c r="G9" s="3">
        <v>1.0</v>
      </c>
      <c r="H9" s="3">
        <v>3.0</v>
      </c>
      <c r="I9" s="3">
        <v>2.0</v>
      </c>
      <c r="J9" s="3">
        <v>1.0</v>
      </c>
      <c r="K9" s="3">
        <v>7.0</v>
      </c>
      <c r="L9" s="3">
        <v>2.0</v>
      </c>
      <c r="M9" s="3">
        <v>2.0</v>
      </c>
      <c r="N9" s="3">
        <v>1.0</v>
      </c>
      <c r="O9" s="3">
        <v>2.0</v>
      </c>
      <c r="P9" s="3">
        <v>7.0</v>
      </c>
      <c r="Q9" s="3">
        <v>1.0</v>
      </c>
      <c r="R9" s="3">
        <v>7.0</v>
      </c>
      <c r="S9" s="3">
        <v>1.0</v>
      </c>
      <c r="T9" s="3">
        <v>2.0</v>
      </c>
      <c r="U9" s="3">
        <v>1.0</v>
      </c>
      <c r="V9" s="3">
        <v>2.0</v>
      </c>
      <c r="W9" s="3">
        <v>1.0</v>
      </c>
      <c r="X9" s="3">
        <v>7.0</v>
      </c>
      <c r="Y9" s="3">
        <v>1.0</v>
      </c>
      <c r="Z9" s="3">
        <v>1.0</v>
      </c>
      <c r="AA9" s="3">
        <v>7.0</v>
      </c>
      <c r="AB9" s="3">
        <v>2.0</v>
      </c>
    </row>
    <row r="10">
      <c r="A10" s="2">
        <v>44860.59627311343</v>
      </c>
      <c r="B10" s="3">
        <v>55.0</v>
      </c>
      <c r="C10" s="3" t="s">
        <v>28</v>
      </c>
      <c r="D10" s="3">
        <v>5.0</v>
      </c>
      <c r="E10" s="3">
        <v>5.0</v>
      </c>
      <c r="F10" s="3">
        <v>1.0</v>
      </c>
      <c r="G10" s="3">
        <v>1.0</v>
      </c>
      <c r="H10" s="3">
        <v>1.0</v>
      </c>
      <c r="I10" s="3">
        <v>1.0</v>
      </c>
      <c r="J10" s="3">
        <v>1.0</v>
      </c>
      <c r="K10" s="3">
        <v>1.0</v>
      </c>
      <c r="L10" s="3">
        <v>1.0</v>
      </c>
      <c r="M10" s="3">
        <v>1.0</v>
      </c>
      <c r="N10" s="3">
        <v>5.0</v>
      </c>
      <c r="O10" s="3">
        <v>1.0</v>
      </c>
      <c r="P10" s="3">
        <v>1.0</v>
      </c>
      <c r="Q10" s="3">
        <v>5.0</v>
      </c>
      <c r="R10" s="3">
        <v>5.0</v>
      </c>
      <c r="S10" s="3">
        <v>1.0</v>
      </c>
      <c r="T10" s="3">
        <v>1.0</v>
      </c>
      <c r="U10" s="3">
        <v>1.0</v>
      </c>
      <c r="V10" s="3">
        <v>1.0</v>
      </c>
      <c r="W10" s="3">
        <v>1.0</v>
      </c>
      <c r="X10" s="3">
        <v>5.0</v>
      </c>
      <c r="Y10" s="3">
        <v>6.0</v>
      </c>
      <c r="Z10" s="3">
        <v>5.0</v>
      </c>
      <c r="AA10" s="3">
        <v>6.0</v>
      </c>
      <c r="AB10" s="3">
        <v>1.0</v>
      </c>
    </row>
    <row r="11">
      <c r="A11" s="2">
        <v>44860.611354050925</v>
      </c>
      <c r="B11" s="3">
        <v>43.0</v>
      </c>
      <c r="C11" s="3" t="s">
        <v>29</v>
      </c>
      <c r="D11" s="3">
        <v>6.0</v>
      </c>
      <c r="E11" s="3">
        <v>7.0</v>
      </c>
      <c r="F11" s="3">
        <v>7.0</v>
      </c>
      <c r="G11" s="3">
        <v>1.0</v>
      </c>
      <c r="H11" s="3">
        <v>1.0</v>
      </c>
      <c r="I11" s="3">
        <v>1.0</v>
      </c>
      <c r="J11" s="3">
        <v>1.0</v>
      </c>
      <c r="K11" s="3">
        <v>7.0</v>
      </c>
      <c r="L11" s="3">
        <v>7.0</v>
      </c>
      <c r="M11" s="3">
        <v>7.0</v>
      </c>
      <c r="N11" s="3">
        <v>2.0</v>
      </c>
      <c r="O11" s="3">
        <v>1.0</v>
      </c>
      <c r="P11" s="3">
        <v>1.0</v>
      </c>
      <c r="Q11" s="3">
        <v>1.0</v>
      </c>
      <c r="R11" s="3">
        <v>7.0</v>
      </c>
      <c r="S11" s="3">
        <v>7.0</v>
      </c>
      <c r="T11" s="3">
        <v>7.0</v>
      </c>
      <c r="U11" s="3">
        <v>1.0</v>
      </c>
      <c r="V11" s="3">
        <v>1.0</v>
      </c>
      <c r="W11" s="3">
        <v>1.0</v>
      </c>
      <c r="X11" s="3">
        <v>6.0</v>
      </c>
      <c r="Y11" s="3">
        <v>1.0</v>
      </c>
      <c r="Z11" s="3">
        <v>1.0</v>
      </c>
      <c r="AA11" s="3">
        <v>5.0</v>
      </c>
      <c r="AB11" s="3">
        <v>1.0</v>
      </c>
    </row>
    <row r="12">
      <c r="A12" s="2">
        <v>44861.5670712963</v>
      </c>
      <c r="B12" s="3">
        <v>21.0</v>
      </c>
      <c r="C12" s="3" t="s">
        <v>29</v>
      </c>
      <c r="D12" s="3">
        <v>7.0</v>
      </c>
      <c r="E12" s="3">
        <v>5.0</v>
      </c>
      <c r="F12" s="3">
        <v>5.0</v>
      </c>
      <c r="G12" s="3">
        <v>1.0</v>
      </c>
      <c r="H12" s="3">
        <v>6.0</v>
      </c>
      <c r="I12" s="3">
        <v>1.0</v>
      </c>
      <c r="J12" s="3">
        <v>1.0</v>
      </c>
      <c r="K12" s="3">
        <v>2.0</v>
      </c>
      <c r="L12" s="3">
        <v>1.0</v>
      </c>
      <c r="M12" s="3">
        <v>1.0</v>
      </c>
      <c r="N12" s="3">
        <v>7.0</v>
      </c>
      <c r="O12" s="3">
        <v>1.0</v>
      </c>
      <c r="P12" s="3">
        <v>1.0</v>
      </c>
      <c r="Q12" s="3">
        <v>1.0</v>
      </c>
      <c r="R12" s="3">
        <v>7.0</v>
      </c>
      <c r="S12" s="3">
        <v>1.0</v>
      </c>
      <c r="T12" s="3">
        <v>1.0</v>
      </c>
      <c r="U12" s="3">
        <v>1.0</v>
      </c>
      <c r="V12" s="3">
        <v>1.0</v>
      </c>
      <c r="W12" s="3">
        <v>6.0</v>
      </c>
      <c r="X12" s="3">
        <v>3.0</v>
      </c>
      <c r="Y12" s="3">
        <v>1.0</v>
      </c>
      <c r="Z12" s="3">
        <v>1.0</v>
      </c>
      <c r="AA12" s="3">
        <v>1.0</v>
      </c>
      <c r="AB12" s="3">
        <v>1.0</v>
      </c>
    </row>
    <row r="13">
      <c r="A13" s="2">
        <v>44861.6511893287</v>
      </c>
      <c r="B13" s="3">
        <v>48.0</v>
      </c>
      <c r="C13" s="3" t="s">
        <v>29</v>
      </c>
      <c r="D13" s="3">
        <v>5.0</v>
      </c>
      <c r="E13" s="3">
        <v>7.0</v>
      </c>
      <c r="F13" s="3">
        <v>2.0</v>
      </c>
      <c r="G13" s="3">
        <v>1.0</v>
      </c>
      <c r="H13" s="3">
        <v>1.0</v>
      </c>
      <c r="I13" s="3">
        <v>4.0</v>
      </c>
      <c r="J13" s="3">
        <v>4.0</v>
      </c>
      <c r="K13" s="3">
        <v>7.0</v>
      </c>
      <c r="L13" s="3">
        <v>7.0</v>
      </c>
      <c r="M13" s="3">
        <v>6.0</v>
      </c>
      <c r="N13" s="3">
        <v>6.0</v>
      </c>
      <c r="O13" s="3">
        <v>1.0</v>
      </c>
      <c r="P13" s="3">
        <v>1.0</v>
      </c>
      <c r="Q13" s="3">
        <v>1.0</v>
      </c>
      <c r="R13" s="3">
        <v>7.0</v>
      </c>
      <c r="S13" s="3">
        <v>1.0</v>
      </c>
      <c r="T13" s="3">
        <v>1.0</v>
      </c>
      <c r="U13" s="3">
        <v>1.0</v>
      </c>
      <c r="V13" s="3">
        <v>1.0</v>
      </c>
      <c r="W13" s="3">
        <v>1.0</v>
      </c>
      <c r="X13" s="3">
        <v>6.0</v>
      </c>
      <c r="Y13" s="3">
        <v>7.0</v>
      </c>
      <c r="Z13" s="3">
        <v>1.0</v>
      </c>
      <c r="AA13" s="3">
        <v>7.0</v>
      </c>
      <c r="AB13" s="3">
        <v>4.0</v>
      </c>
    </row>
    <row r="14">
      <c r="A14" s="2">
        <v>44865.74005769676</v>
      </c>
      <c r="B14" s="3">
        <v>19.0</v>
      </c>
      <c r="C14" s="3" t="s">
        <v>28</v>
      </c>
      <c r="D14" s="3">
        <v>1.0</v>
      </c>
      <c r="E14" s="3">
        <v>1.0</v>
      </c>
      <c r="F14" s="3">
        <v>1.0</v>
      </c>
      <c r="G14" s="3">
        <v>1.0</v>
      </c>
      <c r="H14" s="3">
        <v>1.0</v>
      </c>
      <c r="I14" s="3">
        <v>7.0</v>
      </c>
      <c r="J14" s="3">
        <v>7.0</v>
      </c>
      <c r="K14" s="3">
        <v>7.0</v>
      </c>
      <c r="L14" s="3">
        <v>1.0</v>
      </c>
      <c r="M14" s="3">
        <v>1.0</v>
      </c>
      <c r="N14" s="3">
        <v>7.0</v>
      </c>
      <c r="O14" s="3">
        <v>1.0</v>
      </c>
      <c r="P14" s="3">
        <v>7.0</v>
      </c>
      <c r="Q14" s="3">
        <v>7.0</v>
      </c>
      <c r="R14" s="3">
        <v>7.0</v>
      </c>
      <c r="S14" s="3">
        <v>1.0</v>
      </c>
      <c r="T14" s="3">
        <v>1.0</v>
      </c>
      <c r="U14" s="3">
        <v>1.0</v>
      </c>
      <c r="V14" s="3">
        <v>1.0</v>
      </c>
      <c r="W14" s="3">
        <v>1.0</v>
      </c>
      <c r="X14" s="3">
        <v>7.0</v>
      </c>
      <c r="Y14" s="3">
        <v>7.0</v>
      </c>
      <c r="Z14" s="3">
        <v>1.0</v>
      </c>
      <c r="AA14" s="3">
        <v>7.0</v>
      </c>
      <c r="AB14" s="3">
        <v>7.0</v>
      </c>
    </row>
    <row r="15">
      <c r="A15" s="2">
        <v>44890.53470287037</v>
      </c>
      <c r="B15" s="3">
        <v>57.0</v>
      </c>
      <c r="C15" s="3" t="s">
        <v>28</v>
      </c>
      <c r="D15" s="3">
        <v>2.0</v>
      </c>
      <c r="E15" s="3">
        <v>7.0</v>
      </c>
      <c r="F15" s="3">
        <v>3.0</v>
      </c>
      <c r="G15" s="3">
        <v>1.0</v>
      </c>
      <c r="H15" s="3">
        <v>1.0</v>
      </c>
      <c r="I15" s="3">
        <v>2.0</v>
      </c>
      <c r="J15" s="3">
        <v>6.0</v>
      </c>
      <c r="K15" s="3">
        <v>5.0</v>
      </c>
      <c r="L15" s="3">
        <v>7.0</v>
      </c>
      <c r="M15" s="3">
        <v>7.0</v>
      </c>
      <c r="N15" s="3">
        <v>7.0</v>
      </c>
      <c r="O15" s="3">
        <v>3.0</v>
      </c>
      <c r="P15" s="3">
        <v>2.0</v>
      </c>
      <c r="Q15" s="3">
        <v>5.0</v>
      </c>
      <c r="R15" s="3">
        <v>6.0</v>
      </c>
      <c r="S15" s="3">
        <v>3.0</v>
      </c>
      <c r="T15" s="3">
        <v>7.0</v>
      </c>
      <c r="U15" s="3">
        <v>3.0</v>
      </c>
      <c r="V15" s="3">
        <v>5.0</v>
      </c>
      <c r="W15" s="3">
        <v>6.0</v>
      </c>
      <c r="X15" s="3">
        <v>4.0</v>
      </c>
      <c r="Y15" s="3">
        <v>7.0</v>
      </c>
      <c r="Z15" s="3">
        <v>7.0</v>
      </c>
      <c r="AA15" s="3">
        <v>7.0</v>
      </c>
      <c r="AB15" s="3">
        <v>5.0</v>
      </c>
    </row>
    <row r="16">
      <c r="A16" s="2">
        <v>44893.649651631946</v>
      </c>
      <c r="B16" s="3">
        <v>29.0</v>
      </c>
      <c r="C16" s="3" t="s">
        <v>28</v>
      </c>
      <c r="D16" s="3">
        <v>6.0</v>
      </c>
      <c r="E16" s="3">
        <v>7.0</v>
      </c>
      <c r="F16" s="3">
        <v>6.0</v>
      </c>
      <c r="G16" s="3">
        <v>1.0</v>
      </c>
      <c r="H16" s="3">
        <v>5.0</v>
      </c>
      <c r="I16" s="3">
        <v>1.0</v>
      </c>
      <c r="J16" s="3">
        <v>3.0</v>
      </c>
      <c r="K16" s="3">
        <v>5.0</v>
      </c>
      <c r="L16" s="3">
        <v>4.0</v>
      </c>
      <c r="M16" s="3">
        <v>4.0</v>
      </c>
      <c r="N16" s="3">
        <v>7.0</v>
      </c>
      <c r="O16" s="3">
        <v>1.0</v>
      </c>
      <c r="P16" s="3">
        <v>5.0</v>
      </c>
      <c r="Q16" s="3">
        <v>4.0</v>
      </c>
      <c r="R16" s="3">
        <v>7.0</v>
      </c>
      <c r="S16" s="3">
        <v>2.0</v>
      </c>
      <c r="T16" s="3">
        <v>5.0</v>
      </c>
      <c r="U16" s="3">
        <v>1.0</v>
      </c>
      <c r="V16" s="3">
        <v>2.0</v>
      </c>
      <c r="W16" s="3">
        <v>1.0</v>
      </c>
      <c r="X16" s="3">
        <v>7.0</v>
      </c>
      <c r="Y16" s="3">
        <v>7.0</v>
      </c>
      <c r="Z16" s="3">
        <v>7.0</v>
      </c>
      <c r="AA16" s="3">
        <v>7.0</v>
      </c>
      <c r="AB16" s="3">
        <v>4.0</v>
      </c>
    </row>
    <row r="17">
      <c r="A17" s="2">
        <v>44894.94413138889</v>
      </c>
      <c r="B17" s="3">
        <v>69.0</v>
      </c>
      <c r="C17" s="3" t="s">
        <v>28</v>
      </c>
      <c r="D17" s="3">
        <v>5.0</v>
      </c>
      <c r="E17" s="3">
        <v>5.0</v>
      </c>
      <c r="F17" s="3">
        <v>5.0</v>
      </c>
      <c r="G17" s="3">
        <v>1.0</v>
      </c>
      <c r="H17" s="3">
        <v>1.0</v>
      </c>
      <c r="I17" s="3">
        <v>1.0</v>
      </c>
      <c r="J17" s="3">
        <v>1.0</v>
      </c>
      <c r="K17" s="3">
        <v>1.0</v>
      </c>
      <c r="L17" s="3">
        <v>1.0</v>
      </c>
      <c r="M17" s="3">
        <v>6.0</v>
      </c>
      <c r="N17" s="3">
        <v>1.0</v>
      </c>
      <c r="O17" s="3">
        <v>1.0</v>
      </c>
      <c r="P17" s="3">
        <v>6.0</v>
      </c>
      <c r="Q17" s="3">
        <v>1.0</v>
      </c>
      <c r="R17" s="3">
        <v>7.0</v>
      </c>
      <c r="S17" s="3">
        <v>6.0</v>
      </c>
      <c r="T17" s="3">
        <v>6.0</v>
      </c>
      <c r="U17" s="3">
        <v>5.0</v>
      </c>
      <c r="V17" s="3">
        <v>1.0</v>
      </c>
      <c r="W17" s="3">
        <v>1.0</v>
      </c>
      <c r="X17" s="3">
        <v>6.0</v>
      </c>
      <c r="Y17" s="3">
        <v>6.0</v>
      </c>
      <c r="Z17" s="3">
        <v>1.0</v>
      </c>
      <c r="AA17" s="3">
        <v>6.0</v>
      </c>
      <c r="AB17" s="3">
        <v>1.0</v>
      </c>
    </row>
    <row r="18">
      <c r="A18" s="2">
        <v>44895.53990960648</v>
      </c>
      <c r="B18" s="3">
        <v>35.0</v>
      </c>
      <c r="C18" s="3" t="s">
        <v>29</v>
      </c>
      <c r="D18" s="3">
        <v>7.0</v>
      </c>
      <c r="E18" s="3">
        <v>7.0</v>
      </c>
      <c r="F18" s="3">
        <v>1.0</v>
      </c>
      <c r="G18" s="3">
        <v>1.0</v>
      </c>
      <c r="H18" s="3">
        <v>1.0</v>
      </c>
      <c r="I18" s="3">
        <v>1.0</v>
      </c>
      <c r="J18" s="3">
        <v>1.0</v>
      </c>
      <c r="K18" s="3">
        <v>7.0</v>
      </c>
      <c r="L18" s="3">
        <v>1.0</v>
      </c>
      <c r="M18" s="3">
        <v>1.0</v>
      </c>
      <c r="N18" s="3">
        <v>7.0</v>
      </c>
      <c r="O18" s="3">
        <v>1.0</v>
      </c>
      <c r="P18" s="3">
        <v>1.0</v>
      </c>
      <c r="Q18" s="3">
        <v>1.0</v>
      </c>
      <c r="R18" s="3">
        <v>7.0</v>
      </c>
      <c r="S18" s="3">
        <v>1.0</v>
      </c>
      <c r="T18" s="3">
        <v>1.0</v>
      </c>
      <c r="U18" s="3">
        <v>1.0</v>
      </c>
      <c r="V18" s="3">
        <v>1.0</v>
      </c>
      <c r="W18" s="3">
        <v>7.0</v>
      </c>
      <c r="X18" s="3">
        <v>7.0</v>
      </c>
      <c r="Y18" s="3">
        <v>1.0</v>
      </c>
      <c r="Z18" s="3">
        <v>7.0</v>
      </c>
      <c r="AA18" s="3">
        <v>7.0</v>
      </c>
      <c r="AB18" s="3">
        <v>1.0</v>
      </c>
    </row>
    <row r="19">
      <c r="A19" s="2">
        <v>44895.62183733797</v>
      </c>
      <c r="B19" s="3">
        <v>37.0</v>
      </c>
      <c r="C19" s="3" t="s">
        <v>28</v>
      </c>
      <c r="D19" s="3">
        <v>7.0</v>
      </c>
      <c r="E19" s="3">
        <v>4.0</v>
      </c>
      <c r="F19" s="3">
        <v>1.0</v>
      </c>
      <c r="G19" s="3">
        <v>1.0</v>
      </c>
      <c r="H19" s="3">
        <v>5.0</v>
      </c>
      <c r="I19" s="3">
        <v>1.0</v>
      </c>
      <c r="J19" s="3">
        <v>4.0</v>
      </c>
      <c r="K19" s="3">
        <v>1.0</v>
      </c>
      <c r="L19" s="3">
        <v>3.0</v>
      </c>
      <c r="M19" s="3">
        <v>2.0</v>
      </c>
      <c r="N19" s="3">
        <v>6.0</v>
      </c>
      <c r="O19" s="3">
        <v>1.0</v>
      </c>
      <c r="P19" s="3">
        <v>1.0</v>
      </c>
      <c r="Q19" s="3">
        <v>7.0</v>
      </c>
      <c r="R19" s="3">
        <v>7.0</v>
      </c>
      <c r="S19" s="3">
        <v>4.0</v>
      </c>
      <c r="T19" s="3">
        <v>7.0</v>
      </c>
      <c r="U19" s="3">
        <v>1.0</v>
      </c>
      <c r="V19" s="3">
        <v>7.0</v>
      </c>
      <c r="W19" s="3">
        <v>1.0</v>
      </c>
      <c r="X19" s="3">
        <v>7.0</v>
      </c>
      <c r="Y19" s="3">
        <v>5.0</v>
      </c>
      <c r="Z19" s="3">
        <v>1.0</v>
      </c>
      <c r="AA19" s="3">
        <v>7.0</v>
      </c>
      <c r="AB19" s="3">
        <v>2.0</v>
      </c>
    </row>
    <row r="20">
      <c r="A20" s="2">
        <v>44895.64582892361</v>
      </c>
      <c r="B20" s="3">
        <v>32.0</v>
      </c>
      <c r="C20" s="3" t="s">
        <v>29</v>
      </c>
      <c r="D20" s="3">
        <v>7.0</v>
      </c>
      <c r="E20" s="3">
        <v>7.0</v>
      </c>
      <c r="F20" s="3">
        <v>1.0</v>
      </c>
      <c r="G20" s="3">
        <v>1.0</v>
      </c>
      <c r="H20" s="3">
        <v>7.0</v>
      </c>
      <c r="I20" s="3">
        <v>1.0</v>
      </c>
      <c r="J20" s="3">
        <v>1.0</v>
      </c>
      <c r="K20" s="3">
        <v>5.0</v>
      </c>
      <c r="L20" s="3">
        <v>3.0</v>
      </c>
      <c r="M20" s="3">
        <v>3.0</v>
      </c>
      <c r="N20" s="3">
        <v>6.0</v>
      </c>
      <c r="O20" s="3">
        <v>1.0</v>
      </c>
      <c r="P20" s="3">
        <v>6.0</v>
      </c>
      <c r="Q20" s="3">
        <v>1.0</v>
      </c>
      <c r="R20" s="3">
        <v>7.0</v>
      </c>
      <c r="S20" s="3">
        <v>1.0</v>
      </c>
      <c r="T20" s="3">
        <v>6.0</v>
      </c>
      <c r="U20" s="3">
        <v>1.0</v>
      </c>
      <c r="V20" s="3">
        <v>1.0</v>
      </c>
      <c r="W20" s="3">
        <v>1.0</v>
      </c>
      <c r="X20" s="3">
        <v>7.0</v>
      </c>
      <c r="Y20" s="3">
        <v>1.0</v>
      </c>
      <c r="Z20" s="3">
        <v>1.0</v>
      </c>
      <c r="AA20" s="3">
        <v>1.0</v>
      </c>
      <c r="AB20" s="3">
        <v>1.0</v>
      </c>
    </row>
    <row r="21">
      <c r="A21" s="2">
        <v>44897.42350121528</v>
      </c>
      <c r="B21" s="3">
        <v>19.0</v>
      </c>
      <c r="C21" s="3" t="s">
        <v>29</v>
      </c>
      <c r="D21" s="3">
        <v>1.0</v>
      </c>
      <c r="E21" s="3">
        <v>4.0</v>
      </c>
      <c r="F21" s="3">
        <v>5.0</v>
      </c>
      <c r="G21" s="3">
        <v>1.0</v>
      </c>
      <c r="H21" s="3">
        <v>3.0</v>
      </c>
      <c r="I21" s="3">
        <v>1.0</v>
      </c>
      <c r="J21" s="3">
        <v>1.0</v>
      </c>
      <c r="K21" s="3">
        <v>7.0</v>
      </c>
      <c r="L21" s="3">
        <v>1.0</v>
      </c>
      <c r="M21" s="3">
        <v>3.0</v>
      </c>
      <c r="N21" s="3">
        <v>5.0</v>
      </c>
      <c r="O21" s="3">
        <v>1.0</v>
      </c>
      <c r="P21" s="3">
        <v>1.0</v>
      </c>
      <c r="Q21" s="3">
        <v>2.0</v>
      </c>
      <c r="R21" s="3">
        <v>7.0</v>
      </c>
      <c r="S21" s="3">
        <v>3.0</v>
      </c>
      <c r="T21" s="3">
        <v>1.0</v>
      </c>
      <c r="U21" s="3">
        <v>2.0</v>
      </c>
      <c r="V21" s="3">
        <v>5.0</v>
      </c>
      <c r="W21" s="3">
        <v>6.0</v>
      </c>
      <c r="X21" s="3">
        <v>1.0</v>
      </c>
      <c r="Y21" s="3">
        <v>5.0</v>
      </c>
      <c r="Z21" s="3">
        <v>1.0</v>
      </c>
      <c r="AA21" s="3">
        <v>6.0</v>
      </c>
      <c r="AB21" s="3">
        <v>1.0</v>
      </c>
    </row>
    <row r="22">
      <c r="A22" s="2">
        <v>44899.85266256944</v>
      </c>
      <c r="B22" s="3">
        <v>20.0</v>
      </c>
      <c r="C22" s="3" t="s">
        <v>29</v>
      </c>
      <c r="D22" s="3">
        <v>7.0</v>
      </c>
      <c r="E22" s="3">
        <v>7.0</v>
      </c>
      <c r="F22" s="3">
        <v>1.0</v>
      </c>
      <c r="G22" s="3">
        <v>1.0</v>
      </c>
      <c r="H22" s="3">
        <v>1.0</v>
      </c>
      <c r="I22" s="3">
        <v>1.0</v>
      </c>
      <c r="J22" s="3">
        <v>7.0</v>
      </c>
      <c r="K22" s="3">
        <v>2.0</v>
      </c>
      <c r="L22" s="3">
        <v>7.0</v>
      </c>
      <c r="M22" s="3">
        <v>1.0</v>
      </c>
      <c r="N22" s="3">
        <v>7.0</v>
      </c>
      <c r="O22" s="3">
        <v>1.0</v>
      </c>
      <c r="P22" s="3">
        <v>6.0</v>
      </c>
      <c r="Q22" s="3">
        <v>1.0</v>
      </c>
      <c r="R22" s="3">
        <v>2.0</v>
      </c>
      <c r="S22" s="3">
        <v>1.0</v>
      </c>
      <c r="T22" s="3">
        <v>1.0</v>
      </c>
      <c r="U22" s="3">
        <v>1.0</v>
      </c>
      <c r="V22" s="3">
        <v>1.0</v>
      </c>
      <c r="W22" s="3">
        <v>1.0</v>
      </c>
      <c r="X22" s="3">
        <v>7.0</v>
      </c>
      <c r="Y22" s="3">
        <v>1.0</v>
      </c>
      <c r="Z22" s="3">
        <v>1.0</v>
      </c>
      <c r="AA22" s="3">
        <v>7.0</v>
      </c>
      <c r="AB22" s="3">
        <v>1.0</v>
      </c>
    </row>
  </sheetData>
  <autoFilter ref="$A$1:$AB$2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57.0"/>
    <col customWidth="1" min="3" max="3" width="3.63"/>
    <col customWidth="1" min="4" max="9" width="3.25"/>
    <col customWidth="1" min="10" max="10" width="4.5"/>
    <col customWidth="1" min="11" max="11" width="15.25"/>
    <col customWidth="1" hidden="1" min="12" max="12" width="7.38"/>
    <col customWidth="1" hidden="1" min="13" max="13" width="5.88"/>
    <col customWidth="1" hidden="1" min="14" max="14" width="2.88"/>
    <col customWidth="1" hidden="1" min="15" max="19" width="1.88"/>
    <col customWidth="1" hidden="1" min="20" max="20" width="2.88"/>
    <col customWidth="1" hidden="1" min="21" max="34" width="1.88"/>
    <col customWidth="1" min="35" max="37" width="9.25"/>
    <col customWidth="1" hidden="1" min="38" max="40" width="11.38"/>
    <col customWidth="1" hidden="1" min="41" max="41" width="7.13"/>
    <col customWidth="1" hidden="1" min="42" max="43" width="5.13"/>
    <col customWidth="1" hidden="1" min="44" max="46" width="11.38"/>
    <col customWidth="1" hidden="1" min="47" max="47" width="6.88"/>
    <col customWidth="1" hidden="1" min="48" max="54" width="1.88"/>
    <col customWidth="1" hidden="1" min="55" max="55" width="2.88"/>
    <col customWidth="1" hidden="1" min="56" max="61" width="1.88"/>
    <col customWidth="1" min="62" max="62" width="9.5"/>
    <col customWidth="1" min="63" max="63" width="11.75"/>
    <col customWidth="1" hidden="1" min="64" max="64" width="13.5"/>
    <col customWidth="1" hidden="1" min="65" max="65" width="15.88"/>
    <col customWidth="1" hidden="1" min="66" max="69" width="5.13"/>
    <col customWidth="1" hidden="1" min="70" max="70" width="6.88"/>
  </cols>
  <sheetData>
    <row r="1">
      <c r="A1" s="4" t="s">
        <v>54</v>
      </c>
      <c r="B1" s="4" t="s">
        <v>55</v>
      </c>
      <c r="C1" s="4">
        <v>1.0</v>
      </c>
      <c r="D1" s="4">
        <v>2.0</v>
      </c>
      <c r="E1" s="4">
        <v>3.0</v>
      </c>
      <c r="F1" s="4">
        <v>4.0</v>
      </c>
      <c r="G1" s="4">
        <v>5.0</v>
      </c>
      <c r="H1" s="4">
        <v>6.0</v>
      </c>
      <c r="I1" s="4">
        <v>7.0</v>
      </c>
      <c r="J1" s="4" t="s">
        <v>56</v>
      </c>
      <c r="K1" s="4" t="s">
        <v>57</v>
      </c>
      <c r="L1" s="5" t="s">
        <v>58</v>
      </c>
      <c r="N1" s="5">
        <v>1.0</v>
      </c>
      <c r="O1" s="5">
        <v>2.0</v>
      </c>
      <c r="P1" s="5">
        <v>3.0</v>
      </c>
      <c r="Q1" s="5">
        <v>4.0</v>
      </c>
      <c r="R1" s="5">
        <v>5.0</v>
      </c>
      <c r="S1" s="5">
        <v>6.0</v>
      </c>
      <c r="T1" s="5">
        <v>7.0</v>
      </c>
      <c r="U1" s="5">
        <v>1.0</v>
      </c>
      <c r="V1" s="5">
        <v>2.0</v>
      </c>
      <c r="W1" s="5">
        <v>3.0</v>
      </c>
      <c r="X1" s="5">
        <v>4.0</v>
      </c>
      <c r="Y1" s="5">
        <v>5.0</v>
      </c>
      <c r="Z1" s="5">
        <v>6.0</v>
      </c>
      <c r="AA1" s="5">
        <v>7.0</v>
      </c>
      <c r="AB1" s="5">
        <v>1.0</v>
      </c>
      <c r="AC1" s="5">
        <v>2.0</v>
      </c>
      <c r="AD1" s="5">
        <v>3.0</v>
      </c>
      <c r="AE1" s="5">
        <v>4.0</v>
      </c>
      <c r="AF1" s="5">
        <v>5.0</v>
      </c>
      <c r="AG1" s="5">
        <v>6.0</v>
      </c>
      <c r="AH1" s="5">
        <v>7.0</v>
      </c>
      <c r="AI1" s="4" t="s">
        <v>59</v>
      </c>
      <c r="AJ1" s="4" t="s">
        <v>60</v>
      </c>
      <c r="AK1" s="4" t="s">
        <v>61</v>
      </c>
      <c r="AL1" s="4" t="s">
        <v>62</v>
      </c>
      <c r="AM1" s="4" t="s">
        <v>63</v>
      </c>
      <c r="AN1" s="4" t="s">
        <v>64</v>
      </c>
      <c r="AO1" s="4"/>
      <c r="AP1" s="4"/>
      <c r="AQ1" s="4"/>
      <c r="AR1" s="4" t="s">
        <v>65</v>
      </c>
      <c r="AS1" s="4"/>
      <c r="AT1" s="4"/>
      <c r="AU1" s="4" t="s">
        <v>66</v>
      </c>
      <c r="AV1" s="3">
        <v>1.0</v>
      </c>
      <c r="AW1" s="3">
        <v>2.0</v>
      </c>
      <c r="AX1" s="3">
        <v>3.0</v>
      </c>
      <c r="AY1" s="3">
        <v>4.0</v>
      </c>
      <c r="AZ1" s="3">
        <v>5.0</v>
      </c>
      <c r="BA1" s="3">
        <v>6.0</v>
      </c>
      <c r="BB1" s="3">
        <v>7.0</v>
      </c>
      <c r="BC1" s="3">
        <v>1.0</v>
      </c>
      <c r="BD1" s="3">
        <v>2.0</v>
      </c>
      <c r="BE1" s="3">
        <v>3.0</v>
      </c>
      <c r="BF1" s="3">
        <v>4.0</v>
      </c>
      <c r="BG1" s="3">
        <v>5.0</v>
      </c>
      <c r="BH1" s="3">
        <v>6.0</v>
      </c>
      <c r="BI1" s="3">
        <v>7.0</v>
      </c>
      <c r="BJ1" s="4" t="s">
        <v>67</v>
      </c>
      <c r="BK1" s="4" t="s">
        <v>68</v>
      </c>
      <c r="BL1" s="4" t="s">
        <v>69</v>
      </c>
      <c r="BM1" s="4" t="s">
        <v>70</v>
      </c>
      <c r="BR1" s="4" t="s">
        <v>66</v>
      </c>
    </row>
    <row r="2">
      <c r="A2" s="3">
        <v>1.0</v>
      </c>
      <c r="B2" s="1" t="s">
        <v>3</v>
      </c>
      <c r="C2" s="6">
        <f>countif('6A'!$D$2:$D$531, C$1)</f>
        <v>8</v>
      </c>
      <c r="D2" s="6">
        <f>countif('6A'!$D$2:$D$531, D$1)</f>
        <v>6</v>
      </c>
      <c r="E2" s="6">
        <f>countif('6A'!$D$2:$D$531, E$1)</f>
        <v>0</v>
      </c>
      <c r="F2" s="6">
        <f>countif('6A'!$D$2:$D$531, F$1)</f>
        <v>1</v>
      </c>
      <c r="G2" s="6">
        <f>countif('6A'!$D$2:$D$531, G$1)</f>
        <v>2</v>
      </c>
      <c r="H2" s="6">
        <f>countif('6A'!$D$2:$D$531, H$1)</f>
        <v>2</v>
      </c>
      <c r="I2" s="6">
        <f>countif('6A'!$D$2:$D$531, I$1)</f>
        <v>2</v>
      </c>
      <c r="J2" s="6">
        <f t="shared" ref="J2:J3" si="5">SUM(C2:I2)</f>
        <v>21</v>
      </c>
      <c r="K2" s="7">
        <f t="shared" ref="K2:K26" si="6">((C2*1)+(D2*2)+(E2*3)+(F2*4)+(G2*5)+(H2*6)+(I2*7))/J2</f>
        <v>2.857142857</v>
      </c>
      <c r="L2" s="6" t="str">
        <f t="shared" ref="L2:M2" si="1">'Average comparison (age groups)'!L2</f>
        <v>#REF!</v>
      </c>
      <c r="M2" s="6" t="str">
        <f t="shared" si="1"/>
        <v>#REF!</v>
      </c>
      <c r="N2" s="6">
        <f>countifs('6A'!$D$2:$D$531, N$1, '6A'!$B$2:$B$531, "&gt;"&amp;$L$2, '6A'!$B$2:$B$531, "&lt;"&amp;$M$2)</f>
        <v>0</v>
      </c>
      <c r="O2" s="6">
        <f>countifs('6A'!$D$2:$D$531, O$1, '6A'!$B$2:$B$531, "&gt;"&amp;$L$2, '6A'!$B$2:$B$531, "&lt;"&amp;$M$2)</f>
        <v>0</v>
      </c>
      <c r="P2" s="6">
        <f>countifs('6A'!$D$2:$D$531, P$1, '6A'!$B$2:$B$531, "&gt;"&amp;$L$2, '6A'!$B$2:$B$531, "&lt;"&amp;$M$2)</f>
        <v>0</v>
      </c>
      <c r="Q2" s="6">
        <f>countifs('6A'!$D$2:$D$531, Q$1, '6A'!$B$2:$B$531, "&gt;"&amp;$L$2, '6A'!$B$2:$B$531, "&lt;"&amp;$M$2)</f>
        <v>0</v>
      </c>
      <c r="R2" s="6">
        <f>countifs('6A'!$D$2:$D$531, R$1, '6A'!$B$2:$B$531, "&gt;"&amp;$L$2, '6A'!$B$2:$B$531, "&lt;"&amp;$M$2)</f>
        <v>0</v>
      </c>
      <c r="S2" s="6">
        <f>countifs('6A'!$D$2:$D$531, S$1, '6A'!$B$2:$B$531, "&gt;"&amp;$L$2, '6A'!$B$2:$B$531, "&lt;"&amp;$M$2)</f>
        <v>0</v>
      </c>
      <c r="T2" s="6">
        <f>countifs('6A'!$D$2:$D$531, T$1, '6A'!$B$2:$B$531, "&gt;"&amp;$L$2, '6A'!$B$2:$B$531, "&lt;"&amp;$M$2)</f>
        <v>0</v>
      </c>
      <c r="U2" s="6">
        <f>countifs('6A'!$D$2:$D$531, U$1, '6A'!$B$2:$B$531, "&gt;"&amp;$L$3, '6A'!$B$2:$B$531, "&lt;"&amp;$M$3)</f>
        <v>0</v>
      </c>
      <c r="V2" s="6">
        <f>countifs('6A'!$D$2:$D$531, V$1, '6A'!$B$2:$B$531, "&gt;"&amp;$L$3, '6A'!$B$2:$B$531, "&lt;"&amp;$M$3)</f>
        <v>0</v>
      </c>
      <c r="W2" s="6">
        <f>countifs('6A'!$D$2:$D$531, W$1, '6A'!$B$2:$B$531, "&gt;"&amp;$L$3, '6A'!$B$2:$B$531, "&lt;"&amp;$M$3)</f>
        <v>0</v>
      </c>
      <c r="X2" s="6">
        <f>countifs('6A'!$D$2:$D$531, X$1, '6A'!$B$2:$B$531, "&gt;"&amp;$L$3, '6A'!$B$2:$B$531, "&lt;"&amp;$M$3)</f>
        <v>0</v>
      </c>
      <c r="Y2" s="6">
        <f>countifs('6A'!$D$2:$D$531, Y$1, '6A'!$B$2:$B$531, "&gt;"&amp;$L$3, '6A'!$B$2:$B$531, "&lt;"&amp;$M$3)</f>
        <v>0</v>
      </c>
      <c r="Z2" s="6">
        <f>countifs('6A'!$D$2:$D$531, Z$1, '6A'!$B$2:$B$531, "&gt;"&amp;$L$3, '6A'!$B$2:$B$531, "&lt;"&amp;$M$3)</f>
        <v>0</v>
      </c>
      <c r="AA2" s="6">
        <f>countifs('6A'!$D$2:$D$531, AA$1, '6A'!$B$2:$B$531, "&gt;"&amp;$L$3, '6A'!$B$2:$B$531, "&lt;"&amp;$M$3)</f>
        <v>0</v>
      </c>
      <c r="AB2" s="6">
        <f>countifs('6A'!$D$2:$D$531, AB$1, '6A'!$B$2:$B$531, "&gt;"&amp;$L$4, '6A'!$B$2:$B$531, "&lt;"&amp;$M$4)</f>
        <v>0</v>
      </c>
      <c r="AC2" s="6">
        <f>countifs('6A'!$D$2:$D$531, AC$1, '6A'!$B$2:$B$531, "&gt;"&amp;$L$4, '6A'!$B$2:$B$531, "&lt;"&amp;$M$4)</f>
        <v>0</v>
      </c>
      <c r="AD2" s="6">
        <f>countifs('6A'!$D$2:$D$531, AD$1, '6A'!$B$2:$B$531, "&gt;"&amp;$L$4, '6A'!$B$2:$B$531, "&lt;"&amp;$M$4)</f>
        <v>0</v>
      </c>
      <c r="AE2" s="6">
        <f>countifs('6A'!$D$2:$D$531, AE$1, '6A'!$B$2:$B$531, "&gt;"&amp;$L$4, '6A'!$B$2:$B$531, "&lt;"&amp;$M$4)</f>
        <v>0</v>
      </c>
      <c r="AF2" s="6">
        <f>countifs('6A'!$D$2:$D$531, AF$1, '6A'!$B$2:$B$531, "&gt;"&amp;$L$4, '6A'!$B$2:$B$531, "&lt;"&amp;$M$4)</f>
        <v>0</v>
      </c>
      <c r="AG2" s="6">
        <f>countifs('6A'!$D$2:$D$531, AG$1, '6A'!$B$2:$B$531, "&gt;"&amp;$L$4, '6A'!$B$2:$B$531, "&lt;"&amp;$M$4)</f>
        <v>0</v>
      </c>
      <c r="AH2" s="6">
        <f>countifs('6A'!$D$2:$D$531, AH$1, '6A'!$B$2:$B$531, "&gt;"&amp;$L$4, '6A'!$B$2:$B$531, "&lt;"&amp;$M$4)</f>
        <v>0</v>
      </c>
      <c r="AI2" s="3">
        <v>8.0</v>
      </c>
      <c r="AJ2" s="3">
        <v>3.0</v>
      </c>
      <c r="AK2" s="3">
        <v>1.0</v>
      </c>
      <c r="AL2" s="7" t="str">
        <f>IFERROR(__xludf.DUMMYFUNCTION("AVERAGE.WEIGHTED($N$1:$T$1, N2:T2)"),"#DIV/0!")</f>
        <v>#DIV/0!</v>
      </c>
      <c r="AM2" s="7" t="str">
        <f>IFERROR(__xludf.DUMMYFUNCTION("AVERAGE.WEIGHTED($U$1:$AA$1, U2:AA2)"),"#DIV/0!")</f>
        <v>#DIV/0!</v>
      </c>
      <c r="AN2" s="7" t="str">
        <f>IFERROR(__xludf.DUMMYFUNCTION("AVERAGE.WEIGHTED($AB$1:$AH$1, AB2:AH2)"),"#DIV/0!")</f>
        <v>#DIV/0!</v>
      </c>
      <c r="AO2" s="7" t="str">
        <f t="shared" ref="AO2:AQ2" si="2">(AL2-1)*100/6</f>
        <v>#DIV/0!</v>
      </c>
      <c r="AP2" s="7" t="str">
        <f t="shared" si="2"/>
        <v>#DIV/0!</v>
      </c>
      <c r="AQ2" s="7" t="str">
        <f t="shared" si="2"/>
        <v>#DIV/0!</v>
      </c>
      <c r="AR2" s="8" t="str">
        <f t="shared" ref="AR2:AT2" si="3">average($AO2:$AQ2)</f>
        <v>#DIV/0!</v>
      </c>
      <c r="AS2" s="8" t="str">
        <f t="shared" si="3"/>
        <v>#DIV/0!</v>
      </c>
      <c r="AT2" s="8" t="str">
        <f t="shared" si="3"/>
        <v>#DIV/0!</v>
      </c>
      <c r="AU2" s="8" t="str">
        <f t="shared" ref="AU2:AU26" si="10">_xlfn.CHISQ.TEST(AO2:AQ2,AR2:AT2)</f>
        <v>#DIV/0!</v>
      </c>
      <c r="AV2" s="6">
        <f>countifs('6A'!$D$2:$D$531, AV$1, '6A'!$C$2:$C$531, "Karl")</f>
        <v>2</v>
      </c>
      <c r="AW2" s="6">
        <f>countifs('6A'!$D$2:$D$531, AW$1, '6A'!$C$2:$C$531, "Karl")</f>
        <v>3</v>
      </c>
      <c r="AX2" s="6">
        <f>countifs('6A'!$D$2:$D$531, AX$1, '6A'!$C$2:$C$531, "Karl")</f>
        <v>0</v>
      </c>
      <c r="AY2" s="6">
        <f>countifs('6A'!$D$2:$D$531, AY$1, '6A'!$C$2:$C$531, "Karl")</f>
        <v>1</v>
      </c>
      <c r="AZ2" s="6">
        <f>countifs('6A'!$D$2:$D$531, AZ$1, '6A'!$C$2:$C$531, "Karl")</f>
        <v>0</v>
      </c>
      <c r="BA2" s="6">
        <f>countifs('6A'!$D$2:$D$531, BA$1, '6A'!$C$2:$C$531, "Karl")</f>
        <v>1</v>
      </c>
      <c r="BB2" s="6">
        <f>countifs('6A'!$D$2:$D$531, BB$1, '6A'!$C$2:$C$531, "Karl")</f>
        <v>0</v>
      </c>
      <c r="BC2" s="6">
        <f>countifs('6A'!$D$2:$D$531, BC$1, '6A'!$C$2:$C$531, "Kona")</f>
        <v>6</v>
      </c>
      <c r="BD2" s="6">
        <f>countifs('6A'!$D$2:$D$531, BD$1, '6A'!$C$2:$C$531, "Kona")</f>
        <v>3</v>
      </c>
      <c r="BE2" s="6">
        <f>countifs('6A'!$D$2:$D$531, BE$1, '6A'!$C$2:$C$531, "Kona")</f>
        <v>0</v>
      </c>
      <c r="BF2" s="6">
        <f>countifs('6A'!$D$2:$D$531, BF$1, '6A'!$C$2:$C$531, "Kona")</f>
        <v>0</v>
      </c>
      <c r="BG2" s="6">
        <f>countifs('6A'!$D$2:$D$531, BG$1, '6A'!$C$2:$C$531, "Kona")</f>
        <v>2</v>
      </c>
      <c r="BH2" s="6">
        <f>countifs('6A'!$D$2:$D$531, BH$1, '6A'!$C$2:$C$531, "Kona")</f>
        <v>1</v>
      </c>
      <c r="BI2" s="6">
        <f>countifs('6A'!$D$2:$D$531, BI$1, '6A'!$C$2:$C$531, "Kona")</f>
        <v>2</v>
      </c>
      <c r="BJ2" s="9">
        <f t="shared" ref="BJ2:BJ26" si="11">sum(AV2:BB2)</f>
        <v>7</v>
      </c>
      <c r="BK2" s="9">
        <f t="shared" ref="BK2:BK26" si="12">sum(BC2:BI2)</f>
        <v>14</v>
      </c>
      <c r="BL2" s="7">
        <f>IFERROR(__xludf.DUMMYFUNCTION("AVERAGE.WEIGHTED($AV$1:$BB$1,AV2:BB2)"),2.5714285714285716)</f>
        <v>2.571428571</v>
      </c>
      <c r="BM2" s="7">
        <f>IFERROR(__xludf.DUMMYFUNCTION("AVERAGE.WEIGHTED($BC$1:$BI$1,BC2:BI2)"),3.0)</f>
        <v>3</v>
      </c>
      <c r="BN2" s="7">
        <f t="shared" ref="BN2:BO2" si="4">(BL2-1)*100/6</f>
        <v>26.19047619</v>
      </c>
      <c r="BO2" s="7">
        <f t="shared" si="4"/>
        <v>33.33333333</v>
      </c>
      <c r="BP2" s="7">
        <f t="shared" ref="BP2:BP26" si="14">AVERAGE(BN2:BO2)</f>
        <v>29.76190476</v>
      </c>
      <c r="BQ2" s="7">
        <f t="shared" ref="BQ2:BQ26" si="15">AVERAGE(BN2:BO2)</f>
        <v>29.76190476</v>
      </c>
      <c r="BR2" s="8">
        <f t="shared" ref="BR2:BR26" si="16">_xlfn.CHISQ.TEST(BN2:BO2,BP2:BQ2)</f>
        <v>0.3545394798</v>
      </c>
    </row>
    <row r="3">
      <c r="A3" s="3">
        <v>2.0</v>
      </c>
      <c r="B3" s="1" t="s">
        <v>4</v>
      </c>
      <c r="C3" s="6">
        <f>countif('6A'!$E$2:$E$531, C$1)</f>
        <v>8</v>
      </c>
      <c r="D3" s="6">
        <f>countif('6A'!$E$2:$E$531, D$1)</f>
        <v>4</v>
      </c>
      <c r="E3" s="6">
        <f>countif('6A'!$E$2:$E$531, E$1)</f>
        <v>1</v>
      </c>
      <c r="F3" s="6">
        <f>countif('6A'!$E$2:$E$531, F$1)</f>
        <v>2</v>
      </c>
      <c r="G3" s="6">
        <f>countif('6A'!$E$2:$E$531, G$1)</f>
        <v>1</v>
      </c>
      <c r="H3" s="6">
        <f>countif('6A'!$E$2:$E$531, H$1)</f>
        <v>2</v>
      </c>
      <c r="I3" s="6">
        <f>countif('6A'!$E$2:$E$531, I$1)</f>
        <v>3</v>
      </c>
      <c r="J3" s="6">
        <f t="shared" si="5"/>
        <v>21</v>
      </c>
      <c r="K3" s="7">
        <f t="shared" si="6"/>
        <v>3.095238095</v>
      </c>
      <c r="L3" s="6" t="str">
        <f t="shared" ref="L3:M3" si="7">'Average comparison (age groups)'!L3</f>
        <v>#REF!</v>
      </c>
      <c r="M3" s="6" t="str">
        <f t="shared" si="7"/>
        <v>#REF!</v>
      </c>
      <c r="N3" s="6">
        <f>countifs('6A'!$E$2:$E$531, N$1, '6A'!$B$2:$B$531, "&gt;"&amp;$L$2, '6A'!$B$2:$B$531, "&lt;"&amp;$M$2)</f>
        <v>0</v>
      </c>
      <c r="O3" s="6">
        <f>countifs('6A'!$E$2:$E$531, O$1, '6A'!$B$2:$B$531, "&gt;"&amp;$L$2, '6A'!$B$2:$B$531, "&lt;"&amp;$M$2)</f>
        <v>0</v>
      </c>
      <c r="P3" s="6">
        <f>countifs('6A'!$E$2:$E$531, P$1, '6A'!$B$2:$B$531, "&gt;"&amp;$L$2, '6A'!$B$2:$B$531, "&lt;"&amp;$M$2)</f>
        <v>0</v>
      </c>
      <c r="Q3" s="6">
        <f>countifs('6A'!$E$2:$E$531, Q$1, '6A'!$B$2:$B$531, "&gt;"&amp;$L$2, '6A'!$B$2:$B$531, "&lt;"&amp;$M$2)</f>
        <v>0</v>
      </c>
      <c r="R3" s="6">
        <f>countifs('6A'!$E$2:$E$531, R$1, '6A'!$B$2:$B$531, "&gt;"&amp;$L$2, '6A'!$B$2:$B$531, "&lt;"&amp;$M$2)</f>
        <v>0</v>
      </c>
      <c r="S3" s="6">
        <f>countifs('6A'!$E$2:$E$531, S$1, '6A'!$B$2:$B$531, "&gt;"&amp;$L$2, '6A'!$B$2:$B$531, "&lt;"&amp;$M$2)</f>
        <v>0</v>
      </c>
      <c r="T3" s="6">
        <f>countifs('6A'!$E$2:$E$531, T$1, '6A'!$B$2:$B$531, "&gt;"&amp;$L$2, '6A'!$B$2:$B$531, "&lt;"&amp;$M$2)</f>
        <v>0</v>
      </c>
      <c r="U3" s="6">
        <f>countifs('6A'!$E$2:$E$531, U$1, '6A'!$B$2:$B$531, "&gt;"&amp;$L$3, '6A'!$B$2:$B$531, "&lt;"&amp;$M$3)</f>
        <v>0</v>
      </c>
      <c r="V3" s="6">
        <f>countifs('6A'!$E$2:$E$531, V$1, '6A'!$B$2:$B$531, "&gt;"&amp;$L$3, '6A'!$B$2:$B$531, "&lt;"&amp;$M$3)</f>
        <v>0</v>
      </c>
      <c r="W3" s="6">
        <f>countifs('6A'!$E$2:$E$531, W$1, '6A'!$B$2:$B$531, "&gt;"&amp;$L$3, '6A'!$B$2:$B$531, "&lt;"&amp;$M$3)</f>
        <v>0</v>
      </c>
      <c r="X3" s="6">
        <f>countifs('6A'!$E$2:$E$531, X$1, '6A'!$B$2:$B$531, "&gt;"&amp;$L$3, '6A'!$B$2:$B$531, "&lt;"&amp;$M$3)</f>
        <v>0</v>
      </c>
      <c r="Y3" s="6">
        <f>countifs('6A'!$E$2:$E$531, Y$1, '6A'!$B$2:$B$531, "&gt;"&amp;$L$3, '6A'!$B$2:$B$531, "&lt;"&amp;$M$3)</f>
        <v>0</v>
      </c>
      <c r="Z3" s="6">
        <f>countifs('6A'!$E$2:$E$531, Z$1, '6A'!$B$2:$B$531, "&gt;"&amp;$L$3, '6A'!$B$2:$B$531, "&lt;"&amp;$M$3)</f>
        <v>0</v>
      </c>
      <c r="AA3" s="6">
        <f>countifs('6A'!$E$2:$E$531, AA$1, '6A'!$B$2:$B$531, "&gt;"&amp;$L$3, '6A'!$B$2:$B$531, "&lt;"&amp;$M$3)</f>
        <v>0</v>
      </c>
      <c r="AB3" s="6">
        <f>countifs('6A'!$E$2:$E$531, AB$1, '6A'!$B$2:$B$531, "&gt;"&amp;$L$4, '6A'!$B$2:$B$531, "&lt;"&amp;$M$4)</f>
        <v>0</v>
      </c>
      <c r="AC3" s="6">
        <f>countifs('6A'!$E$2:$E$531, AC$1, '6A'!$B$2:$B$531, "&gt;"&amp;$L$4, '6A'!$B$2:$B$531, "&lt;"&amp;$M$4)</f>
        <v>0</v>
      </c>
      <c r="AD3" s="6">
        <f>countifs('6A'!$E$2:$E$531, AD$1, '6A'!$B$2:$B$531, "&gt;"&amp;$L$4, '6A'!$B$2:$B$531, "&lt;"&amp;$M$4)</f>
        <v>0</v>
      </c>
      <c r="AE3" s="6">
        <f>countifs('6A'!$E$2:$E$531, AE$1, '6A'!$B$2:$B$531, "&gt;"&amp;$L$4, '6A'!$B$2:$B$531, "&lt;"&amp;$M$4)</f>
        <v>0</v>
      </c>
      <c r="AF3" s="6">
        <f>countifs('6A'!$E$2:$E$531, AF$1, '6A'!$B$2:$B$531, "&gt;"&amp;$L$4, '6A'!$B$2:$B$531, "&lt;"&amp;$M$4)</f>
        <v>0</v>
      </c>
      <c r="AG3" s="6">
        <f>countifs('6A'!$E$2:$E$531, AG$1, '6A'!$B$2:$B$531, "&gt;"&amp;$L$4, '6A'!$B$2:$B$531, "&lt;"&amp;$M$4)</f>
        <v>0</v>
      </c>
      <c r="AH3" s="6">
        <f>countifs('6A'!$E$2:$E$531, AH$1, '6A'!$B$2:$B$531, "&gt;"&amp;$L$4, '6A'!$B$2:$B$531, "&lt;"&amp;$M$4)</f>
        <v>0</v>
      </c>
      <c r="AI3" s="3">
        <v>8.0</v>
      </c>
      <c r="AJ3" s="3">
        <v>3.0</v>
      </c>
      <c r="AK3" s="3">
        <v>1.0</v>
      </c>
      <c r="AL3" s="7" t="str">
        <f>IFERROR(__xludf.DUMMYFUNCTION("AVERAGE.WEIGHTED($N$1:$T$1, N3:T3)"),"#DIV/0!")</f>
        <v>#DIV/0!</v>
      </c>
      <c r="AM3" s="7" t="str">
        <f>IFERROR(__xludf.DUMMYFUNCTION("AVERAGE.WEIGHTED($U$1:$AA$1, U3:AA3)"),"#DIV/0!")</f>
        <v>#DIV/0!</v>
      </c>
      <c r="AN3" s="7" t="str">
        <f>IFERROR(__xludf.DUMMYFUNCTION("AVERAGE.WEIGHTED($AB$1:$AH$1, AB3:AH3)"),"#DIV/0!")</f>
        <v>#DIV/0!</v>
      </c>
      <c r="AO3" s="7" t="str">
        <f t="shared" ref="AO3:AQ3" si="8">(AL3-1)*100/6</f>
        <v>#DIV/0!</v>
      </c>
      <c r="AP3" s="7" t="str">
        <f t="shared" si="8"/>
        <v>#DIV/0!</v>
      </c>
      <c r="AQ3" s="7" t="str">
        <f t="shared" si="8"/>
        <v>#DIV/0!</v>
      </c>
      <c r="AR3" s="8" t="str">
        <f t="shared" ref="AR3:AT3" si="9">average($AO3:$AQ3)</f>
        <v>#DIV/0!</v>
      </c>
      <c r="AS3" s="8" t="str">
        <f t="shared" si="9"/>
        <v>#DIV/0!</v>
      </c>
      <c r="AT3" s="8" t="str">
        <f t="shared" si="9"/>
        <v>#DIV/0!</v>
      </c>
      <c r="AU3" s="8" t="str">
        <f t="shared" si="10"/>
        <v>#DIV/0!</v>
      </c>
      <c r="AV3" s="6">
        <f>countifs('6A'!$E$2:$E$531, AV$1, '6A'!$C$2:$C$531, "Karl")</f>
        <v>3</v>
      </c>
      <c r="AW3" s="6">
        <f>countifs('6A'!$E$2:$E$531, AW$1, '6A'!$C$2:$C$531, "Karl")</f>
        <v>2</v>
      </c>
      <c r="AX3" s="6">
        <f>countifs('6A'!$E$2:$E$531, AX$1, '6A'!$C$2:$C$531, "Karl")</f>
        <v>0</v>
      </c>
      <c r="AY3" s="6">
        <f>countifs('6A'!$E$2:$E$531, AY$1, '6A'!$C$2:$C$531, "Karl")</f>
        <v>1</v>
      </c>
      <c r="AZ3" s="6">
        <f>countifs('6A'!$E$2:$E$531, AZ$1, '6A'!$C$2:$C$531, "Karl")</f>
        <v>0</v>
      </c>
      <c r="BA3" s="6">
        <f>countifs('6A'!$E$2:$E$531, BA$1, '6A'!$C$2:$C$531, "Karl")</f>
        <v>0</v>
      </c>
      <c r="BB3" s="6">
        <f>countifs('6A'!$E$2:$E$531, BB$1, '6A'!$C$2:$C$531, "Karl")</f>
        <v>1</v>
      </c>
      <c r="BC3" s="6">
        <f>countifs('6A'!$E$2:$E$531, BC$1, '6A'!$C$2:$C$531, "Kona")</f>
        <v>5</v>
      </c>
      <c r="BD3" s="6">
        <f>countifs('6A'!$E$2:$E$531, BD$1, '6A'!$C$2:$C$531, "Kona")</f>
        <v>2</v>
      </c>
      <c r="BE3" s="6">
        <f>countifs('6A'!$E$2:$E$531, BE$1, '6A'!$C$2:$C$531, "Kona")</f>
        <v>1</v>
      </c>
      <c r="BF3" s="6">
        <f>countifs('6A'!$E$2:$E$531, BF$1, '6A'!$C$2:$C$531, "Kona")</f>
        <v>1</v>
      </c>
      <c r="BG3" s="6">
        <f>countifs('6A'!$E$2:$E$531, BG$1, '6A'!$C$2:$C$531, "Kona")</f>
        <v>1</v>
      </c>
      <c r="BH3" s="6">
        <f>countifs('6A'!$E$2:$E$531, BH$1, '6A'!$C$2:$C$531, "Kona")</f>
        <v>2</v>
      </c>
      <c r="BI3" s="6">
        <f>countifs('6A'!$E$2:$E$531, BI$1, '6A'!$C$2:$C$531, "Kona")</f>
        <v>2</v>
      </c>
      <c r="BJ3" s="9">
        <f t="shared" si="11"/>
        <v>7</v>
      </c>
      <c r="BK3" s="9">
        <f t="shared" si="12"/>
        <v>14</v>
      </c>
      <c r="BL3" s="7">
        <f>IFERROR(__xludf.DUMMYFUNCTION("AVERAGE.WEIGHTED($AV$1:$BB$1,AV3:BB3)"),2.571428571428571)</f>
        <v>2.571428571</v>
      </c>
      <c r="BM3" s="7">
        <f>IFERROR(__xludf.DUMMYFUNCTION("AVERAGE.WEIGHTED($BC$1:$BI$1,BC3:BI3)"),3.357142857142857)</f>
        <v>3.357142857</v>
      </c>
      <c r="BN3" s="7">
        <f t="shared" ref="BN3:BO3" si="13">(BL3-1)*100/6</f>
        <v>26.19047619</v>
      </c>
      <c r="BO3" s="7">
        <f t="shared" si="13"/>
        <v>39.28571429</v>
      </c>
      <c r="BP3" s="7">
        <f t="shared" si="14"/>
        <v>32.73809524</v>
      </c>
      <c r="BQ3" s="7">
        <f t="shared" si="15"/>
        <v>32.73809524</v>
      </c>
      <c r="BR3" s="8">
        <f t="shared" si="16"/>
        <v>0.1055877967</v>
      </c>
    </row>
    <row r="4">
      <c r="A4" s="3">
        <v>3.0</v>
      </c>
      <c r="B4" s="1" t="s">
        <v>5</v>
      </c>
      <c r="C4" s="6">
        <f>countif('6A'!$F$2:$F$531, C$1)</f>
        <v>15</v>
      </c>
      <c r="D4" s="6">
        <f>countif('6A'!$F$2:$F$531, D$1)</f>
        <v>2</v>
      </c>
      <c r="E4" s="6">
        <f>countif('6A'!$F$2:$F$531, E$1)</f>
        <v>0</v>
      </c>
      <c r="F4" s="6">
        <f>countif('6A'!$F$2:$F$531, F$1)</f>
        <v>0</v>
      </c>
      <c r="G4" s="6">
        <f>countif('6A'!$F$2:$F$531, G$1)</f>
        <v>0</v>
      </c>
      <c r="H4" s="6">
        <f>countif('6A'!$F$2:$F$531, H$1)</f>
        <v>3</v>
      </c>
      <c r="I4" s="6">
        <f>countif('6A'!$F$2:$F$531, I$1)</f>
        <v>1</v>
      </c>
      <c r="J4" s="6">
        <f t="shared" ref="J4:J16" si="21">SUM(C3:I3)</f>
        <v>21</v>
      </c>
      <c r="K4" s="7">
        <f t="shared" si="6"/>
        <v>2.095238095</v>
      </c>
      <c r="L4" s="6" t="str">
        <f t="shared" ref="L4:M4" si="17">'Average comparison (age groups)'!L4</f>
        <v>#REF!</v>
      </c>
      <c r="M4" s="6" t="str">
        <f t="shared" si="17"/>
        <v>#REF!</v>
      </c>
      <c r="N4" s="6">
        <f>countifs('6A'!$F$2:$F$531, N$1, '6A'!$B$2:$B$531, "&gt;"&amp;$L$2, '6A'!$B$2:$B$531, "&lt;"&amp;$M$2)</f>
        <v>0</v>
      </c>
      <c r="O4" s="6">
        <f>countifs('6A'!$F$2:$F$531, O$1, '6A'!$B$2:$B$531, "&gt;"&amp;$L$2, '6A'!$B$2:$B$531, "&lt;"&amp;$M$2)</f>
        <v>0</v>
      </c>
      <c r="P4" s="6">
        <f>countifs('6A'!$F$2:$F$531, P$1, '6A'!$B$2:$B$531, "&gt;"&amp;$L$2, '6A'!$B$2:$B$531, "&lt;"&amp;$M$2)</f>
        <v>0</v>
      </c>
      <c r="Q4" s="6">
        <f>countifs('6A'!$F$2:$F$531, Q$1, '6A'!$B$2:$B$531, "&gt;"&amp;$L$2, '6A'!$B$2:$B$531, "&lt;"&amp;$M$2)</f>
        <v>0</v>
      </c>
      <c r="R4" s="6">
        <f>countifs('6A'!$F$2:$F$531, R$1, '6A'!$B$2:$B$531, "&gt;"&amp;$L$2, '6A'!$B$2:$B$531, "&lt;"&amp;$M$2)</f>
        <v>0</v>
      </c>
      <c r="S4" s="6">
        <f>countifs('6A'!$F$2:$F$531, S$1, '6A'!$B$2:$B$531, "&gt;"&amp;$L$2, '6A'!$B$2:$B$531, "&lt;"&amp;$M$2)</f>
        <v>0</v>
      </c>
      <c r="T4" s="6">
        <f>countifs('6A'!$F$2:$F$531, T$1, '6A'!$B$2:$B$531, "&gt;"&amp;$L$2, '6A'!$B$2:$B$531, "&lt;"&amp;$M$2)</f>
        <v>0</v>
      </c>
      <c r="U4" s="6">
        <f>countifs('6A'!$F$2:$F$531, U$1, '6A'!$B$2:$B$531, "&gt;"&amp;$L$3, '6A'!$B$2:$B$531, "&lt;"&amp;$M$3)</f>
        <v>0</v>
      </c>
      <c r="V4" s="6">
        <f>countifs('6A'!$F$2:$F$531, V$1, '6A'!$B$2:$B$531, "&gt;"&amp;$L$3, '6A'!$B$2:$B$531, "&lt;"&amp;$M$3)</f>
        <v>0</v>
      </c>
      <c r="W4" s="6">
        <f>countifs('6A'!$F$2:$F$531, W$1, '6A'!$B$2:$B$531, "&gt;"&amp;$L$3, '6A'!$B$2:$B$531, "&lt;"&amp;$M$3)</f>
        <v>0</v>
      </c>
      <c r="X4" s="6">
        <f>countifs('6A'!$F$2:$F$531, X$1, '6A'!$B$2:$B$531, "&gt;"&amp;$L$3, '6A'!$B$2:$B$531, "&lt;"&amp;$M$3)</f>
        <v>0</v>
      </c>
      <c r="Y4" s="6">
        <f>countifs('6A'!$F$2:$F$531, Y$1, '6A'!$B$2:$B$531, "&gt;"&amp;$L$3, '6A'!$B$2:$B$531, "&lt;"&amp;$M$3)</f>
        <v>0</v>
      </c>
      <c r="Z4" s="6">
        <f>countifs('6A'!$F$2:$F$531, Z$1, '6A'!$B$2:$B$531, "&gt;"&amp;$L$3, '6A'!$B$2:$B$531, "&lt;"&amp;$M$3)</f>
        <v>0</v>
      </c>
      <c r="AA4" s="6">
        <f>countifs('6A'!$F$2:$F$531, AA$1, '6A'!$B$2:$B$531, "&gt;"&amp;$L$3, '6A'!$B$2:$B$531, "&lt;"&amp;$M$3)</f>
        <v>0</v>
      </c>
      <c r="AB4" s="6">
        <f>countifs('6A'!$F$2:$F$531, AB$1, '6A'!$B$2:$B$531, "&gt;"&amp;$L$4, '6A'!$B$2:$B$531, "&lt;"&amp;$M$4)</f>
        <v>0</v>
      </c>
      <c r="AC4" s="6">
        <f>countifs('6A'!$F$2:$F$531, AC$1, '6A'!$B$2:$B$531, "&gt;"&amp;$L$4, '6A'!$B$2:$B$531, "&lt;"&amp;$M$4)</f>
        <v>0</v>
      </c>
      <c r="AD4" s="6">
        <f>countifs('6A'!$F$2:$F$531, AD$1, '6A'!$B$2:$B$531, "&gt;"&amp;$L$4, '6A'!$B$2:$B$531, "&lt;"&amp;$M$4)</f>
        <v>0</v>
      </c>
      <c r="AE4" s="6">
        <f>countifs('6A'!$F$2:$F$531, AE$1, '6A'!$B$2:$B$531, "&gt;"&amp;$L$4, '6A'!$B$2:$B$531, "&lt;"&amp;$M$4)</f>
        <v>0</v>
      </c>
      <c r="AF4" s="6">
        <f>countifs('6A'!$F$2:$F$531, AF$1, '6A'!$B$2:$B$531, "&gt;"&amp;$L$4, '6A'!$B$2:$B$531, "&lt;"&amp;$M$4)</f>
        <v>0</v>
      </c>
      <c r="AG4" s="6">
        <f>countifs('6A'!$F$2:$F$531, AG$1, '6A'!$B$2:$B$531, "&gt;"&amp;$L$4, '6A'!$B$2:$B$531, "&lt;"&amp;$M$4)</f>
        <v>0</v>
      </c>
      <c r="AH4" s="6">
        <f>countifs('6A'!$F$2:$F$531, AH$1, '6A'!$B$2:$B$531, "&gt;"&amp;$L$4, '6A'!$B$2:$B$531, "&lt;"&amp;$M$4)</f>
        <v>0</v>
      </c>
      <c r="AI4" s="3">
        <v>8.0</v>
      </c>
      <c r="AJ4" s="3">
        <v>3.0</v>
      </c>
      <c r="AK4" s="3">
        <v>1.0</v>
      </c>
      <c r="AL4" s="7" t="str">
        <f>IFERROR(__xludf.DUMMYFUNCTION("AVERAGE.WEIGHTED($N$1:$T$1, N4:T4)"),"#DIV/0!")</f>
        <v>#DIV/0!</v>
      </c>
      <c r="AM4" s="7" t="str">
        <f>IFERROR(__xludf.DUMMYFUNCTION("AVERAGE.WEIGHTED($U$1:$AA$1, U4:AA4)"),"#DIV/0!")</f>
        <v>#DIV/0!</v>
      </c>
      <c r="AN4" s="7" t="str">
        <f>IFERROR(__xludf.DUMMYFUNCTION("AVERAGE.WEIGHTED($AB$1:$AH$1, AB4:AH4)"),"#DIV/0!")</f>
        <v>#DIV/0!</v>
      </c>
      <c r="AO4" s="7" t="str">
        <f t="shared" ref="AO4:AQ4" si="18">(AL4-1)*100/6</f>
        <v>#DIV/0!</v>
      </c>
      <c r="AP4" s="7" t="str">
        <f t="shared" si="18"/>
        <v>#DIV/0!</v>
      </c>
      <c r="AQ4" s="7" t="str">
        <f t="shared" si="18"/>
        <v>#DIV/0!</v>
      </c>
      <c r="AR4" s="8" t="str">
        <f t="shared" ref="AR4:AT4" si="19">average($AO4:$AQ4)</f>
        <v>#DIV/0!</v>
      </c>
      <c r="AS4" s="8" t="str">
        <f t="shared" si="19"/>
        <v>#DIV/0!</v>
      </c>
      <c r="AT4" s="8" t="str">
        <f t="shared" si="19"/>
        <v>#DIV/0!</v>
      </c>
      <c r="AU4" s="8" t="str">
        <f t="shared" si="10"/>
        <v>#DIV/0!</v>
      </c>
      <c r="AV4" s="6">
        <f>countifs('6A'!$F$2:$F$531, AV$1, '6A'!$C$2:$C$531, "Karl")</f>
        <v>5</v>
      </c>
      <c r="AW4" s="6">
        <f>countifs('6A'!$F$2:$F$531, AW$1, '6A'!$C$2:$C$531, "Karl")</f>
        <v>1</v>
      </c>
      <c r="AX4" s="6">
        <f>countifs('6A'!$F$2:$F$531, AX$1, '6A'!$C$2:$C$531, "Karl")</f>
        <v>0</v>
      </c>
      <c r="AY4" s="6">
        <f>countifs('6A'!$F$2:$F$531, AY$1, '6A'!$C$2:$C$531, "Karl")</f>
        <v>0</v>
      </c>
      <c r="AZ4" s="6">
        <f>countifs('6A'!$F$2:$F$531, AZ$1, '6A'!$C$2:$C$531, "Karl")</f>
        <v>0</v>
      </c>
      <c r="BA4" s="6">
        <f>countifs('6A'!$F$2:$F$531, BA$1, '6A'!$C$2:$C$531, "Karl")</f>
        <v>1</v>
      </c>
      <c r="BB4" s="6">
        <f>countifs('6A'!$F$2:$F$531, BB$1, '6A'!$C$2:$C$531, "Karl")</f>
        <v>0</v>
      </c>
      <c r="BC4" s="6">
        <f>countifs('6A'!$F$2:$F$531, BC$1, '6A'!$C$2:$C$531, "Kona")</f>
        <v>10</v>
      </c>
      <c r="BD4" s="6">
        <f>countifs('6A'!$F$2:$F$531, BD$1, '6A'!$C$2:$C$531, "Kona")</f>
        <v>1</v>
      </c>
      <c r="BE4" s="6">
        <f>countifs('6A'!$F$2:$F$531, BE$1, '6A'!$C$2:$C$531, "Kona")</f>
        <v>0</v>
      </c>
      <c r="BF4" s="6">
        <f>countifs('6A'!$F$2:$F$531, BF$1, '6A'!$C$2:$C$531, "Kona")</f>
        <v>0</v>
      </c>
      <c r="BG4" s="6">
        <f>countifs('6A'!$F$2:$F$531, BG$1, '6A'!$C$2:$C$531, "Kona")</f>
        <v>0</v>
      </c>
      <c r="BH4" s="6">
        <f>countifs('6A'!$F$2:$F$531, BH$1, '6A'!$C$2:$C$531, "Kona")</f>
        <v>2</v>
      </c>
      <c r="BI4" s="6">
        <f>countifs('6A'!$F$2:$F$531, BI$1, '6A'!$C$2:$C$531, "Kona")</f>
        <v>1</v>
      </c>
      <c r="BJ4" s="9">
        <f t="shared" si="11"/>
        <v>7</v>
      </c>
      <c r="BK4" s="9">
        <f t="shared" si="12"/>
        <v>14</v>
      </c>
      <c r="BL4" s="7">
        <f>IFERROR(__xludf.DUMMYFUNCTION("AVERAGE.WEIGHTED($AV$1:$BB$1,AV4:BB4)"),1.857142857142857)</f>
        <v>1.857142857</v>
      </c>
      <c r="BM4" s="7">
        <f>IFERROR(__xludf.DUMMYFUNCTION("AVERAGE.WEIGHTED($BC$1:$BI$1,BC4:BI4)"),2.2142857142857144)</f>
        <v>2.214285714</v>
      </c>
      <c r="BN4" s="7">
        <f t="shared" ref="BN4:BO4" si="20">(BL4-1)*100/6</f>
        <v>14.28571429</v>
      </c>
      <c r="BO4" s="7">
        <f t="shared" si="20"/>
        <v>20.23809524</v>
      </c>
      <c r="BP4" s="7">
        <f t="shared" si="14"/>
        <v>17.26190476</v>
      </c>
      <c r="BQ4" s="7">
        <f t="shared" si="15"/>
        <v>17.26190476</v>
      </c>
      <c r="BR4" s="8">
        <f t="shared" si="16"/>
        <v>0.3110357426</v>
      </c>
    </row>
    <row r="5">
      <c r="A5" s="3">
        <v>4.0</v>
      </c>
      <c r="B5" s="1" t="s">
        <v>6</v>
      </c>
      <c r="C5" s="6">
        <f>countif('6A'!$G$2:$G$531, C$1)</f>
        <v>5</v>
      </c>
      <c r="D5" s="6">
        <f>countif('6A'!$G$2:$G$531, D$1)</f>
        <v>1</v>
      </c>
      <c r="E5" s="6">
        <f>countif('6A'!$G$2:$G$531, E$1)</f>
        <v>1</v>
      </c>
      <c r="F5" s="6">
        <f>countif('6A'!$G$2:$G$531, F$1)</f>
        <v>4</v>
      </c>
      <c r="G5" s="6">
        <f>countif('6A'!$G$2:$G$531, G$1)</f>
        <v>3</v>
      </c>
      <c r="H5" s="6">
        <f>countif('6A'!$G$2:$G$531, H$1)</f>
        <v>0</v>
      </c>
      <c r="I5" s="6">
        <f>countif('6A'!$G$2:$G$531, I$1)</f>
        <v>7</v>
      </c>
      <c r="J5" s="6">
        <f t="shared" si="21"/>
        <v>21</v>
      </c>
      <c r="K5" s="7">
        <f t="shared" si="6"/>
        <v>4.285714286</v>
      </c>
      <c r="N5" s="6">
        <f>countifs('6A'!$G$2:$G$531, N$1, '6A'!$B$2:$B$531, "&gt;"&amp;$L$2, '6A'!$B$2:$B$531, "&lt;"&amp;$M$2)</f>
        <v>0</v>
      </c>
      <c r="O5" s="6">
        <f>countifs('6A'!$G$2:$G$531, O$1, '6A'!$B$2:$B$531, "&gt;"&amp;$L$2, '6A'!$B$2:$B$531, "&lt;"&amp;$M$2)</f>
        <v>0</v>
      </c>
      <c r="P5" s="6">
        <f>countifs('6A'!$G$2:$G$531, P$1, '6A'!$B$2:$B$531, "&gt;"&amp;$L$2, '6A'!$B$2:$B$531, "&lt;"&amp;$M$2)</f>
        <v>0</v>
      </c>
      <c r="Q5" s="6">
        <f>countifs('6A'!$G$2:$G$531, Q$1, '6A'!$B$2:$B$531, "&gt;"&amp;$L$2, '6A'!$B$2:$B$531, "&lt;"&amp;$M$2)</f>
        <v>0</v>
      </c>
      <c r="R5" s="6">
        <f>countifs('6A'!$G$2:$G$531, R$1, '6A'!$B$2:$B$531, "&gt;"&amp;$L$2, '6A'!$B$2:$B$531, "&lt;"&amp;$M$2)</f>
        <v>0</v>
      </c>
      <c r="S5" s="6">
        <f>countifs('6A'!$G$2:$G$531, S$1, '6A'!$B$2:$B$531, "&gt;"&amp;$L$2, '6A'!$B$2:$B$531, "&lt;"&amp;$M$2)</f>
        <v>0</v>
      </c>
      <c r="T5" s="6">
        <f>countifs('6A'!$G$2:$G$531, T$1, '6A'!$B$2:$B$531, "&gt;"&amp;$L$2, '6A'!$B$2:$B$531, "&lt;"&amp;$M$2)</f>
        <v>0</v>
      </c>
      <c r="U5" s="6">
        <f>countifs('6A'!$G$2:$G$531, U$1, '6A'!$B$2:$B$531, "&gt;"&amp;$L$3, '6A'!$B$2:$B$531, "&lt;"&amp;$M$3)</f>
        <v>0</v>
      </c>
      <c r="V5" s="6">
        <f>countifs('6A'!$G$2:$G$531, V$1, '6A'!$B$2:$B$531, "&gt;"&amp;$L$3, '6A'!$B$2:$B$531, "&lt;"&amp;$M$3)</f>
        <v>0</v>
      </c>
      <c r="W5" s="6">
        <f>countifs('6A'!$G$2:$G$531, W$1, '6A'!$B$2:$B$531, "&gt;"&amp;$L$3, '6A'!$B$2:$B$531, "&lt;"&amp;$M$3)</f>
        <v>0</v>
      </c>
      <c r="X5" s="6">
        <f>countifs('6A'!$G$2:$G$531, X$1, '6A'!$B$2:$B$531, "&gt;"&amp;$L$3, '6A'!$B$2:$B$531, "&lt;"&amp;$M$3)</f>
        <v>0</v>
      </c>
      <c r="Y5" s="6">
        <f>countifs('6A'!$G$2:$G$531, Y$1, '6A'!$B$2:$B$531, "&gt;"&amp;$L$3, '6A'!$B$2:$B$531, "&lt;"&amp;$M$3)</f>
        <v>0</v>
      </c>
      <c r="Z5" s="6">
        <f>countifs('6A'!$G$2:$G$531, Z$1, '6A'!$B$2:$B$531, "&gt;"&amp;$L$3, '6A'!$B$2:$B$531, "&lt;"&amp;$M$3)</f>
        <v>0</v>
      </c>
      <c r="AA5" s="6">
        <f>countifs('6A'!$G$2:$G$531, AA$1, '6A'!$B$2:$B$531, "&gt;"&amp;$L$3, '6A'!$B$2:$B$531, "&lt;"&amp;$M$3)</f>
        <v>0</v>
      </c>
      <c r="AB5" s="6">
        <f>countifs('6A'!$G$2:$G$531, AB$1, '6A'!$B$2:$B$531, "&gt;"&amp;$L$4, '6A'!$B$2:$B$531, "&lt;"&amp;$M$4)</f>
        <v>0</v>
      </c>
      <c r="AC5" s="6">
        <f>countifs('6A'!$G$2:$G$531, AC$1, '6A'!$B$2:$B$531, "&gt;"&amp;$L$4, '6A'!$B$2:$B$531, "&lt;"&amp;$M$4)</f>
        <v>0</v>
      </c>
      <c r="AD5" s="6">
        <f>countifs('6A'!$G$2:$G$531, AD$1, '6A'!$B$2:$B$531, "&gt;"&amp;$L$4, '6A'!$B$2:$B$531, "&lt;"&amp;$M$4)</f>
        <v>0</v>
      </c>
      <c r="AE5" s="6">
        <f>countifs('6A'!$G$2:$G$531, AE$1, '6A'!$B$2:$B$531, "&gt;"&amp;$L$4, '6A'!$B$2:$B$531, "&lt;"&amp;$M$4)</f>
        <v>0</v>
      </c>
      <c r="AF5" s="6">
        <f>countifs('6A'!$G$2:$G$531, AF$1, '6A'!$B$2:$B$531, "&gt;"&amp;$L$4, '6A'!$B$2:$B$531, "&lt;"&amp;$M$4)</f>
        <v>0</v>
      </c>
      <c r="AG5" s="6">
        <f>countifs('6A'!$G$2:$G$531, AG$1, '6A'!$B$2:$B$531, "&gt;"&amp;$L$4, '6A'!$B$2:$B$531, "&lt;"&amp;$M$4)</f>
        <v>0</v>
      </c>
      <c r="AH5" s="6">
        <f>countifs('6A'!$G$2:$G$531, AH$1, '6A'!$B$2:$B$531, "&gt;"&amp;$L$4, '6A'!$B$2:$B$531, "&lt;"&amp;$M$4)</f>
        <v>0</v>
      </c>
      <c r="AI5" s="3">
        <v>8.0</v>
      </c>
      <c r="AJ5" s="3">
        <v>3.0</v>
      </c>
      <c r="AK5" s="3">
        <v>1.0</v>
      </c>
      <c r="AL5" s="7" t="str">
        <f>IFERROR(__xludf.DUMMYFUNCTION("AVERAGE.WEIGHTED($N$1:$T$1, N5:T5)"),"#DIV/0!")</f>
        <v>#DIV/0!</v>
      </c>
      <c r="AM5" s="7" t="str">
        <f>IFERROR(__xludf.DUMMYFUNCTION("AVERAGE.WEIGHTED($U$1:$AA$1, U5:AA5)"),"#DIV/0!")</f>
        <v>#DIV/0!</v>
      </c>
      <c r="AN5" s="7" t="str">
        <f>IFERROR(__xludf.DUMMYFUNCTION("AVERAGE.WEIGHTED($AB$1:$AH$1, AB5:AH5)"),"#DIV/0!")</f>
        <v>#DIV/0!</v>
      </c>
      <c r="AO5" s="7" t="str">
        <f t="shared" ref="AO5:AQ5" si="22">(AL5-1)*100/6</f>
        <v>#DIV/0!</v>
      </c>
      <c r="AP5" s="7" t="str">
        <f t="shared" si="22"/>
        <v>#DIV/0!</v>
      </c>
      <c r="AQ5" s="7" t="str">
        <f t="shared" si="22"/>
        <v>#DIV/0!</v>
      </c>
      <c r="AR5" s="8" t="str">
        <f t="shared" ref="AR5:AT5" si="23">average($AO5:$AQ5)</f>
        <v>#DIV/0!</v>
      </c>
      <c r="AS5" s="8" t="str">
        <f t="shared" si="23"/>
        <v>#DIV/0!</v>
      </c>
      <c r="AT5" s="8" t="str">
        <f t="shared" si="23"/>
        <v>#DIV/0!</v>
      </c>
      <c r="AU5" s="8" t="str">
        <f t="shared" si="10"/>
        <v>#DIV/0!</v>
      </c>
      <c r="AV5" s="6">
        <f>countifs('6A'!$G$2:$G$531, AV$1, '6A'!$C$2:$C$531, "Karl")</f>
        <v>1</v>
      </c>
      <c r="AW5" s="6">
        <f>countifs('6A'!$G$2:$G$531, AW$1, '6A'!$C$2:$C$531, "Karl")</f>
        <v>0</v>
      </c>
      <c r="AX5" s="6">
        <f>countifs('6A'!$G$2:$G$531, AX$1, '6A'!$C$2:$C$531, "Karl")</f>
        <v>0</v>
      </c>
      <c r="AY5" s="6">
        <f>countifs('6A'!$G$2:$G$531, AY$1, '6A'!$C$2:$C$531, "Karl")</f>
        <v>1</v>
      </c>
      <c r="AZ5" s="6">
        <f>countifs('6A'!$G$2:$G$531, AZ$1, '6A'!$C$2:$C$531, "Karl")</f>
        <v>1</v>
      </c>
      <c r="BA5" s="6">
        <f>countifs('6A'!$G$2:$G$531, BA$1, '6A'!$C$2:$C$531, "Karl")</f>
        <v>0</v>
      </c>
      <c r="BB5" s="6">
        <f>countifs('6A'!$G$2:$G$531, BB$1, '6A'!$C$2:$C$531, "Karl")</f>
        <v>4</v>
      </c>
      <c r="BC5" s="6">
        <f>countifs('6A'!$G$2:$G$531, BC$1, '6A'!$C$2:$C$531, "Kona")</f>
        <v>4</v>
      </c>
      <c r="BD5" s="6">
        <f>countifs('6A'!$G$2:$G$531, BD$1, '6A'!$C$2:$C$531, "Kona")</f>
        <v>1</v>
      </c>
      <c r="BE5" s="6">
        <f>countifs('6A'!$G$2:$G$531, BE$1, '6A'!$C$2:$C$531, "Kona")</f>
        <v>1</v>
      </c>
      <c r="BF5" s="6">
        <f>countifs('6A'!$G$2:$G$531, BF$1, '6A'!$C$2:$C$531, "Kona")</f>
        <v>3</v>
      </c>
      <c r="BG5" s="6">
        <f>countifs('6A'!$G$2:$G$531, BG$1, '6A'!$C$2:$C$531, "Kona")</f>
        <v>2</v>
      </c>
      <c r="BH5" s="6">
        <f>countifs('6A'!$G$2:$G$531, BH$1, '6A'!$C$2:$C$531, "Kona")</f>
        <v>0</v>
      </c>
      <c r="BI5" s="6">
        <f>countifs('6A'!$G$2:$G$531, BI$1, '6A'!$C$2:$C$531, "Kona")</f>
        <v>3</v>
      </c>
      <c r="BJ5" s="9">
        <f t="shared" si="11"/>
        <v>7</v>
      </c>
      <c r="BK5" s="9">
        <f t="shared" si="12"/>
        <v>14</v>
      </c>
      <c r="BL5" s="7">
        <f>IFERROR(__xludf.DUMMYFUNCTION("AVERAGE.WEIGHTED($AV$1:$BB$1,AV5:BB5)"),5.428571428571429)</f>
        <v>5.428571429</v>
      </c>
      <c r="BM5" s="7">
        <f>IFERROR(__xludf.DUMMYFUNCTION("AVERAGE.WEIGHTED($BC$1:$BI$1,BC5:BI5)"),3.7142857142857144)</f>
        <v>3.714285714</v>
      </c>
      <c r="BN5" s="7">
        <f t="shared" ref="BN5:BO5" si="24">(BL5-1)*100/6</f>
        <v>73.80952381</v>
      </c>
      <c r="BO5" s="7">
        <f t="shared" si="24"/>
        <v>45.23809524</v>
      </c>
      <c r="BP5" s="7">
        <f t="shared" si="14"/>
        <v>59.52380952</v>
      </c>
      <c r="BQ5" s="7">
        <f t="shared" si="15"/>
        <v>59.52380952</v>
      </c>
      <c r="BR5" s="8">
        <f t="shared" si="16"/>
        <v>0.008828760953</v>
      </c>
    </row>
    <row r="6">
      <c r="A6" s="3">
        <v>5.0</v>
      </c>
      <c r="B6" s="1" t="s">
        <v>7</v>
      </c>
      <c r="C6" s="6">
        <f>countif('6A'!$H$2:$H$531, C$1)</f>
        <v>15</v>
      </c>
      <c r="D6" s="6">
        <f>countif('6A'!$H$2:$H$531, D$1)</f>
        <v>3</v>
      </c>
      <c r="E6" s="6">
        <f>countif('6A'!$H$2:$H$531, E$1)</f>
        <v>1</v>
      </c>
      <c r="F6" s="6">
        <f>countif('6A'!$H$2:$H$531, F$1)</f>
        <v>0</v>
      </c>
      <c r="G6" s="6">
        <f>countif('6A'!$H$2:$H$531, G$1)</f>
        <v>0</v>
      </c>
      <c r="H6" s="6">
        <f>countif('6A'!$H$2:$H$531, H$1)</f>
        <v>0</v>
      </c>
      <c r="I6" s="6">
        <f>countif('6A'!$H$2:$H$531, I$1)</f>
        <v>2</v>
      </c>
      <c r="J6" s="6">
        <f t="shared" si="21"/>
        <v>21</v>
      </c>
      <c r="K6" s="7">
        <f t="shared" si="6"/>
        <v>1.80952381</v>
      </c>
      <c r="N6" s="6">
        <f>countifs('6A'!$H$2:$H$531, N$1, '6A'!$B$2:$B$531, "&gt;"&amp;$L$2, '6A'!$B$2:$B$531, "&lt;"&amp;$M$2)</f>
        <v>0</v>
      </c>
      <c r="O6" s="6">
        <f>countifs('6A'!$H$2:$H$531, O$1, '6A'!$B$2:$B$531, "&gt;"&amp;$L$2, '6A'!$B$2:$B$531, "&lt;"&amp;$M$2)</f>
        <v>0</v>
      </c>
      <c r="P6" s="6">
        <f>countifs('6A'!$H$2:$H$531, P$1, '6A'!$B$2:$B$531, "&gt;"&amp;$L$2, '6A'!$B$2:$B$531, "&lt;"&amp;$M$2)</f>
        <v>0</v>
      </c>
      <c r="Q6" s="6">
        <f>countifs('6A'!$H$2:$H$531, Q$1, '6A'!$B$2:$B$531, "&gt;"&amp;$L$2, '6A'!$B$2:$B$531, "&lt;"&amp;$M$2)</f>
        <v>0</v>
      </c>
      <c r="R6" s="6">
        <f>countifs('6A'!$H$2:$H$531, R$1, '6A'!$B$2:$B$531, "&gt;"&amp;$L$2, '6A'!$B$2:$B$531, "&lt;"&amp;$M$2)</f>
        <v>0</v>
      </c>
      <c r="S6" s="6">
        <f>countifs('6A'!$H$2:$H$531, S$1, '6A'!$B$2:$B$531, "&gt;"&amp;$L$2, '6A'!$B$2:$B$531, "&lt;"&amp;$M$2)</f>
        <v>0</v>
      </c>
      <c r="T6" s="6">
        <f>countifs('6A'!$H$2:$H$531, T$1, '6A'!$B$2:$B$531, "&gt;"&amp;$L$2, '6A'!$B$2:$B$531, "&lt;"&amp;$M$2)</f>
        <v>0</v>
      </c>
      <c r="U6" s="6">
        <f>countifs('6A'!$H$2:$H$531, U$1, '6A'!$B$2:$B$531, "&gt;"&amp;$L$3, '6A'!$B$2:$B$531, "&lt;"&amp;$M$3)</f>
        <v>0</v>
      </c>
      <c r="V6" s="6">
        <f>countifs('6A'!$H$2:$H$531, V$1, '6A'!$B$2:$B$531, "&gt;"&amp;$L$3, '6A'!$B$2:$B$531, "&lt;"&amp;$M$3)</f>
        <v>0</v>
      </c>
      <c r="W6" s="6">
        <f>countifs('6A'!$H$2:$H$531, W$1, '6A'!$B$2:$B$531, "&gt;"&amp;$L$3, '6A'!$B$2:$B$531, "&lt;"&amp;$M$3)</f>
        <v>0</v>
      </c>
      <c r="X6" s="6">
        <f>countifs('6A'!$H$2:$H$531, X$1, '6A'!$B$2:$B$531, "&gt;"&amp;$L$3, '6A'!$B$2:$B$531, "&lt;"&amp;$M$3)</f>
        <v>0</v>
      </c>
      <c r="Y6" s="6">
        <f>countifs('6A'!$H$2:$H$531, Y$1, '6A'!$B$2:$B$531, "&gt;"&amp;$L$3, '6A'!$B$2:$B$531, "&lt;"&amp;$M$3)</f>
        <v>0</v>
      </c>
      <c r="Z6" s="6">
        <f>countifs('6A'!$H$2:$H$531, Z$1, '6A'!$B$2:$B$531, "&gt;"&amp;$L$3, '6A'!$B$2:$B$531, "&lt;"&amp;$M$3)</f>
        <v>0</v>
      </c>
      <c r="AA6" s="6">
        <f>countifs('6A'!$H$2:$H$531, AA$1, '6A'!$B$2:$B$531, "&gt;"&amp;$L$3, '6A'!$B$2:$B$531, "&lt;"&amp;$M$3)</f>
        <v>0</v>
      </c>
      <c r="AB6" s="6">
        <f>countifs('6A'!$H$2:$H$531, AB$1, '6A'!$B$2:$B$531, "&gt;"&amp;$L$4, '6A'!$B$2:$B$531, "&lt;"&amp;$M$4)</f>
        <v>0</v>
      </c>
      <c r="AC6" s="6">
        <f>countifs('6A'!$H$2:$H$531, AC$1, '6A'!$B$2:$B$531, "&gt;"&amp;$L$4, '6A'!$B$2:$B$531, "&lt;"&amp;$M$4)</f>
        <v>0</v>
      </c>
      <c r="AD6" s="6">
        <f>countifs('6A'!$H$2:$H$531, AD$1, '6A'!$B$2:$B$531, "&gt;"&amp;$L$4, '6A'!$B$2:$B$531, "&lt;"&amp;$M$4)</f>
        <v>0</v>
      </c>
      <c r="AE6" s="6">
        <f>countifs('6A'!$H$2:$H$531, AE$1, '6A'!$B$2:$B$531, "&gt;"&amp;$L$4, '6A'!$B$2:$B$531, "&lt;"&amp;$M$4)</f>
        <v>0</v>
      </c>
      <c r="AF6" s="6">
        <f>countifs('6A'!$H$2:$H$531, AF$1, '6A'!$B$2:$B$531, "&gt;"&amp;$L$4, '6A'!$B$2:$B$531, "&lt;"&amp;$M$4)</f>
        <v>0</v>
      </c>
      <c r="AG6" s="6">
        <f>countifs('6A'!$H$2:$H$531, AG$1, '6A'!$B$2:$B$531, "&gt;"&amp;$L$4, '6A'!$B$2:$B$531, "&lt;"&amp;$M$4)</f>
        <v>0</v>
      </c>
      <c r="AH6" s="6">
        <f>countifs('6A'!$H$2:$H$531, AH$1, '6A'!$B$2:$B$531, "&gt;"&amp;$L$4, '6A'!$B$2:$B$531, "&lt;"&amp;$M$4)</f>
        <v>0</v>
      </c>
      <c r="AI6" s="3">
        <v>8.0</v>
      </c>
      <c r="AJ6" s="3">
        <v>3.0</v>
      </c>
      <c r="AK6" s="3">
        <v>1.0</v>
      </c>
      <c r="AL6" s="7" t="str">
        <f>IFERROR(__xludf.DUMMYFUNCTION("AVERAGE.WEIGHTED($N$1:$T$1, N6:T6)"),"#DIV/0!")</f>
        <v>#DIV/0!</v>
      </c>
      <c r="AM6" s="7" t="str">
        <f>IFERROR(__xludf.DUMMYFUNCTION("AVERAGE.WEIGHTED($U$1:$AA$1, U6:AA6)"),"#DIV/0!")</f>
        <v>#DIV/0!</v>
      </c>
      <c r="AN6" s="7" t="str">
        <f>IFERROR(__xludf.DUMMYFUNCTION("AVERAGE.WEIGHTED($AB$1:$AH$1, AB6:AH6)"),"#DIV/0!")</f>
        <v>#DIV/0!</v>
      </c>
      <c r="AO6" s="7" t="str">
        <f t="shared" ref="AO6:AQ6" si="25">(AL6-1)*100/6</f>
        <v>#DIV/0!</v>
      </c>
      <c r="AP6" s="7" t="str">
        <f t="shared" si="25"/>
        <v>#DIV/0!</v>
      </c>
      <c r="AQ6" s="7" t="str">
        <f t="shared" si="25"/>
        <v>#DIV/0!</v>
      </c>
      <c r="AR6" s="8" t="str">
        <f t="shared" ref="AR6:AT6" si="26">average($AO6:$AQ6)</f>
        <v>#DIV/0!</v>
      </c>
      <c r="AS6" s="8" t="str">
        <f t="shared" si="26"/>
        <v>#DIV/0!</v>
      </c>
      <c r="AT6" s="8" t="str">
        <f t="shared" si="26"/>
        <v>#DIV/0!</v>
      </c>
      <c r="AU6" s="8" t="str">
        <f t="shared" si="10"/>
        <v>#DIV/0!</v>
      </c>
      <c r="AV6" s="6">
        <f>countifs('6A'!$H$2:$H$531, AV$1, '6A'!$C$2:$C$531, "Karl")</f>
        <v>5</v>
      </c>
      <c r="AW6" s="6">
        <f>countifs('6A'!$H$2:$H$531, AW$1, '6A'!$C$2:$C$531, "Karl")</f>
        <v>1</v>
      </c>
      <c r="AX6" s="6">
        <f>countifs('6A'!$H$2:$H$531, AX$1, '6A'!$C$2:$C$531, "Karl")</f>
        <v>0</v>
      </c>
      <c r="AY6" s="6">
        <f>countifs('6A'!$H$2:$H$531, AY$1, '6A'!$C$2:$C$531, "Karl")</f>
        <v>0</v>
      </c>
      <c r="AZ6" s="6">
        <f>countifs('6A'!$H$2:$H$531, AZ$1, '6A'!$C$2:$C$531, "Karl")</f>
        <v>0</v>
      </c>
      <c r="BA6" s="6">
        <f>countifs('6A'!$H$2:$H$531, BA$1, '6A'!$C$2:$C$531, "Karl")</f>
        <v>0</v>
      </c>
      <c r="BB6" s="6">
        <f>countifs('6A'!$H$2:$H$531, BB$1, '6A'!$C$2:$C$531, "Karl")</f>
        <v>1</v>
      </c>
      <c r="BC6" s="6">
        <f>countifs('6A'!$H$2:$H$531, BC$1, '6A'!$C$2:$C$531, "Kona")</f>
        <v>10</v>
      </c>
      <c r="BD6" s="6">
        <f>countifs('6A'!$H$2:$H$531, BD$1, '6A'!$C$2:$C$531, "Kona")</f>
        <v>2</v>
      </c>
      <c r="BE6" s="6">
        <f>countifs('6A'!$H$2:$H$531, BE$1, '6A'!$C$2:$C$531, "Kona")</f>
        <v>1</v>
      </c>
      <c r="BF6" s="6">
        <f>countifs('6A'!$H$2:$H$531, BF$1, '6A'!$C$2:$C$531, "Kona")</f>
        <v>0</v>
      </c>
      <c r="BG6" s="6">
        <f>countifs('6A'!$H$2:$H$531, BG$1, '6A'!$C$2:$C$531, "Kona")</f>
        <v>0</v>
      </c>
      <c r="BH6" s="6">
        <f>countifs('6A'!$H$2:$H$531, BH$1, '6A'!$C$2:$C$531, "Kona")</f>
        <v>0</v>
      </c>
      <c r="BI6" s="6">
        <f>countifs('6A'!$H$2:$H$531, BI$1, '6A'!$C$2:$C$531, "Kona")</f>
        <v>1</v>
      </c>
      <c r="BJ6" s="9">
        <f t="shared" si="11"/>
        <v>7</v>
      </c>
      <c r="BK6" s="9">
        <f t="shared" si="12"/>
        <v>14</v>
      </c>
      <c r="BL6" s="7">
        <f>IFERROR(__xludf.DUMMYFUNCTION("AVERAGE.WEIGHTED($AV$1:$BB$1,AV6:BB6)"),2.0)</f>
        <v>2</v>
      </c>
      <c r="BM6" s="7">
        <f>IFERROR(__xludf.DUMMYFUNCTION("AVERAGE.WEIGHTED($BC$1:$BI$1,BC6:BI6)"),1.7142857142857142)</f>
        <v>1.714285714</v>
      </c>
      <c r="BN6" s="7">
        <f t="shared" ref="BN6:BO6" si="27">(BL6-1)*100/6</f>
        <v>16.66666667</v>
      </c>
      <c r="BO6" s="7">
        <f t="shared" si="27"/>
        <v>11.9047619</v>
      </c>
      <c r="BP6" s="7">
        <f t="shared" si="14"/>
        <v>14.28571429</v>
      </c>
      <c r="BQ6" s="7">
        <f t="shared" si="15"/>
        <v>14.28571429</v>
      </c>
      <c r="BR6" s="8">
        <f t="shared" si="16"/>
        <v>0.3729984836</v>
      </c>
    </row>
    <row r="7">
      <c r="A7" s="3">
        <v>6.0</v>
      </c>
      <c r="B7" s="1" t="s">
        <v>8</v>
      </c>
      <c r="C7" s="6">
        <f>countif('6A'!$I$2:$I$531, C$1)</f>
        <v>14</v>
      </c>
      <c r="D7" s="6">
        <f>countif('6A'!$I$2:$I$531, D$1)</f>
        <v>1</v>
      </c>
      <c r="E7" s="6">
        <f>countif('6A'!$I$2:$I$531, E$1)</f>
        <v>2</v>
      </c>
      <c r="F7" s="6">
        <f>countif('6A'!$I$2:$I$531, F$1)</f>
        <v>0</v>
      </c>
      <c r="G7" s="6">
        <f>countif('6A'!$I$2:$I$531, G$1)</f>
        <v>2</v>
      </c>
      <c r="H7" s="6">
        <f>countif('6A'!$I$2:$I$531, H$1)</f>
        <v>0</v>
      </c>
      <c r="I7" s="6">
        <f>countif('6A'!$I$2:$I$531, I$1)</f>
        <v>2</v>
      </c>
      <c r="J7" s="6">
        <f t="shared" si="21"/>
        <v>21</v>
      </c>
      <c r="K7" s="7">
        <f t="shared" si="6"/>
        <v>2.19047619</v>
      </c>
      <c r="N7" s="6">
        <f>countifs('6A'!$I$2:$I$531, N$1, '6A'!$B$2:$B$531, "&gt;"&amp;$L$2, '6A'!$B$2:$B$531, "&lt;"&amp;$M$2)</f>
        <v>0</v>
      </c>
      <c r="O7" s="6">
        <f>countifs('6A'!$I$2:$I$531, O$1, '6A'!$B$2:$B$531, "&gt;"&amp;$L$2, '6A'!$B$2:$B$531, "&lt;"&amp;$M$2)</f>
        <v>0</v>
      </c>
      <c r="P7" s="6">
        <f>countifs('6A'!$I$2:$I$531, P$1, '6A'!$B$2:$B$531, "&gt;"&amp;$L$2, '6A'!$B$2:$B$531, "&lt;"&amp;$M$2)</f>
        <v>0</v>
      </c>
      <c r="Q7" s="6">
        <f>countifs('6A'!$I$2:$I$531, Q$1, '6A'!$B$2:$B$531, "&gt;"&amp;$L$2, '6A'!$B$2:$B$531, "&lt;"&amp;$M$2)</f>
        <v>0</v>
      </c>
      <c r="R7" s="6">
        <f>countifs('6A'!$I$2:$I$531, R$1, '6A'!$B$2:$B$531, "&gt;"&amp;$L$2, '6A'!$B$2:$B$531, "&lt;"&amp;$M$2)</f>
        <v>0</v>
      </c>
      <c r="S7" s="6">
        <f>countifs('6A'!$I$2:$I$531, S$1, '6A'!$B$2:$B$531, "&gt;"&amp;$L$2, '6A'!$B$2:$B$531, "&lt;"&amp;$M$2)</f>
        <v>0</v>
      </c>
      <c r="T7" s="6">
        <f>countifs('6A'!$I$2:$I$531, T$1, '6A'!$B$2:$B$531, "&gt;"&amp;$L$2, '6A'!$B$2:$B$531, "&lt;"&amp;$M$2)</f>
        <v>0</v>
      </c>
      <c r="U7" s="6">
        <f>countifs('6A'!$I$2:$I$531, U$1, '6A'!$B$2:$B$531, "&gt;"&amp;$L$3, '6A'!$B$2:$B$531, "&lt;"&amp;$M$3)</f>
        <v>0</v>
      </c>
      <c r="V7" s="6">
        <f>countifs('6A'!$I$2:$I$531, V$1, '6A'!$B$2:$B$531, "&gt;"&amp;$L$3, '6A'!$B$2:$B$531, "&lt;"&amp;$M$3)</f>
        <v>0</v>
      </c>
      <c r="W7" s="6">
        <f>countifs('6A'!$I$2:$I$531, W$1, '6A'!$B$2:$B$531, "&gt;"&amp;$L$3, '6A'!$B$2:$B$531, "&lt;"&amp;$M$3)</f>
        <v>0</v>
      </c>
      <c r="X7" s="6">
        <f>countifs('6A'!$I$2:$I$531, X$1, '6A'!$B$2:$B$531, "&gt;"&amp;$L$3, '6A'!$B$2:$B$531, "&lt;"&amp;$M$3)</f>
        <v>0</v>
      </c>
      <c r="Y7" s="6">
        <f>countifs('6A'!$I$2:$I$531, Y$1, '6A'!$B$2:$B$531, "&gt;"&amp;$L$3, '6A'!$B$2:$B$531, "&lt;"&amp;$M$3)</f>
        <v>0</v>
      </c>
      <c r="Z7" s="6">
        <f>countifs('6A'!$I$2:$I$531, Z$1, '6A'!$B$2:$B$531, "&gt;"&amp;$L$3, '6A'!$B$2:$B$531, "&lt;"&amp;$M$3)</f>
        <v>0</v>
      </c>
      <c r="AA7" s="6">
        <f>countifs('6A'!$I$2:$I$531, AA$1, '6A'!$B$2:$B$531, "&gt;"&amp;$L$3, '6A'!$B$2:$B$531, "&lt;"&amp;$M$3)</f>
        <v>0</v>
      </c>
      <c r="AB7" s="6">
        <f>countifs('6A'!$I$2:$I$531, AB$1, '6A'!$B$2:$B$531, "&gt;"&amp;$L$4, '6A'!$B$2:$B$531, "&lt;"&amp;$M$4)</f>
        <v>0</v>
      </c>
      <c r="AC7" s="6">
        <f>countifs('6A'!$I$2:$I$531, AC$1, '6A'!$B$2:$B$531, "&gt;"&amp;$L$4, '6A'!$B$2:$B$531, "&lt;"&amp;$M$4)</f>
        <v>0</v>
      </c>
      <c r="AD7" s="6">
        <f>countifs('6A'!$I$2:$I$531, AD$1, '6A'!$B$2:$B$531, "&gt;"&amp;$L$4, '6A'!$B$2:$B$531, "&lt;"&amp;$M$4)</f>
        <v>0</v>
      </c>
      <c r="AE7" s="6">
        <f>countifs('6A'!$I$2:$I$531, AE$1, '6A'!$B$2:$B$531, "&gt;"&amp;$L$4, '6A'!$B$2:$B$531, "&lt;"&amp;$M$4)</f>
        <v>0</v>
      </c>
      <c r="AF7" s="6">
        <f>countifs('6A'!$I$2:$I$531, AF$1, '6A'!$B$2:$B$531, "&gt;"&amp;$L$4, '6A'!$B$2:$B$531, "&lt;"&amp;$M$4)</f>
        <v>0</v>
      </c>
      <c r="AG7" s="6">
        <f>countifs('6A'!$I$2:$I$531, AG$1, '6A'!$B$2:$B$531, "&gt;"&amp;$L$4, '6A'!$B$2:$B$531, "&lt;"&amp;$M$4)</f>
        <v>0</v>
      </c>
      <c r="AH7" s="6">
        <f>countifs('6A'!$I$2:$I$531, AH$1, '6A'!$B$2:$B$531, "&gt;"&amp;$L$4, '6A'!$B$2:$B$531, "&lt;"&amp;$M$4)</f>
        <v>0</v>
      </c>
      <c r="AI7" s="3">
        <v>8.0</v>
      </c>
      <c r="AJ7" s="3">
        <v>3.0</v>
      </c>
      <c r="AK7" s="3">
        <v>1.0</v>
      </c>
      <c r="AL7" s="7" t="str">
        <f>IFERROR(__xludf.DUMMYFUNCTION("AVERAGE.WEIGHTED($N$1:$T$1, N7:T7)"),"#DIV/0!")</f>
        <v>#DIV/0!</v>
      </c>
      <c r="AM7" s="7" t="str">
        <f>IFERROR(__xludf.DUMMYFUNCTION("AVERAGE.WEIGHTED($U$1:$AA$1, U7:AA7)"),"#DIV/0!")</f>
        <v>#DIV/0!</v>
      </c>
      <c r="AN7" s="7" t="str">
        <f>IFERROR(__xludf.DUMMYFUNCTION("AVERAGE.WEIGHTED($AB$1:$AH$1, AB7:AH7)"),"#DIV/0!")</f>
        <v>#DIV/0!</v>
      </c>
      <c r="AO7" s="7" t="str">
        <f t="shared" ref="AO7:AQ7" si="28">(AL7-1)*100/6</f>
        <v>#DIV/0!</v>
      </c>
      <c r="AP7" s="7" t="str">
        <f t="shared" si="28"/>
        <v>#DIV/0!</v>
      </c>
      <c r="AQ7" s="7" t="str">
        <f t="shared" si="28"/>
        <v>#DIV/0!</v>
      </c>
      <c r="AR7" s="8" t="str">
        <f t="shared" ref="AR7:AT7" si="29">average($AO7:$AQ7)</f>
        <v>#DIV/0!</v>
      </c>
      <c r="AS7" s="8" t="str">
        <f t="shared" si="29"/>
        <v>#DIV/0!</v>
      </c>
      <c r="AT7" s="8" t="str">
        <f t="shared" si="29"/>
        <v>#DIV/0!</v>
      </c>
      <c r="AU7" s="8" t="str">
        <f t="shared" si="10"/>
        <v>#DIV/0!</v>
      </c>
      <c r="AV7" s="6">
        <f>countifs('6A'!$I$2:$I$531, AV$1, '6A'!$C$2:$C$531, "Karl")</f>
        <v>5</v>
      </c>
      <c r="AW7" s="6">
        <f>countifs('6A'!$I$2:$I$531, AW$1, '6A'!$C$2:$C$531, "Karl")</f>
        <v>0</v>
      </c>
      <c r="AX7" s="6">
        <f>countifs('6A'!$I$2:$I$531, AX$1, '6A'!$C$2:$C$531, "Karl")</f>
        <v>0</v>
      </c>
      <c r="AY7" s="6">
        <f>countifs('6A'!$I$2:$I$531, AY$1, '6A'!$C$2:$C$531, "Karl")</f>
        <v>0</v>
      </c>
      <c r="AZ7" s="6">
        <f>countifs('6A'!$I$2:$I$531, AZ$1, '6A'!$C$2:$C$531, "Karl")</f>
        <v>1</v>
      </c>
      <c r="BA7" s="6">
        <f>countifs('6A'!$I$2:$I$531, BA$1, '6A'!$C$2:$C$531, "Karl")</f>
        <v>0</v>
      </c>
      <c r="BB7" s="6">
        <f>countifs('6A'!$I$2:$I$531, BB$1, '6A'!$C$2:$C$531, "Karl")</f>
        <v>1</v>
      </c>
      <c r="BC7" s="6">
        <f>countifs('6A'!$I$2:$I$531, BC$1, '6A'!$C$2:$C$531, "Kona")</f>
        <v>9</v>
      </c>
      <c r="BD7" s="6">
        <f>countifs('6A'!$I$2:$I$531, BD$1, '6A'!$C$2:$C$531, "Kona")</f>
        <v>1</v>
      </c>
      <c r="BE7" s="6">
        <f>countifs('6A'!$I$2:$I$531, BE$1, '6A'!$C$2:$C$531, "Kona")</f>
        <v>2</v>
      </c>
      <c r="BF7" s="6">
        <f>countifs('6A'!$I$2:$I$531, BF$1, '6A'!$C$2:$C$531, "Kona")</f>
        <v>0</v>
      </c>
      <c r="BG7" s="6">
        <f>countifs('6A'!$I$2:$I$531, BG$1, '6A'!$C$2:$C$531, "Kona")</f>
        <v>1</v>
      </c>
      <c r="BH7" s="6">
        <f>countifs('6A'!$I$2:$I$531, BH$1, '6A'!$C$2:$C$531, "Kona")</f>
        <v>0</v>
      </c>
      <c r="BI7" s="6">
        <f>countifs('6A'!$I$2:$I$531, BI$1, '6A'!$C$2:$C$531, "Kona")</f>
        <v>1</v>
      </c>
      <c r="BJ7" s="9">
        <f t="shared" si="11"/>
        <v>7</v>
      </c>
      <c r="BK7" s="9">
        <f t="shared" si="12"/>
        <v>14</v>
      </c>
      <c r="BL7" s="7">
        <f>IFERROR(__xludf.DUMMYFUNCTION("AVERAGE.WEIGHTED($AV$1:$BB$1,AV7:BB7)"),2.4285714285714284)</f>
        <v>2.428571429</v>
      </c>
      <c r="BM7" s="7">
        <f>IFERROR(__xludf.DUMMYFUNCTION("AVERAGE.WEIGHTED($BC$1:$BI$1,BC7:BI7)"),2.0714285714285716)</f>
        <v>2.071428571</v>
      </c>
      <c r="BN7" s="7">
        <f t="shared" ref="BN7:BO7" si="30">(BL7-1)*100/6</f>
        <v>23.80952381</v>
      </c>
      <c r="BO7" s="7">
        <f t="shared" si="30"/>
        <v>17.85714286</v>
      </c>
      <c r="BP7" s="7">
        <f t="shared" si="14"/>
        <v>20.83333333</v>
      </c>
      <c r="BQ7" s="7">
        <f t="shared" si="15"/>
        <v>20.83333333</v>
      </c>
      <c r="BR7" s="8">
        <f t="shared" si="16"/>
        <v>0.3564561327</v>
      </c>
    </row>
    <row r="8">
      <c r="A8" s="3">
        <v>7.0</v>
      </c>
      <c r="B8" s="1" t="s">
        <v>9</v>
      </c>
      <c r="C8" s="6">
        <f>countif('6A'!$J$2:$J$531, C$1)</f>
        <v>15</v>
      </c>
      <c r="D8" s="6">
        <f>countif('6A'!$J$2:$J$531, D$1)</f>
        <v>1</v>
      </c>
      <c r="E8" s="6">
        <f>countif('6A'!$J$2:$J$531, E$1)</f>
        <v>0</v>
      </c>
      <c r="F8" s="6">
        <f>countif('6A'!$J$2:$J$531, F$1)</f>
        <v>1</v>
      </c>
      <c r="G8" s="6">
        <f>countif('6A'!$J$2:$J$531, G$1)</f>
        <v>1</v>
      </c>
      <c r="H8" s="6">
        <f>countif('6A'!$J$2:$J$531, H$1)</f>
        <v>2</v>
      </c>
      <c r="I8" s="6">
        <f>countif('6A'!$J$2:$J$531, I$1)</f>
        <v>1</v>
      </c>
      <c r="J8" s="6">
        <f t="shared" si="21"/>
        <v>21</v>
      </c>
      <c r="K8" s="7">
        <f t="shared" si="6"/>
        <v>2.142857143</v>
      </c>
      <c r="N8" s="6">
        <f>countifs('6A'!$J$2:$J$531, N$1, '6A'!$B$2:$B$531, "&gt;"&amp;$L$2, '6A'!$B$2:$B$531, "&lt;"&amp;$M$2)</f>
        <v>0</v>
      </c>
      <c r="O8" s="6">
        <f>countifs('6A'!$J$2:$J$531, O$1, '6A'!$B$2:$B$531, "&gt;"&amp;$L$2, '6A'!$B$2:$B$531, "&lt;"&amp;$M$2)</f>
        <v>0</v>
      </c>
      <c r="P8" s="6">
        <f>countifs('6A'!$J$2:$J$531, P$1, '6A'!$B$2:$B$531, "&gt;"&amp;$L$2, '6A'!$B$2:$B$531, "&lt;"&amp;$M$2)</f>
        <v>0</v>
      </c>
      <c r="Q8" s="6">
        <f>countifs('6A'!$J$2:$J$531, Q$1, '6A'!$B$2:$B$531, "&gt;"&amp;$L$2, '6A'!$B$2:$B$531, "&lt;"&amp;$M$2)</f>
        <v>0</v>
      </c>
      <c r="R8" s="6">
        <f>countifs('6A'!$J$2:$J$531, R$1, '6A'!$B$2:$B$531, "&gt;"&amp;$L$2, '6A'!$B$2:$B$531, "&lt;"&amp;$M$2)</f>
        <v>0</v>
      </c>
      <c r="S8" s="6">
        <f>countifs('6A'!$J$2:$J$531, S$1, '6A'!$B$2:$B$531, "&gt;"&amp;$L$2, '6A'!$B$2:$B$531, "&lt;"&amp;$M$2)</f>
        <v>0</v>
      </c>
      <c r="T8" s="6">
        <f>countifs('6A'!$J$2:$J$531, T$1, '6A'!$B$2:$B$531, "&gt;"&amp;$L$2, '6A'!$B$2:$B$531, "&lt;"&amp;$M$2)</f>
        <v>0</v>
      </c>
      <c r="U8" s="6">
        <f>countifs('6A'!$J$2:$J$531, U$1, '6A'!$B$2:$B$531, "&gt;"&amp;$L$3, '6A'!$B$2:$B$531, "&lt;"&amp;$M$3)</f>
        <v>0</v>
      </c>
      <c r="V8" s="6">
        <f>countifs('6A'!$J$2:$J$531, V$1, '6A'!$B$2:$B$531, "&gt;"&amp;$L$3, '6A'!$B$2:$B$531, "&lt;"&amp;$M$3)</f>
        <v>0</v>
      </c>
      <c r="W8" s="6">
        <f>countifs('6A'!$J$2:$J$531, W$1, '6A'!$B$2:$B$531, "&gt;"&amp;$L$3, '6A'!$B$2:$B$531, "&lt;"&amp;$M$3)</f>
        <v>0</v>
      </c>
      <c r="X8" s="6">
        <f>countifs('6A'!$J$2:$J$531, X$1, '6A'!$B$2:$B$531, "&gt;"&amp;$L$3, '6A'!$B$2:$B$531, "&lt;"&amp;$M$3)</f>
        <v>0</v>
      </c>
      <c r="Y8" s="6">
        <f>countifs('6A'!$J$2:$J$531, Y$1, '6A'!$B$2:$B$531, "&gt;"&amp;$L$3, '6A'!$B$2:$B$531, "&lt;"&amp;$M$3)</f>
        <v>0</v>
      </c>
      <c r="Z8" s="6">
        <f>countifs('6A'!$J$2:$J$531, Z$1, '6A'!$B$2:$B$531, "&gt;"&amp;$L$3, '6A'!$B$2:$B$531, "&lt;"&amp;$M$3)</f>
        <v>0</v>
      </c>
      <c r="AA8" s="6">
        <f>countifs('6A'!$J$2:$J$531, AA$1, '6A'!$B$2:$B$531, "&gt;"&amp;$L$3, '6A'!$B$2:$B$531, "&lt;"&amp;$M$3)</f>
        <v>0</v>
      </c>
      <c r="AB8" s="6">
        <f>countifs('6A'!$J$2:$J$531, AB$1, '6A'!$B$2:$B$531, "&gt;"&amp;$L$4, '6A'!$B$2:$B$531, "&lt;"&amp;$M$4)</f>
        <v>0</v>
      </c>
      <c r="AC8" s="6">
        <f>countifs('6A'!$J$2:$J$531, AC$1, '6A'!$B$2:$B$531, "&gt;"&amp;$L$4, '6A'!$B$2:$B$531, "&lt;"&amp;$M$4)</f>
        <v>0</v>
      </c>
      <c r="AD8" s="6">
        <f>countifs('6A'!$J$2:$J$531, AD$1, '6A'!$B$2:$B$531, "&gt;"&amp;$L$4, '6A'!$B$2:$B$531, "&lt;"&amp;$M$4)</f>
        <v>0</v>
      </c>
      <c r="AE8" s="6">
        <f>countifs('6A'!$J$2:$J$531, AE$1, '6A'!$B$2:$B$531, "&gt;"&amp;$L$4, '6A'!$B$2:$B$531, "&lt;"&amp;$M$4)</f>
        <v>0</v>
      </c>
      <c r="AF8" s="6">
        <f>countifs('6A'!$J$2:$J$531, AF$1, '6A'!$B$2:$B$531, "&gt;"&amp;$L$4, '6A'!$B$2:$B$531, "&lt;"&amp;$M$4)</f>
        <v>0</v>
      </c>
      <c r="AG8" s="6">
        <f>countifs('6A'!$J$2:$J$531, AG$1, '6A'!$B$2:$B$531, "&gt;"&amp;$L$4, '6A'!$B$2:$B$531, "&lt;"&amp;$M$4)</f>
        <v>0</v>
      </c>
      <c r="AH8" s="6">
        <f>countifs('6A'!$J$2:$J$531, AH$1, '6A'!$B$2:$B$531, "&gt;"&amp;$L$4, '6A'!$B$2:$B$531, "&lt;"&amp;$M$4)</f>
        <v>0</v>
      </c>
      <c r="AI8" s="3">
        <v>8.0</v>
      </c>
      <c r="AJ8" s="3">
        <v>3.0</v>
      </c>
      <c r="AK8" s="3">
        <v>1.0</v>
      </c>
      <c r="AL8" s="7" t="str">
        <f>IFERROR(__xludf.DUMMYFUNCTION("AVERAGE.WEIGHTED($N$1:$T$1, N8:T8)"),"#DIV/0!")</f>
        <v>#DIV/0!</v>
      </c>
      <c r="AM8" s="7" t="str">
        <f>IFERROR(__xludf.DUMMYFUNCTION("AVERAGE.WEIGHTED($U$1:$AA$1, U8:AA8)"),"#DIV/0!")</f>
        <v>#DIV/0!</v>
      </c>
      <c r="AN8" s="7" t="str">
        <f>IFERROR(__xludf.DUMMYFUNCTION("AVERAGE.WEIGHTED($AB$1:$AH$1, AB8:AH8)"),"#DIV/0!")</f>
        <v>#DIV/0!</v>
      </c>
      <c r="AO8" s="7" t="str">
        <f t="shared" ref="AO8:AQ8" si="31">(AL8-1)*100/6</f>
        <v>#DIV/0!</v>
      </c>
      <c r="AP8" s="7" t="str">
        <f t="shared" si="31"/>
        <v>#DIV/0!</v>
      </c>
      <c r="AQ8" s="7" t="str">
        <f t="shared" si="31"/>
        <v>#DIV/0!</v>
      </c>
      <c r="AR8" s="8" t="str">
        <f t="shared" ref="AR8:AT8" si="32">average($AO8:$AQ8)</f>
        <v>#DIV/0!</v>
      </c>
      <c r="AS8" s="8" t="str">
        <f t="shared" si="32"/>
        <v>#DIV/0!</v>
      </c>
      <c r="AT8" s="8" t="str">
        <f t="shared" si="32"/>
        <v>#DIV/0!</v>
      </c>
      <c r="AU8" s="8" t="str">
        <f t="shared" si="10"/>
        <v>#DIV/0!</v>
      </c>
      <c r="AV8" s="6">
        <f>countifs('6A'!$J$2:$J$531, AV$1, '6A'!$C$2:$C$531, "Karl")</f>
        <v>5</v>
      </c>
      <c r="AW8" s="6">
        <f>countifs('6A'!$J$2:$J$531, AW$1, '6A'!$C$2:$C$531, "Karl")</f>
        <v>0</v>
      </c>
      <c r="AX8" s="6">
        <f>countifs('6A'!$J$2:$J$531, AX$1, '6A'!$C$2:$C$531, "Karl")</f>
        <v>0</v>
      </c>
      <c r="AY8" s="6">
        <f>countifs('6A'!$J$2:$J$531, AY$1, '6A'!$C$2:$C$531, "Karl")</f>
        <v>0</v>
      </c>
      <c r="AZ8" s="6">
        <f>countifs('6A'!$J$2:$J$531, AZ$1, '6A'!$C$2:$C$531, "Karl")</f>
        <v>1</v>
      </c>
      <c r="BA8" s="6">
        <f>countifs('6A'!$J$2:$J$531, BA$1, '6A'!$C$2:$C$531, "Karl")</f>
        <v>0</v>
      </c>
      <c r="BB8" s="6">
        <f>countifs('6A'!$J$2:$J$531, BB$1, '6A'!$C$2:$C$531, "Karl")</f>
        <v>1</v>
      </c>
      <c r="BC8" s="6">
        <f>countifs('6A'!$J$2:$J$531, BC$1, '6A'!$C$2:$C$531, "Kona")</f>
        <v>10</v>
      </c>
      <c r="BD8" s="6">
        <f>countifs('6A'!$J$2:$J$531, BD$1, '6A'!$C$2:$C$531, "Kona")</f>
        <v>1</v>
      </c>
      <c r="BE8" s="6">
        <f>countifs('6A'!$J$2:$J$531, BE$1, '6A'!$C$2:$C$531, "Kona")</f>
        <v>0</v>
      </c>
      <c r="BF8" s="6">
        <f>countifs('6A'!$J$2:$J$531, BF$1, '6A'!$C$2:$C$531, "Kona")</f>
        <v>1</v>
      </c>
      <c r="BG8" s="6">
        <f>countifs('6A'!$J$2:$J$531, BG$1, '6A'!$C$2:$C$531, "Kona")</f>
        <v>0</v>
      </c>
      <c r="BH8" s="6">
        <f>countifs('6A'!$J$2:$J$531, BH$1, '6A'!$C$2:$C$531, "Kona")</f>
        <v>2</v>
      </c>
      <c r="BI8" s="6">
        <f>countifs('6A'!$J$2:$J$531, BI$1, '6A'!$C$2:$C$531, "Kona")</f>
        <v>0</v>
      </c>
      <c r="BJ8" s="9">
        <f t="shared" si="11"/>
        <v>7</v>
      </c>
      <c r="BK8" s="9">
        <f t="shared" si="12"/>
        <v>14</v>
      </c>
      <c r="BL8" s="7">
        <f>IFERROR(__xludf.DUMMYFUNCTION("AVERAGE.WEIGHTED($AV$1:$BB$1,AV8:BB8)"),2.4285714285714284)</f>
        <v>2.428571429</v>
      </c>
      <c r="BM8" s="7">
        <f>IFERROR(__xludf.DUMMYFUNCTION("AVERAGE.WEIGHTED($BC$1:$BI$1,BC8:BI8)"),2.0)</f>
        <v>2</v>
      </c>
      <c r="BN8" s="7">
        <f t="shared" ref="BN8:BO8" si="33">(BL8-1)*100/6</f>
        <v>23.80952381</v>
      </c>
      <c r="BO8" s="7">
        <f t="shared" si="33"/>
        <v>16.66666667</v>
      </c>
      <c r="BP8" s="7">
        <f t="shared" si="14"/>
        <v>20.23809524</v>
      </c>
      <c r="BQ8" s="7">
        <f t="shared" si="15"/>
        <v>20.23809524</v>
      </c>
      <c r="BR8" s="8">
        <f t="shared" si="16"/>
        <v>0.2615556737</v>
      </c>
    </row>
    <row r="9">
      <c r="A9" s="3">
        <v>8.0</v>
      </c>
      <c r="B9" s="1" t="s">
        <v>10</v>
      </c>
      <c r="C9" s="6">
        <f>countif('6A'!$K$2:$K$531, C$1)</f>
        <v>9</v>
      </c>
      <c r="D9" s="6">
        <f>countif('6A'!$K$2:$K$531, D$1)</f>
        <v>5</v>
      </c>
      <c r="E9" s="6">
        <f>countif('6A'!$K$2:$K$531, E$1)</f>
        <v>0</v>
      </c>
      <c r="F9" s="6">
        <f>countif('6A'!$K$2:$K$531, F$1)</f>
        <v>3</v>
      </c>
      <c r="G9" s="6">
        <f>countif('6A'!$K$2:$K$531, G$1)</f>
        <v>2</v>
      </c>
      <c r="H9" s="6">
        <f>countif('6A'!$K$2:$K$531, H$1)</f>
        <v>1</v>
      </c>
      <c r="I9" s="6">
        <f>countif('6A'!$K$2:$K$531, I$1)</f>
        <v>1</v>
      </c>
      <c r="J9" s="6">
        <f t="shared" si="21"/>
        <v>21</v>
      </c>
      <c r="K9" s="7">
        <f t="shared" si="6"/>
        <v>2.571428571</v>
      </c>
      <c r="N9" s="6">
        <f>countifs('6A'!$K$2:$K$531, N$1, '6A'!$B$2:$B$531, "&gt;"&amp;$L$2, '6A'!$B$2:$B$531, "&lt;"&amp;$M$2)</f>
        <v>0</v>
      </c>
      <c r="O9" s="6">
        <f>countifs('6A'!$K$2:$K$531, O$1, '6A'!$B$2:$B$531, "&gt;"&amp;$L$2, '6A'!$B$2:$B$531, "&lt;"&amp;$M$2)</f>
        <v>0</v>
      </c>
      <c r="P9" s="6">
        <f>countifs('6A'!$K$2:$K$531, P$1, '6A'!$B$2:$B$531, "&gt;"&amp;$L$2, '6A'!$B$2:$B$531, "&lt;"&amp;$M$2)</f>
        <v>0</v>
      </c>
      <c r="Q9" s="6">
        <f>countifs('6A'!$K$2:$K$531, Q$1, '6A'!$B$2:$B$531, "&gt;"&amp;$L$2, '6A'!$B$2:$B$531, "&lt;"&amp;$M$2)</f>
        <v>0</v>
      </c>
      <c r="R9" s="6">
        <f>countifs('6A'!$K$2:$K$531, R$1, '6A'!$B$2:$B$531, "&gt;"&amp;$L$2, '6A'!$B$2:$B$531, "&lt;"&amp;$M$2)</f>
        <v>0</v>
      </c>
      <c r="S9" s="6">
        <f>countifs('6A'!$K$2:$K$531, S$1, '6A'!$B$2:$B$531, "&gt;"&amp;$L$2, '6A'!$B$2:$B$531, "&lt;"&amp;$M$2)</f>
        <v>0</v>
      </c>
      <c r="T9" s="6">
        <f>countifs('6A'!$K$2:$K$531, T$1, '6A'!$B$2:$B$531, "&gt;"&amp;$L$2, '6A'!$B$2:$B$531, "&lt;"&amp;$M$2)</f>
        <v>0</v>
      </c>
      <c r="U9" s="6">
        <f>countifs('6A'!$K$2:$K$531, U$1, '6A'!$B$2:$B$531, "&gt;"&amp;$L$3, '6A'!$B$2:$B$531, "&lt;"&amp;$M$3)</f>
        <v>0</v>
      </c>
      <c r="V9" s="6">
        <f>countifs('6A'!$K$2:$K$531, V$1, '6A'!$B$2:$B$531, "&gt;"&amp;$L$3, '6A'!$B$2:$B$531, "&lt;"&amp;$M$3)</f>
        <v>0</v>
      </c>
      <c r="W9" s="6">
        <f>countifs('6A'!$K$2:$K$531, W$1, '6A'!$B$2:$B$531, "&gt;"&amp;$L$3, '6A'!$B$2:$B$531, "&lt;"&amp;$M$3)</f>
        <v>0</v>
      </c>
      <c r="X9" s="6">
        <f>countifs('6A'!$K$2:$K$531, X$1, '6A'!$B$2:$B$531, "&gt;"&amp;$L$3, '6A'!$B$2:$B$531, "&lt;"&amp;$M$3)</f>
        <v>0</v>
      </c>
      <c r="Y9" s="6">
        <f>countifs('6A'!$K$2:$K$531, Y$1, '6A'!$B$2:$B$531, "&gt;"&amp;$L$3, '6A'!$B$2:$B$531, "&lt;"&amp;$M$3)</f>
        <v>0</v>
      </c>
      <c r="Z9" s="6">
        <f>countifs('6A'!$K$2:$K$531, Z$1, '6A'!$B$2:$B$531, "&gt;"&amp;$L$3, '6A'!$B$2:$B$531, "&lt;"&amp;$M$3)</f>
        <v>0</v>
      </c>
      <c r="AA9" s="6">
        <f>countifs('6A'!$K$2:$K$531, AA$1, '6A'!$B$2:$B$531, "&gt;"&amp;$L$3, '6A'!$B$2:$B$531, "&lt;"&amp;$M$3)</f>
        <v>0</v>
      </c>
      <c r="AB9" s="6">
        <f>countifs('6A'!$K$2:$K$531, AB$1, '6A'!$B$2:$B$531, "&gt;"&amp;$L$4, '6A'!$B$2:$B$531, "&lt;"&amp;$M$4)</f>
        <v>0</v>
      </c>
      <c r="AC9" s="6">
        <f>countifs('6A'!$K$2:$K$531, AC$1, '6A'!$B$2:$B$531, "&gt;"&amp;$L$4, '6A'!$B$2:$B$531, "&lt;"&amp;$M$4)</f>
        <v>0</v>
      </c>
      <c r="AD9" s="6">
        <f>countifs('6A'!$K$2:$K$531, AD$1, '6A'!$B$2:$B$531, "&gt;"&amp;$L$4, '6A'!$B$2:$B$531, "&lt;"&amp;$M$4)</f>
        <v>0</v>
      </c>
      <c r="AE9" s="6">
        <f>countifs('6A'!$K$2:$K$531, AE$1, '6A'!$B$2:$B$531, "&gt;"&amp;$L$4, '6A'!$B$2:$B$531, "&lt;"&amp;$M$4)</f>
        <v>0</v>
      </c>
      <c r="AF9" s="6">
        <f>countifs('6A'!$K$2:$K$531, AF$1, '6A'!$B$2:$B$531, "&gt;"&amp;$L$4, '6A'!$B$2:$B$531, "&lt;"&amp;$M$4)</f>
        <v>0</v>
      </c>
      <c r="AG9" s="6">
        <f>countifs('6A'!$K$2:$K$531, AG$1, '6A'!$B$2:$B$531, "&gt;"&amp;$L$4, '6A'!$B$2:$B$531, "&lt;"&amp;$M$4)</f>
        <v>0</v>
      </c>
      <c r="AH9" s="6">
        <f>countifs('6A'!$K$2:$K$531, AH$1, '6A'!$B$2:$B$531, "&gt;"&amp;$L$4, '6A'!$B$2:$B$531, "&lt;"&amp;$M$4)</f>
        <v>0</v>
      </c>
      <c r="AI9" s="3">
        <v>8.0</v>
      </c>
      <c r="AJ9" s="3">
        <v>3.0</v>
      </c>
      <c r="AK9" s="3">
        <v>1.0</v>
      </c>
      <c r="AL9" s="7" t="str">
        <f>IFERROR(__xludf.DUMMYFUNCTION("AVERAGE.WEIGHTED($N$1:$T$1, N9:T9)"),"#DIV/0!")</f>
        <v>#DIV/0!</v>
      </c>
      <c r="AM9" s="7" t="str">
        <f>IFERROR(__xludf.DUMMYFUNCTION("AVERAGE.WEIGHTED($U$1:$AA$1, U9:AA9)"),"#DIV/0!")</f>
        <v>#DIV/0!</v>
      </c>
      <c r="AN9" s="7" t="str">
        <f>IFERROR(__xludf.DUMMYFUNCTION("AVERAGE.WEIGHTED($AB$1:$AH$1, AB9:AH9)"),"#DIV/0!")</f>
        <v>#DIV/0!</v>
      </c>
      <c r="AO9" s="7" t="str">
        <f t="shared" ref="AO9:AQ9" si="34">(AL9-1)*100/6</f>
        <v>#DIV/0!</v>
      </c>
      <c r="AP9" s="7" t="str">
        <f t="shared" si="34"/>
        <v>#DIV/0!</v>
      </c>
      <c r="AQ9" s="7" t="str">
        <f t="shared" si="34"/>
        <v>#DIV/0!</v>
      </c>
      <c r="AR9" s="8" t="str">
        <f t="shared" ref="AR9:AT9" si="35">average($AO9:$AQ9)</f>
        <v>#DIV/0!</v>
      </c>
      <c r="AS9" s="8" t="str">
        <f t="shared" si="35"/>
        <v>#DIV/0!</v>
      </c>
      <c r="AT9" s="8" t="str">
        <f t="shared" si="35"/>
        <v>#DIV/0!</v>
      </c>
      <c r="AU9" s="8" t="str">
        <f t="shared" si="10"/>
        <v>#DIV/0!</v>
      </c>
      <c r="AV9" s="6">
        <f>countifs('6A'!$K$2:$K$531, AV$1, '6A'!$C$2:$C$531, "Karl")</f>
        <v>3</v>
      </c>
      <c r="AW9" s="6">
        <f>countifs('6A'!$K$2:$K$531, AW$1, '6A'!$C$2:$C$531, "Karl")</f>
        <v>2</v>
      </c>
      <c r="AX9" s="6">
        <f>countifs('6A'!$K$2:$K$531, AX$1, '6A'!$C$2:$C$531, "Karl")</f>
        <v>0</v>
      </c>
      <c r="AY9" s="6">
        <f>countifs('6A'!$K$2:$K$531, AY$1, '6A'!$C$2:$C$531, "Karl")</f>
        <v>2</v>
      </c>
      <c r="AZ9" s="6">
        <f>countifs('6A'!$K$2:$K$531, AZ$1, '6A'!$C$2:$C$531, "Karl")</f>
        <v>0</v>
      </c>
      <c r="BA9" s="6">
        <f>countifs('6A'!$K$2:$K$531, BA$1, '6A'!$C$2:$C$531, "Karl")</f>
        <v>0</v>
      </c>
      <c r="BB9" s="6">
        <f>countifs('6A'!$K$2:$K$531, BB$1, '6A'!$C$2:$C$531, "Karl")</f>
        <v>0</v>
      </c>
      <c r="BC9" s="6">
        <f>countifs('6A'!$K$2:$K$531, BC$1, '6A'!$C$2:$C$531, "Kona")</f>
        <v>6</v>
      </c>
      <c r="BD9" s="6">
        <f>countifs('6A'!$K$2:$K$531, BD$1, '6A'!$C$2:$C$531, "Kona")</f>
        <v>3</v>
      </c>
      <c r="BE9" s="6">
        <f>countifs('6A'!$K$2:$K$531, BE$1, '6A'!$C$2:$C$531, "Kona")</f>
        <v>0</v>
      </c>
      <c r="BF9" s="6">
        <f>countifs('6A'!$K$2:$K$531, BF$1, '6A'!$C$2:$C$531, "Kona")</f>
        <v>1</v>
      </c>
      <c r="BG9" s="6">
        <f>countifs('6A'!$K$2:$K$531, BG$1, '6A'!$C$2:$C$531, "Kona")</f>
        <v>2</v>
      </c>
      <c r="BH9" s="6">
        <f>countifs('6A'!$K$2:$K$531, BH$1, '6A'!$C$2:$C$531, "Kona")</f>
        <v>1</v>
      </c>
      <c r="BI9" s="6">
        <f>countifs('6A'!$K$2:$K$531, BI$1, '6A'!$C$2:$C$531, "Kona")</f>
        <v>1</v>
      </c>
      <c r="BJ9" s="9">
        <f t="shared" si="11"/>
        <v>7</v>
      </c>
      <c r="BK9" s="9">
        <f t="shared" si="12"/>
        <v>14</v>
      </c>
      <c r="BL9" s="7">
        <f>IFERROR(__xludf.DUMMYFUNCTION("AVERAGE.WEIGHTED($AV$1:$BB$1,AV9:BB9)"),2.142857142857143)</f>
        <v>2.142857143</v>
      </c>
      <c r="BM9" s="7">
        <f>IFERROR(__xludf.DUMMYFUNCTION("AVERAGE.WEIGHTED($BC$1:$BI$1,BC9:BI9)"),2.785714285714286)</f>
        <v>2.785714286</v>
      </c>
      <c r="BN9" s="7">
        <f t="shared" ref="BN9:BO9" si="36">(BL9-1)*100/6</f>
        <v>19.04761905</v>
      </c>
      <c r="BO9" s="7">
        <f t="shared" si="36"/>
        <v>29.76190476</v>
      </c>
      <c r="BP9" s="7">
        <f t="shared" si="14"/>
        <v>24.4047619</v>
      </c>
      <c r="BQ9" s="7">
        <f t="shared" si="15"/>
        <v>24.4047619</v>
      </c>
      <c r="BR9" s="8">
        <f t="shared" si="16"/>
        <v>0.1251290983</v>
      </c>
    </row>
    <row r="10">
      <c r="A10" s="3">
        <v>9.0</v>
      </c>
      <c r="B10" s="1" t="s">
        <v>11</v>
      </c>
      <c r="C10" s="6">
        <f>countif('6A'!$L$2:$L$531, C$1)</f>
        <v>0</v>
      </c>
      <c r="D10" s="6">
        <f>countif('6A'!$L$2:$L$531, D$1)</f>
        <v>0</v>
      </c>
      <c r="E10" s="6">
        <f>countif('6A'!$L$2:$L$531, E$1)</f>
        <v>1</v>
      </c>
      <c r="F10" s="6">
        <f>countif('6A'!$L$2:$L$531, F$1)</f>
        <v>2</v>
      </c>
      <c r="G10" s="6">
        <f>countif('6A'!$L$2:$L$531, G$1)</f>
        <v>1</v>
      </c>
      <c r="H10" s="6">
        <f>countif('6A'!$L$2:$L$531, H$1)</f>
        <v>5</v>
      </c>
      <c r="I10" s="6">
        <f>countif('6A'!$L$2:$L$531, I$1)</f>
        <v>12</v>
      </c>
      <c r="J10" s="6">
        <f t="shared" si="21"/>
        <v>21</v>
      </c>
      <c r="K10" s="7">
        <f t="shared" si="6"/>
        <v>6.19047619</v>
      </c>
      <c r="N10" s="6">
        <f>countifs('6A'!$L$2:$L$531, N$1, '6A'!$B$2:$B$531, "&gt;"&amp;$L$2, '6A'!$B$2:$B$531, "&lt;"&amp;$M$2)</f>
        <v>0</v>
      </c>
      <c r="O10" s="6">
        <f>countifs('6A'!$L$2:$L$531, O$1, '6A'!$B$2:$B$531, "&gt;"&amp;$L$2, '6A'!$B$2:$B$531, "&lt;"&amp;$M$2)</f>
        <v>0</v>
      </c>
      <c r="P10" s="6">
        <f>countifs('6A'!$L$2:$L$531, P$1, '6A'!$B$2:$B$531, "&gt;"&amp;$L$2, '6A'!$B$2:$B$531, "&lt;"&amp;$M$2)</f>
        <v>0</v>
      </c>
      <c r="Q10" s="6">
        <f>countifs('6A'!$L$2:$L$531, Q$1, '6A'!$B$2:$B$531, "&gt;"&amp;$L$2, '6A'!$B$2:$B$531, "&lt;"&amp;$M$2)</f>
        <v>0</v>
      </c>
      <c r="R10" s="6">
        <f>countifs('6A'!$L$2:$L$531, R$1, '6A'!$B$2:$B$531, "&gt;"&amp;$L$2, '6A'!$B$2:$B$531, "&lt;"&amp;$M$2)</f>
        <v>0</v>
      </c>
      <c r="S10" s="6">
        <f>countifs('6A'!$L$2:$L$531, S$1, '6A'!$B$2:$B$531, "&gt;"&amp;$L$2, '6A'!$B$2:$B$531, "&lt;"&amp;$M$2)</f>
        <v>0</v>
      </c>
      <c r="T10" s="6">
        <f>countifs('6A'!$L$2:$L$531, T$1, '6A'!$B$2:$B$531, "&gt;"&amp;$L$2, '6A'!$B$2:$B$531, "&lt;"&amp;$M$2)</f>
        <v>0</v>
      </c>
      <c r="U10" s="6">
        <f>countifs('6A'!$L$2:$L$531, U$1, '6A'!$B$2:$B$531, "&gt;"&amp;$L$3, '6A'!$B$2:$B$531, "&lt;"&amp;$M$3)</f>
        <v>0</v>
      </c>
      <c r="V10" s="6">
        <f>countifs('6A'!$L$2:$L$531, V$1, '6A'!$B$2:$B$531, "&gt;"&amp;$L$3, '6A'!$B$2:$B$531, "&lt;"&amp;$M$3)</f>
        <v>0</v>
      </c>
      <c r="W10" s="6">
        <f>countifs('6A'!$L$2:$L$531, W$1, '6A'!$B$2:$B$531, "&gt;"&amp;$L$3, '6A'!$B$2:$B$531, "&lt;"&amp;$M$3)</f>
        <v>0</v>
      </c>
      <c r="X10" s="6">
        <f>countifs('6A'!$L$2:$L$531, X$1, '6A'!$B$2:$B$531, "&gt;"&amp;$L$3, '6A'!$B$2:$B$531, "&lt;"&amp;$M$3)</f>
        <v>0</v>
      </c>
      <c r="Y10" s="6">
        <f>countifs('6A'!$L$2:$L$531, Y$1, '6A'!$B$2:$B$531, "&gt;"&amp;$L$3, '6A'!$B$2:$B$531, "&lt;"&amp;$M$3)</f>
        <v>0</v>
      </c>
      <c r="Z10" s="6">
        <f>countifs('6A'!$L$2:$L$531, Z$1, '6A'!$B$2:$B$531, "&gt;"&amp;$L$3, '6A'!$B$2:$B$531, "&lt;"&amp;$M$3)</f>
        <v>0</v>
      </c>
      <c r="AA10" s="6">
        <f>countifs('6A'!$L$2:$L$531, AA$1, '6A'!$B$2:$B$531, "&gt;"&amp;$L$3, '6A'!$B$2:$B$531, "&lt;"&amp;$M$3)</f>
        <v>0</v>
      </c>
      <c r="AB10" s="6">
        <f>countifs('6A'!$L$2:$L$531, AB$1, '6A'!$B$2:$B$531, "&gt;"&amp;$L$4, '6A'!$B$2:$B$531, "&lt;"&amp;$M$4)</f>
        <v>0</v>
      </c>
      <c r="AC10" s="6">
        <f>countifs('6A'!$L$2:$L$531, AC$1, '6A'!$B$2:$B$531, "&gt;"&amp;$L$4, '6A'!$B$2:$B$531, "&lt;"&amp;$M$4)</f>
        <v>0</v>
      </c>
      <c r="AD10" s="6">
        <f>countifs('6A'!$L$2:$L$531, AD$1, '6A'!$B$2:$B$531, "&gt;"&amp;$L$4, '6A'!$B$2:$B$531, "&lt;"&amp;$M$4)</f>
        <v>0</v>
      </c>
      <c r="AE10" s="6">
        <f>countifs('6A'!$L$2:$L$531, AE$1, '6A'!$B$2:$B$531, "&gt;"&amp;$L$4, '6A'!$B$2:$B$531, "&lt;"&amp;$M$4)</f>
        <v>0</v>
      </c>
      <c r="AF10" s="6">
        <f>countifs('6A'!$L$2:$L$531, AF$1, '6A'!$B$2:$B$531, "&gt;"&amp;$L$4, '6A'!$B$2:$B$531, "&lt;"&amp;$M$4)</f>
        <v>0</v>
      </c>
      <c r="AG10" s="6">
        <f>countifs('6A'!$L$2:$L$531, AG$1, '6A'!$B$2:$B$531, "&gt;"&amp;$L$4, '6A'!$B$2:$B$531, "&lt;"&amp;$M$4)</f>
        <v>0</v>
      </c>
      <c r="AH10" s="6">
        <f>countifs('6A'!$L$2:$L$531, AH$1, '6A'!$B$2:$B$531, "&gt;"&amp;$L$4, '6A'!$B$2:$B$531, "&lt;"&amp;$M$4)</f>
        <v>0</v>
      </c>
      <c r="AI10" s="3">
        <v>8.0</v>
      </c>
      <c r="AJ10" s="3">
        <v>3.0</v>
      </c>
      <c r="AK10" s="3">
        <v>1.0</v>
      </c>
      <c r="AL10" s="7" t="str">
        <f>IFERROR(__xludf.DUMMYFUNCTION("AVERAGE.WEIGHTED($N$1:$T$1, N10:T10)"),"#DIV/0!")</f>
        <v>#DIV/0!</v>
      </c>
      <c r="AM10" s="7" t="str">
        <f>IFERROR(__xludf.DUMMYFUNCTION("AVERAGE.WEIGHTED($U$1:$AA$1, U10:AA10)"),"#DIV/0!")</f>
        <v>#DIV/0!</v>
      </c>
      <c r="AN10" s="7" t="str">
        <f>IFERROR(__xludf.DUMMYFUNCTION("AVERAGE.WEIGHTED($AB$1:$AH$1, AB10:AH10)"),"#DIV/0!")</f>
        <v>#DIV/0!</v>
      </c>
      <c r="AO10" s="7" t="str">
        <f t="shared" ref="AO10:AQ10" si="37">(AL10-1)*100/6</f>
        <v>#DIV/0!</v>
      </c>
      <c r="AP10" s="7" t="str">
        <f t="shared" si="37"/>
        <v>#DIV/0!</v>
      </c>
      <c r="AQ10" s="7" t="str">
        <f t="shared" si="37"/>
        <v>#DIV/0!</v>
      </c>
      <c r="AR10" s="8" t="str">
        <f t="shared" ref="AR10:AT10" si="38">average($AO10:$AQ10)</f>
        <v>#DIV/0!</v>
      </c>
      <c r="AS10" s="8" t="str">
        <f t="shared" si="38"/>
        <v>#DIV/0!</v>
      </c>
      <c r="AT10" s="8" t="str">
        <f t="shared" si="38"/>
        <v>#DIV/0!</v>
      </c>
      <c r="AU10" s="8" t="str">
        <f t="shared" si="10"/>
        <v>#DIV/0!</v>
      </c>
      <c r="AV10" s="6">
        <f>countifs('6A'!$L$2:$L$531, AV$1, '6A'!$C$2:$C$531, "Karl")</f>
        <v>0</v>
      </c>
      <c r="AW10" s="6">
        <f>countifs('6A'!$L$2:$L$531, AW$1, '6A'!$C$2:$C$531, "Karl")</f>
        <v>0</v>
      </c>
      <c r="AX10" s="6">
        <f>countifs('6A'!$L$2:$L$531, AX$1, '6A'!$C$2:$C$531, "Karl")</f>
        <v>1</v>
      </c>
      <c r="AY10" s="6">
        <f>countifs('6A'!$L$2:$L$531, AY$1, '6A'!$C$2:$C$531, "Karl")</f>
        <v>0</v>
      </c>
      <c r="AZ10" s="6">
        <f>countifs('6A'!$L$2:$L$531, AZ$1, '6A'!$C$2:$C$531, "Karl")</f>
        <v>1</v>
      </c>
      <c r="BA10" s="6">
        <f>countifs('6A'!$L$2:$L$531, BA$1, '6A'!$C$2:$C$531, "Karl")</f>
        <v>1</v>
      </c>
      <c r="BB10" s="6">
        <f>countifs('6A'!$L$2:$L$531, BB$1, '6A'!$C$2:$C$531, "Karl")</f>
        <v>4</v>
      </c>
      <c r="BC10" s="6">
        <f>countifs('6A'!$L$2:$L$531, BC$1, '6A'!$C$2:$C$531, "Kona")</f>
        <v>0</v>
      </c>
      <c r="BD10" s="6">
        <f>countifs('6A'!$L$2:$L$531, BD$1, '6A'!$C$2:$C$531, "Kona")</f>
        <v>0</v>
      </c>
      <c r="BE10" s="6">
        <f>countifs('6A'!$L$2:$L$531, BE$1, '6A'!$C$2:$C$531, "Kona")</f>
        <v>0</v>
      </c>
      <c r="BF10" s="6">
        <f>countifs('6A'!$L$2:$L$531, BF$1, '6A'!$C$2:$C$531, "Kona")</f>
        <v>2</v>
      </c>
      <c r="BG10" s="6">
        <f>countifs('6A'!$L$2:$L$531, BG$1, '6A'!$C$2:$C$531, "Kona")</f>
        <v>0</v>
      </c>
      <c r="BH10" s="6">
        <f>countifs('6A'!$L$2:$L$531, BH$1, '6A'!$C$2:$C$531, "Kona")</f>
        <v>4</v>
      </c>
      <c r="BI10" s="6">
        <f>countifs('6A'!$L$2:$L$531, BI$1, '6A'!$C$2:$C$531, "Kona")</f>
        <v>8</v>
      </c>
      <c r="BJ10" s="9">
        <f t="shared" si="11"/>
        <v>7</v>
      </c>
      <c r="BK10" s="9">
        <f t="shared" si="12"/>
        <v>14</v>
      </c>
      <c r="BL10" s="7">
        <f>IFERROR(__xludf.DUMMYFUNCTION("AVERAGE.WEIGHTED($AV$1:$BB$1,AV10:BB10)"),6.0)</f>
        <v>6</v>
      </c>
      <c r="BM10" s="7">
        <f>IFERROR(__xludf.DUMMYFUNCTION("AVERAGE.WEIGHTED($BC$1:$BI$1,BC10:BI10)"),6.285714285714286)</f>
        <v>6.285714286</v>
      </c>
      <c r="BN10" s="7">
        <f t="shared" ref="BN10:BO10" si="39">(BL10-1)*100/6</f>
        <v>83.33333333</v>
      </c>
      <c r="BO10" s="7">
        <f t="shared" si="39"/>
        <v>88.0952381</v>
      </c>
      <c r="BP10" s="7">
        <f t="shared" si="14"/>
        <v>85.71428571</v>
      </c>
      <c r="BQ10" s="7">
        <f t="shared" si="15"/>
        <v>85.71428571</v>
      </c>
      <c r="BR10" s="8">
        <f t="shared" si="16"/>
        <v>0.7160846694</v>
      </c>
    </row>
    <row r="11">
      <c r="A11" s="3">
        <v>10.0</v>
      </c>
      <c r="B11" s="1" t="s">
        <v>12</v>
      </c>
      <c r="C11" s="6">
        <f>countif('6A'!$M$2:$M$531, C$1)</f>
        <v>18</v>
      </c>
      <c r="D11" s="6">
        <f>countif('6A'!$M$2:$M$531, D$1)</f>
        <v>3</v>
      </c>
      <c r="E11" s="6">
        <f>countif('6A'!$M$2:$M$531, E$1)</f>
        <v>0</v>
      </c>
      <c r="F11" s="6">
        <f>countif('6A'!$M$2:$M$531, F$1)</f>
        <v>0</v>
      </c>
      <c r="G11" s="6">
        <f>countif('6A'!$M$2:$M$531, G$1)</f>
        <v>0</v>
      </c>
      <c r="H11" s="6">
        <f>countif('6A'!$M$2:$M$531, H$1)</f>
        <v>0</v>
      </c>
      <c r="I11" s="6">
        <f>countif('6A'!$M$2:$M$531, I$1)</f>
        <v>0</v>
      </c>
      <c r="J11" s="6">
        <f t="shared" si="21"/>
        <v>21</v>
      </c>
      <c r="K11" s="7">
        <f t="shared" si="6"/>
        <v>1.142857143</v>
      </c>
      <c r="N11" s="6">
        <f>countifs('6A'!$M$2:$M$531, N$1, '6A'!$B$2:$B$531, "&gt;"&amp;$L$2, '6A'!$B$2:$B$531, "&lt;"&amp;$M$2)</f>
        <v>0</v>
      </c>
      <c r="O11" s="6">
        <f>countifs('6A'!$M$2:$M$531, O$1, '6A'!$B$2:$B$531, "&gt;"&amp;$L$2, '6A'!$B$2:$B$531, "&lt;"&amp;$M$2)</f>
        <v>0</v>
      </c>
      <c r="P11" s="6">
        <f>countifs('6A'!$M$2:$M$531, P$1, '6A'!$B$2:$B$531, "&gt;"&amp;$L$2, '6A'!$B$2:$B$531, "&lt;"&amp;$M$2)</f>
        <v>0</v>
      </c>
      <c r="Q11" s="6">
        <f>countifs('6A'!$M$2:$M$531, Q$1, '6A'!$B$2:$B$531, "&gt;"&amp;$L$2, '6A'!$B$2:$B$531, "&lt;"&amp;$M$2)</f>
        <v>0</v>
      </c>
      <c r="R11" s="6">
        <f>countifs('6A'!$M$2:$M$531, R$1, '6A'!$B$2:$B$531, "&gt;"&amp;$L$2, '6A'!$B$2:$B$531, "&lt;"&amp;$M$2)</f>
        <v>0</v>
      </c>
      <c r="S11" s="6">
        <f>countifs('6A'!$M$2:$M$531, S$1, '6A'!$B$2:$B$531, "&gt;"&amp;$L$2, '6A'!$B$2:$B$531, "&lt;"&amp;$M$2)</f>
        <v>0</v>
      </c>
      <c r="T11" s="6">
        <f>countifs('6A'!$M$2:$M$531, T$1, '6A'!$B$2:$B$531, "&gt;"&amp;$L$2, '6A'!$B$2:$B$531, "&lt;"&amp;$M$2)</f>
        <v>0</v>
      </c>
      <c r="U11" s="6">
        <f>countifs('6A'!$M$2:$M$531, U$1, '6A'!$B$2:$B$531, "&gt;"&amp;$L$3, '6A'!$B$2:$B$531, "&lt;"&amp;$M$3)</f>
        <v>0</v>
      </c>
      <c r="V11" s="6">
        <f>countifs('6A'!$M$2:$M$531, V$1, '6A'!$B$2:$B$531, "&gt;"&amp;$L$3, '6A'!$B$2:$B$531, "&lt;"&amp;$M$3)</f>
        <v>0</v>
      </c>
      <c r="W11" s="6">
        <f>countifs('6A'!$M$2:$M$531, W$1, '6A'!$B$2:$B$531, "&gt;"&amp;$L$3, '6A'!$B$2:$B$531, "&lt;"&amp;$M$3)</f>
        <v>0</v>
      </c>
      <c r="X11" s="6">
        <f>countifs('6A'!$M$2:$M$531, X$1, '6A'!$B$2:$B$531, "&gt;"&amp;$L$3, '6A'!$B$2:$B$531, "&lt;"&amp;$M$3)</f>
        <v>0</v>
      </c>
      <c r="Y11" s="6">
        <f>countifs('6A'!$M$2:$M$531, Y$1, '6A'!$B$2:$B$531, "&gt;"&amp;$L$3, '6A'!$B$2:$B$531, "&lt;"&amp;$M$3)</f>
        <v>0</v>
      </c>
      <c r="Z11" s="6">
        <f>countifs('6A'!$M$2:$M$531, Z$1, '6A'!$B$2:$B$531, "&gt;"&amp;$L$3, '6A'!$B$2:$B$531, "&lt;"&amp;$M$3)</f>
        <v>0</v>
      </c>
      <c r="AA11" s="6">
        <f>countifs('6A'!$M$2:$M$531, AA$1, '6A'!$B$2:$B$531, "&gt;"&amp;$L$3, '6A'!$B$2:$B$531, "&lt;"&amp;$M$3)</f>
        <v>0</v>
      </c>
      <c r="AB11" s="6">
        <f>countifs('6A'!$M$2:$M$531, AB$1, '6A'!$B$2:$B$531, "&gt;"&amp;$L$4, '6A'!$B$2:$B$531, "&lt;"&amp;$M$4)</f>
        <v>0</v>
      </c>
      <c r="AC11" s="6">
        <f>countifs('6A'!$M$2:$M$531, AC$1, '6A'!$B$2:$B$531, "&gt;"&amp;$L$4, '6A'!$B$2:$B$531, "&lt;"&amp;$M$4)</f>
        <v>0</v>
      </c>
      <c r="AD11" s="6">
        <f>countifs('6A'!$M$2:$M$531, AD$1, '6A'!$B$2:$B$531, "&gt;"&amp;$L$4, '6A'!$B$2:$B$531, "&lt;"&amp;$M$4)</f>
        <v>0</v>
      </c>
      <c r="AE11" s="6">
        <f>countifs('6A'!$M$2:$M$531, AE$1, '6A'!$B$2:$B$531, "&gt;"&amp;$L$4, '6A'!$B$2:$B$531, "&lt;"&amp;$M$4)</f>
        <v>0</v>
      </c>
      <c r="AF11" s="6">
        <f>countifs('6A'!$M$2:$M$531, AF$1, '6A'!$B$2:$B$531, "&gt;"&amp;$L$4, '6A'!$B$2:$B$531, "&lt;"&amp;$M$4)</f>
        <v>0</v>
      </c>
      <c r="AG11" s="6">
        <f>countifs('6A'!$M$2:$M$531, AG$1, '6A'!$B$2:$B$531, "&gt;"&amp;$L$4, '6A'!$B$2:$B$531, "&lt;"&amp;$M$4)</f>
        <v>0</v>
      </c>
      <c r="AH11" s="6">
        <f>countifs('6A'!$M$2:$M$531, AH$1, '6A'!$B$2:$B$531, "&gt;"&amp;$L$4, '6A'!$B$2:$B$531, "&lt;"&amp;$M$4)</f>
        <v>0</v>
      </c>
      <c r="AI11" s="3">
        <v>8.0</v>
      </c>
      <c r="AJ11" s="3">
        <v>3.0</v>
      </c>
      <c r="AK11" s="3">
        <v>1.0</v>
      </c>
      <c r="AL11" s="7" t="str">
        <f>IFERROR(__xludf.DUMMYFUNCTION("AVERAGE.WEIGHTED($N$1:$T$1, N11:T11)"),"#DIV/0!")</f>
        <v>#DIV/0!</v>
      </c>
      <c r="AM11" s="7" t="str">
        <f>IFERROR(__xludf.DUMMYFUNCTION("AVERAGE.WEIGHTED($U$1:$AA$1, U11:AA11)"),"#DIV/0!")</f>
        <v>#DIV/0!</v>
      </c>
      <c r="AN11" s="7" t="str">
        <f>IFERROR(__xludf.DUMMYFUNCTION("AVERAGE.WEIGHTED($AB$1:$AH$1, AB11:AH11)"),"#DIV/0!")</f>
        <v>#DIV/0!</v>
      </c>
      <c r="AO11" s="7" t="str">
        <f t="shared" ref="AO11:AQ11" si="40">(AL11-1)*100/6</f>
        <v>#DIV/0!</v>
      </c>
      <c r="AP11" s="7" t="str">
        <f t="shared" si="40"/>
        <v>#DIV/0!</v>
      </c>
      <c r="AQ11" s="7" t="str">
        <f t="shared" si="40"/>
        <v>#DIV/0!</v>
      </c>
      <c r="AR11" s="8" t="str">
        <f t="shared" ref="AR11:AT11" si="41">average($AO11:$AQ11)</f>
        <v>#DIV/0!</v>
      </c>
      <c r="AS11" s="8" t="str">
        <f t="shared" si="41"/>
        <v>#DIV/0!</v>
      </c>
      <c r="AT11" s="8" t="str">
        <f t="shared" si="41"/>
        <v>#DIV/0!</v>
      </c>
      <c r="AU11" s="8" t="str">
        <f t="shared" si="10"/>
        <v>#DIV/0!</v>
      </c>
      <c r="AV11" s="6">
        <f>countifs('6A'!$M$2:$M$531, AV$1, '6A'!$C$2:$C$531, "Karl")</f>
        <v>6</v>
      </c>
      <c r="AW11" s="6">
        <f>countifs('6A'!$M$2:$M$531, AW$1, '6A'!$C$2:$C$531, "Karl")</f>
        <v>1</v>
      </c>
      <c r="AX11" s="6">
        <f>countifs('6A'!$M$2:$M$531, AX$1, '6A'!$C$2:$C$531, "Karl")</f>
        <v>0</v>
      </c>
      <c r="AY11" s="6">
        <f>countifs('6A'!$M$2:$M$531, AY$1, '6A'!$C$2:$C$531, "Karl")</f>
        <v>0</v>
      </c>
      <c r="AZ11" s="6">
        <f>countifs('6A'!$M$2:$M$531, AZ$1, '6A'!$C$2:$C$531, "Karl")</f>
        <v>0</v>
      </c>
      <c r="BA11" s="6">
        <f>countifs('6A'!$M$2:$M$531, BA$1, '6A'!$C$2:$C$531, "Karl")</f>
        <v>0</v>
      </c>
      <c r="BB11" s="6">
        <f>countifs('6A'!$M$2:$M$531, BB$1, '6A'!$C$2:$C$531, "Karl")</f>
        <v>0</v>
      </c>
      <c r="BC11" s="6">
        <f>countifs('6A'!$M$2:$M$531, BC$1, '6A'!$C$2:$C$531, "Kona")</f>
        <v>12</v>
      </c>
      <c r="BD11" s="6">
        <f>countifs('6A'!$M$2:$M$531, BD$1, '6A'!$C$2:$C$531, "Kona")</f>
        <v>2</v>
      </c>
      <c r="BE11" s="6">
        <f>countifs('6A'!$M$2:$M$531, BE$1, '6A'!$C$2:$C$531, "Kona")</f>
        <v>0</v>
      </c>
      <c r="BF11" s="6">
        <f>countifs('6A'!$M$2:$M$531, BF$1, '6A'!$C$2:$C$531, "Kona")</f>
        <v>0</v>
      </c>
      <c r="BG11" s="6">
        <f>countifs('6A'!$M$2:$M$531, BG$1, '6A'!$C$2:$C$531, "Kona")</f>
        <v>0</v>
      </c>
      <c r="BH11" s="6">
        <f>countifs('6A'!$M$2:$M$531, BH$1, '6A'!$C$2:$C$531, "Kona")</f>
        <v>0</v>
      </c>
      <c r="BI11" s="6">
        <f>countifs('6A'!$M$2:$M$531, BI$1, '6A'!$C$2:$C$531, "Kona")</f>
        <v>0</v>
      </c>
      <c r="BJ11" s="9">
        <f t="shared" si="11"/>
        <v>7</v>
      </c>
      <c r="BK11" s="9">
        <f t="shared" si="12"/>
        <v>14</v>
      </c>
      <c r="BL11" s="7">
        <f>IFERROR(__xludf.DUMMYFUNCTION("AVERAGE.WEIGHTED($AV$1:$BB$1,AV11:BB11)"),1.1428571428571428)</f>
        <v>1.142857143</v>
      </c>
      <c r="BM11" s="7">
        <f>IFERROR(__xludf.DUMMYFUNCTION("AVERAGE.WEIGHTED($BC$1:$BI$1,BC11:BI11)"),1.1428571428571428)</f>
        <v>1.142857143</v>
      </c>
      <c r="BN11" s="7">
        <f t="shared" ref="BN11:BO11" si="42">(BL11-1)*100/6</f>
        <v>2.380952381</v>
      </c>
      <c r="BO11" s="7">
        <f t="shared" si="42"/>
        <v>2.380952381</v>
      </c>
      <c r="BP11" s="7">
        <f t="shared" si="14"/>
        <v>2.380952381</v>
      </c>
      <c r="BQ11" s="7">
        <f t="shared" si="15"/>
        <v>2.380952381</v>
      </c>
      <c r="BR11" s="8">
        <f t="shared" si="16"/>
        <v>1</v>
      </c>
    </row>
    <row r="12">
      <c r="A12" s="3">
        <v>11.0</v>
      </c>
      <c r="B12" s="1" t="s">
        <v>13</v>
      </c>
      <c r="C12" s="6">
        <f>countif('6A'!$N$2:$N$531, C$1)</f>
        <v>4</v>
      </c>
      <c r="D12" s="6">
        <f>countif('6A'!$N$2:$N$531, D$1)</f>
        <v>6</v>
      </c>
      <c r="E12" s="6">
        <f>countif('6A'!$N$2:$N$531, E$1)</f>
        <v>2</v>
      </c>
      <c r="F12" s="6">
        <f>countif('6A'!$N$2:$N$531, F$1)</f>
        <v>2</v>
      </c>
      <c r="G12" s="6">
        <f>countif('6A'!$N$2:$N$531, G$1)</f>
        <v>2</v>
      </c>
      <c r="H12" s="6">
        <f>countif('6A'!$N$2:$N$531, H$1)</f>
        <v>2</v>
      </c>
      <c r="I12" s="6">
        <f>countif('6A'!$N$2:$N$531, I$1)</f>
        <v>3</v>
      </c>
      <c r="J12" s="6">
        <f t="shared" si="21"/>
        <v>21</v>
      </c>
      <c r="K12" s="7">
        <f t="shared" si="6"/>
        <v>3.476190476</v>
      </c>
      <c r="N12" s="6">
        <f>countifs('6A'!$N$2:$N$531, N$1, '6A'!$B$2:$B$531, "&gt;"&amp;$L$2, '6A'!$B$2:$B$531, "&lt;"&amp;$M$2)</f>
        <v>0</v>
      </c>
      <c r="O12" s="6">
        <f>countifs('6A'!$N$2:$N$531, O$1, '6A'!$B$2:$B$531, "&gt;"&amp;$L$2, '6A'!$B$2:$B$531, "&lt;"&amp;$M$2)</f>
        <v>0</v>
      </c>
      <c r="P12" s="6">
        <f>countifs('6A'!$N$2:$N$531, P$1, '6A'!$B$2:$B$531, "&gt;"&amp;$L$2, '6A'!$B$2:$B$531, "&lt;"&amp;$M$2)</f>
        <v>0</v>
      </c>
      <c r="Q12" s="6">
        <f>countifs('6A'!$N$2:$N$531, Q$1, '6A'!$B$2:$B$531, "&gt;"&amp;$L$2, '6A'!$B$2:$B$531, "&lt;"&amp;$M$2)</f>
        <v>0</v>
      </c>
      <c r="R12" s="6">
        <f>countifs('6A'!$N$2:$N$531, R$1, '6A'!$B$2:$B$531, "&gt;"&amp;$L$2, '6A'!$B$2:$B$531, "&lt;"&amp;$M$2)</f>
        <v>0</v>
      </c>
      <c r="S12" s="6">
        <f>countifs('6A'!$N$2:$N$531, S$1, '6A'!$B$2:$B$531, "&gt;"&amp;$L$2, '6A'!$B$2:$B$531, "&lt;"&amp;$M$2)</f>
        <v>0</v>
      </c>
      <c r="T12" s="6">
        <f>countifs('6A'!$N$2:$N$531, T$1, '6A'!$B$2:$B$531, "&gt;"&amp;$L$2, '6A'!$B$2:$B$531, "&lt;"&amp;$M$2)</f>
        <v>0</v>
      </c>
      <c r="U12" s="6">
        <f>countifs('6A'!$N$2:$N$531, U$1, '6A'!$B$2:$B$531, "&gt;"&amp;$L$3, '6A'!$B$2:$B$531, "&lt;"&amp;$M$3)</f>
        <v>0</v>
      </c>
      <c r="V12" s="6">
        <f>countifs('6A'!$N$2:$N$531, V$1, '6A'!$B$2:$B$531, "&gt;"&amp;$L$3, '6A'!$B$2:$B$531, "&lt;"&amp;$M$3)</f>
        <v>0</v>
      </c>
      <c r="W12" s="6">
        <f>countifs('6A'!$N$2:$N$531, W$1, '6A'!$B$2:$B$531, "&gt;"&amp;$L$3, '6A'!$B$2:$B$531, "&lt;"&amp;$M$3)</f>
        <v>0</v>
      </c>
      <c r="X12" s="6">
        <f>countifs('6A'!$N$2:$N$531, X$1, '6A'!$B$2:$B$531, "&gt;"&amp;$L$3, '6A'!$B$2:$B$531, "&lt;"&amp;$M$3)</f>
        <v>0</v>
      </c>
      <c r="Y12" s="6">
        <f>countifs('6A'!$N$2:$N$531, Y$1, '6A'!$B$2:$B$531, "&gt;"&amp;$L$3, '6A'!$B$2:$B$531, "&lt;"&amp;$M$3)</f>
        <v>0</v>
      </c>
      <c r="Z12" s="6">
        <f>countifs('6A'!$N$2:$N$531, Z$1, '6A'!$B$2:$B$531, "&gt;"&amp;$L$3, '6A'!$B$2:$B$531, "&lt;"&amp;$M$3)</f>
        <v>0</v>
      </c>
      <c r="AA12" s="6">
        <f>countifs('6A'!$N$2:$N$531, AA$1, '6A'!$B$2:$B$531, "&gt;"&amp;$L$3, '6A'!$B$2:$B$531, "&lt;"&amp;$M$3)</f>
        <v>0</v>
      </c>
      <c r="AB12" s="6">
        <f>countifs('6A'!$N$2:$N$531, AB$1, '6A'!$B$2:$B$531, "&gt;"&amp;$L$4, '6A'!$B$2:$B$531, "&lt;"&amp;$M$4)</f>
        <v>0</v>
      </c>
      <c r="AC12" s="6">
        <f>countifs('6A'!$N$2:$N$531, AC$1, '6A'!$B$2:$B$531, "&gt;"&amp;$L$4, '6A'!$B$2:$B$531, "&lt;"&amp;$M$4)</f>
        <v>0</v>
      </c>
      <c r="AD12" s="6">
        <f>countifs('6A'!$N$2:$N$531, AD$1, '6A'!$B$2:$B$531, "&gt;"&amp;$L$4, '6A'!$B$2:$B$531, "&lt;"&amp;$M$4)</f>
        <v>0</v>
      </c>
      <c r="AE12" s="6">
        <f>countifs('6A'!$N$2:$N$531, AE$1, '6A'!$B$2:$B$531, "&gt;"&amp;$L$4, '6A'!$B$2:$B$531, "&lt;"&amp;$M$4)</f>
        <v>0</v>
      </c>
      <c r="AF12" s="6">
        <f>countifs('6A'!$N$2:$N$531, AF$1, '6A'!$B$2:$B$531, "&gt;"&amp;$L$4, '6A'!$B$2:$B$531, "&lt;"&amp;$M$4)</f>
        <v>0</v>
      </c>
      <c r="AG12" s="6">
        <f>countifs('6A'!$N$2:$N$531, AG$1, '6A'!$B$2:$B$531, "&gt;"&amp;$L$4, '6A'!$B$2:$B$531, "&lt;"&amp;$M$4)</f>
        <v>0</v>
      </c>
      <c r="AH12" s="6">
        <f>countifs('6A'!$N$2:$N$531, AH$1, '6A'!$B$2:$B$531, "&gt;"&amp;$L$4, '6A'!$B$2:$B$531, "&lt;"&amp;$M$4)</f>
        <v>0</v>
      </c>
      <c r="AI12" s="3">
        <v>8.0</v>
      </c>
      <c r="AJ12" s="3">
        <v>3.0</v>
      </c>
      <c r="AK12" s="3">
        <v>1.0</v>
      </c>
      <c r="AL12" s="7" t="str">
        <f>IFERROR(__xludf.DUMMYFUNCTION("AVERAGE.WEIGHTED($N$1:$T$1, N12:T12)"),"#DIV/0!")</f>
        <v>#DIV/0!</v>
      </c>
      <c r="AM12" s="7" t="str">
        <f>IFERROR(__xludf.DUMMYFUNCTION("AVERAGE.WEIGHTED($U$1:$AA$1, U12:AA12)"),"#DIV/0!")</f>
        <v>#DIV/0!</v>
      </c>
      <c r="AN12" s="7" t="str">
        <f>IFERROR(__xludf.DUMMYFUNCTION("AVERAGE.WEIGHTED($AB$1:$AH$1, AB12:AH12)"),"#DIV/0!")</f>
        <v>#DIV/0!</v>
      </c>
      <c r="AO12" s="7" t="str">
        <f t="shared" ref="AO12:AQ12" si="43">(AL12-1)*100/6</f>
        <v>#DIV/0!</v>
      </c>
      <c r="AP12" s="7" t="str">
        <f t="shared" si="43"/>
        <v>#DIV/0!</v>
      </c>
      <c r="AQ12" s="7" t="str">
        <f t="shared" si="43"/>
        <v>#DIV/0!</v>
      </c>
      <c r="AR12" s="8" t="str">
        <f t="shared" ref="AR12:AT12" si="44">average($AO12:$AQ12)</f>
        <v>#DIV/0!</v>
      </c>
      <c r="AS12" s="8" t="str">
        <f t="shared" si="44"/>
        <v>#DIV/0!</v>
      </c>
      <c r="AT12" s="8" t="str">
        <f t="shared" si="44"/>
        <v>#DIV/0!</v>
      </c>
      <c r="AU12" s="8" t="str">
        <f t="shared" si="10"/>
        <v>#DIV/0!</v>
      </c>
      <c r="AV12" s="6">
        <f>countifs('6A'!$N$2:$N$531, AV$1, '6A'!$C$2:$C$531, "Karl")</f>
        <v>1</v>
      </c>
      <c r="AW12" s="6">
        <f>countifs('6A'!$N$2:$N$531, AW$1, '6A'!$C$2:$C$531, "Karl")</f>
        <v>0</v>
      </c>
      <c r="AX12" s="6">
        <f>countifs('6A'!$N$2:$N$531, AX$1, '6A'!$C$2:$C$531, "Karl")</f>
        <v>1</v>
      </c>
      <c r="AY12" s="6">
        <f>countifs('6A'!$N$2:$N$531, AY$1, '6A'!$C$2:$C$531, "Karl")</f>
        <v>1</v>
      </c>
      <c r="AZ12" s="6">
        <f>countifs('6A'!$N$2:$N$531, AZ$1, '6A'!$C$2:$C$531, "Karl")</f>
        <v>2</v>
      </c>
      <c r="BA12" s="6">
        <f>countifs('6A'!$N$2:$N$531, BA$1, '6A'!$C$2:$C$531, "Karl")</f>
        <v>1</v>
      </c>
      <c r="BB12" s="6">
        <f>countifs('6A'!$N$2:$N$531, BB$1, '6A'!$C$2:$C$531, "Karl")</f>
        <v>1</v>
      </c>
      <c r="BC12" s="6">
        <f>countifs('6A'!$N$2:$N$531, BC$1, '6A'!$C$2:$C$531, "Kona")</f>
        <v>3</v>
      </c>
      <c r="BD12" s="6">
        <f>countifs('6A'!$N$2:$N$531, BD$1, '6A'!$C$2:$C$531, "Kona")</f>
        <v>6</v>
      </c>
      <c r="BE12" s="6">
        <f>countifs('6A'!$N$2:$N$531, BE$1, '6A'!$C$2:$C$531, "Kona")</f>
        <v>1</v>
      </c>
      <c r="BF12" s="6">
        <f>countifs('6A'!$N$2:$N$531, BF$1, '6A'!$C$2:$C$531, "Kona")</f>
        <v>1</v>
      </c>
      <c r="BG12" s="6">
        <f>countifs('6A'!$N$2:$N$531, BG$1, '6A'!$C$2:$C$531, "Kona")</f>
        <v>0</v>
      </c>
      <c r="BH12" s="6">
        <f>countifs('6A'!$N$2:$N$531, BH$1, '6A'!$C$2:$C$531, "Kona")</f>
        <v>1</v>
      </c>
      <c r="BI12" s="6">
        <f>countifs('6A'!$N$2:$N$531, BI$1, '6A'!$C$2:$C$531, "Kona")</f>
        <v>2</v>
      </c>
      <c r="BJ12" s="9">
        <f t="shared" si="11"/>
        <v>7</v>
      </c>
      <c r="BK12" s="9">
        <f t="shared" si="12"/>
        <v>14</v>
      </c>
      <c r="BL12" s="7">
        <f>IFERROR(__xludf.DUMMYFUNCTION("AVERAGE.WEIGHTED($AV$1:$BB$1,AV12:BB12)"),4.428571428571429)</f>
        <v>4.428571429</v>
      </c>
      <c r="BM12" s="7">
        <f>IFERROR(__xludf.DUMMYFUNCTION("AVERAGE.WEIGHTED($BC$1:$BI$1,BC12:BI12)"),3.0)</f>
        <v>3</v>
      </c>
      <c r="BN12" s="7">
        <f t="shared" ref="BN12:BO12" si="45">(BL12-1)*100/6</f>
        <v>57.14285714</v>
      </c>
      <c r="BO12" s="7">
        <f t="shared" si="45"/>
        <v>33.33333333</v>
      </c>
      <c r="BP12" s="7">
        <f t="shared" si="14"/>
        <v>45.23809524</v>
      </c>
      <c r="BQ12" s="7">
        <f t="shared" si="15"/>
        <v>45.23809524</v>
      </c>
      <c r="BR12" s="8">
        <f t="shared" si="16"/>
        <v>0.01231000154</v>
      </c>
    </row>
    <row r="13">
      <c r="A13" s="3">
        <v>12.0</v>
      </c>
      <c r="B13" s="1" t="s">
        <v>14</v>
      </c>
      <c r="C13" s="6">
        <f>countif('6A'!$O$2:$O$531, C$1)</f>
        <v>13</v>
      </c>
      <c r="D13" s="6">
        <f>countif('6A'!$O$2:$O$531, D$1)</f>
        <v>1</v>
      </c>
      <c r="E13" s="6">
        <f>countif('6A'!$O$2:$O$531, E$1)</f>
        <v>0</v>
      </c>
      <c r="F13" s="6">
        <f>countif('6A'!$O$2:$O$531, F$1)</f>
        <v>1</v>
      </c>
      <c r="G13" s="6">
        <f>countif('6A'!$O$2:$O$531, G$1)</f>
        <v>0</v>
      </c>
      <c r="H13" s="6">
        <f>countif('6A'!$O$2:$O$531, H$1)</f>
        <v>2</v>
      </c>
      <c r="I13" s="6">
        <f>countif('6A'!$O$2:$O$531, I$1)</f>
        <v>4</v>
      </c>
      <c r="J13" s="6">
        <f t="shared" si="21"/>
        <v>21</v>
      </c>
      <c r="K13" s="7">
        <f t="shared" si="6"/>
        <v>2.80952381</v>
      </c>
      <c r="N13" s="6">
        <f>countifs('6A'!$O$2:$O$531, N$1, '6A'!$B$2:$B$531, "&gt;"&amp;$L$2, '6A'!$B$2:$B$531, "&lt;"&amp;$M$2)</f>
        <v>0</v>
      </c>
      <c r="O13" s="6">
        <f>countifs('6A'!$O$2:$O$531, O$1, '6A'!$B$2:$B$531, "&gt;"&amp;$L$2, '6A'!$B$2:$B$531, "&lt;"&amp;$M$2)</f>
        <v>0</v>
      </c>
      <c r="P13" s="6">
        <f>countifs('6A'!$O$2:$O$531, P$1, '6A'!$B$2:$B$531, "&gt;"&amp;$L$2, '6A'!$B$2:$B$531, "&lt;"&amp;$M$2)</f>
        <v>0</v>
      </c>
      <c r="Q13" s="6">
        <f>countifs('6A'!$O$2:$O$531, Q$1, '6A'!$B$2:$B$531, "&gt;"&amp;$L$2, '6A'!$B$2:$B$531, "&lt;"&amp;$M$2)</f>
        <v>0</v>
      </c>
      <c r="R13" s="6">
        <f>countifs('6A'!$O$2:$O$531, R$1, '6A'!$B$2:$B$531, "&gt;"&amp;$L$2, '6A'!$B$2:$B$531, "&lt;"&amp;$M$2)</f>
        <v>0</v>
      </c>
      <c r="S13" s="6">
        <f>countifs('6A'!$O$2:$O$531, S$1, '6A'!$B$2:$B$531, "&gt;"&amp;$L$2, '6A'!$B$2:$B$531, "&lt;"&amp;$M$2)</f>
        <v>0</v>
      </c>
      <c r="T13" s="6">
        <f>countifs('6A'!$O$2:$O$531, T$1, '6A'!$B$2:$B$531, "&gt;"&amp;$L$2, '6A'!$B$2:$B$531, "&lt;"&amp;$M$2)</f>
        <v>0</v>
      </c>
      <c r="U13" s="6">
        <f>countifs('6A'!$O$2:$O$531, U$1, '6A'!$B$2:$B$531, "&gt;"&amp;$L$3, '6A'!$B$2:$B$531, "&lt;"&amp;$M$3)</f>
        <v>0</v>
      </c>
      <c r="V13" s="6">
        <f>countifs('6A'!$O$2:$O$531, V$1, '6A'!$B$2:$B$531, "&gt;"&amp;$L$3, '6A'!$B$2:$B$531, "&lt;"&amp;$M$3)</f>
        <v>0</v>
      </c>
      <c r="W13" s="6">
        <f>countifs('6A'!$O$2:$O$531, W$1, '6A'!$B$2:$B$531, "&gt;"&amp;$L$3, '6A'!$B$2:$B$531, "&lt;"&amp;$M$3)</f>
        <v>0</v>
      </c>
      <c r="X13" s="6">
        <f>countifs('6A'!$O$2:$O$531, X$1, '6A'!$B$2:$B$531, "&gt;"&amp;$L$3, '6A'!$B$2:$B$531, "&lt;"&amp;$M$3)</f>
        <v>0</v>
      </c>
      <c r="Y13" s="6">
        <f>countifs('6A'!$O$2:$O$531, Y$1, '6A'!$B$2:$B$531, "&gt;"&amp;$L$3, '6A'!$B$2:$B$531, "&lt;"&amp;$M$3)</f>
        <v>0</v>
      </c>
      <c r="Z13" s="6">
        <f>countifs('6A'!$O$2:$O$531, Z$1, '6A'!$B$2:$B$531, "&gt;"&amp;$L$3, '6A'!$B$2:$B$531, "&lt;"&amp;$M$3)</f>
        <v>0</v>
      </c>
      <c r="AA13" s="6">
        <f>countifs('6A'!$O$2:$O$531, AA$1, '6A'!$B$2:$B$531, "&gt;"&amp;$L$3, '6A'!$B$2:$B$531, "&lt;"&amp;$M$3)</f>
        <v>0</v>
      </c>
      <c r="AB13" s="6">
        <f>countifs('6A'!$O$2:$O$531, AB$1, '6A'!$B$2:$B$531, "&gt;"&amp;$L$4, '6A'!$B$2:$B$531, "&lt;"&amp;$M$4)</f>
        <v>0</v>
      </c>
      <c r="AC13" s="6">
        <f>countifs('6A'!$O$2:$O$531, AC$1, '6A'!$B$2:$B$531, "&gt;"&amp;$L$4, '6A'!$B$2:$B$531, "&lt;"&amp;$M$4)</f>
        <v>0</v>
      </c>
      <c r="AD13" s="6">
        <f>countifs('6A'!$O$2:$O$531, AD$1, '6A'!$B$2:$B$531, "&gt;"&amp;$L$4, '6A'!$B$2:$B$531, "&lt;"&amp;$M$4)</f>
        <v>0</v>
      </c>
      <c r="AE13" s="6">
        <f>countifs('6A'!$O$2:$O$531, AE$1, '6A'!$B$2:$B$531, "&gt;"&amp;$L$4, '6A'!$B$2:$B$531, "&lt;"&amp;$M$4)</f>
        <v>0</v>
      </c>
      <c r="AF13" s="6">
        <f>countifs('6A'!$O$2:$O$531, AF$1, '6A'!$B$2:$B$531, "&gt;"&amp;$L$4, '6A'!$B$2:$B$531, "&lt;"&amp;$M$4)</f>
        <v>0</v>
      </c>
      <c r="AG13" s="6">
        <f>countifs('6A'!$O$2:$O$531, AG$1, '6A'!$B$2:$B$531, "&gt;"&amp;$L$4, '6A'!$B$2:$B$531, "&lt;"&amp;$M$4)</f>
        <v>0</v>
      </c>
      <c r="AH13" s="6">
        <f>countifs('6A'!$O$2:$O$531, AH$1, '6A'!$B$2:$B$531, "&gt;"&amp;$L$4, '6A'!$B$2:$B$531, "&lt;"&amp;$M$4)</f>
        <v>0</v>
      </c>
      <c r="AI13" s="3">
        <v>8.0</v>
      </c>
      <c r="AJ13" s="3">
        <v>3.0</v>
      </c>
      <c r="AK13" s="3">
        <v>1.0</v>
      </c>
      <c r="AL13" s="7" t="str">
        <f>IFERROR(__xludf.DUMMYFUNCTION("AVERAGE.WEIGHTED($N$1:$T$1, N13:T13)"),"#DIV/0!")</f>
        <v>#DIV/0!</v>
      </c>
      <c r="AM13" s="7" t="str">
        <f>IFERROR(__xludf.DUMMYFUNCTION("AVERAGE.WEIGHTED($U$1:$AA$1, U13:AA13)"),"#DIV/0!")</f>
        <v>#DIV/0!</v>
      </c>
      <c r="AN13" s="7" t="str">
        <f>IFERROR(__xludf.DUMMYFUNCTION("AVERAGE.WEIGHTED($AB$1:$AH$1, AB13:AH13)"),"#DIV/0!")</f>
        <v>#DIV/0!</v>
      </c>
      <c r="AO13" s="7" t="str">
        <f t="shared" ref="AO13:AQ13" si="46">(AL13-1)*100/6</f>
        <v>#DIV/0!</v>
      </c>
      <c r="AP13" s="7" t="str">
        <f t="shared" si="46"/>
        <v>#DIV/0!</v>
      </c>
      <c r="AQ13" s="7" t="str">
        <f t="shared" si="46"/>
        <v>#DIV/0!</v>
      </c>
      <c r="AR13" s="8" t="str">
        <f t="shared" ref="AR13:AT13" si="47">average($AO13:$AQ13)</f>
        <v>#DIV/0!</v>
      </c>
      <c r="AS13" s="8" t="str">
        <f t="shared" si="47"/>
        <v>#DIV/0!</v>
      </c>
      <c r="AT13" s="8" t="str">
        <f t="shared" si="47"/>
        <v>#DIV/0!</v>
      </c>
      <c r="AU13" s="8" t="str">
        <f t="shared" si="10"/>
        <v>#DIV/0!</v>
      </c>
      <c r="AV13" s="6">
        <f>countifs('6A'!$O$2:$O$531, AV$1, '6A'!$C$2:$C$531, "Karl")</f>
        <v>3</v>
      </c>
      <c r="AW13" s="6">
        <f>countifs('6A'!$O$2:$O$531, AW$1, '6A'!$C$2:$C$531, "Karl")</f>
        <v>0</v>
      </c>
      <c r="AX13" s="6">
        <f>countifs('6A'!$O$2:$O$531, AX$1, '6A'!$C$2:$C$531, "Karl")</f>
        <v>0</v>
      </c>
      <c r="AY13" s="6">
        <f>countifs('6A'!$O$2:$O$531, AY$1, '6A'!$C$2:$C$531, "Karl")</f>
        <v>0</v>
      </c>
      <c r="AZ13" s="6">
        <f>countifs('6A'!$O$2:$O$531, AZ$1, '6A'!$C$2:$C$531, "Karl")</f>
        <v>0</v>
      </c>
      <c r="BA13" s="6">
        <f>countifs('6A'!$O$2:$O$531, BA$1, '6A'!$C$2:$C$531, "Karl")</f>
        <v>1</v>
      </c>
      <c r="BB13" s="6">
        <f>countifs('6A'!$O$2:$O$531, BB$1, '6A'!$C$2:$C$531, "Karl")</f>
        <v>3</v>
      </c>
      <c r="BC13" s="6">
        <f>countifs('6A'!$O$2:$O$531, BC$1, '6A'!$C$2:$C$531, "Kona")</f>
        <v>10</v>
      </c>
      <c r="BD13" s="6">
        <f>countifs('6A'!$O$2:$O$531, BD$1, '6A'!$C$2:$C$531, "Kona")</f>
        <v>1</v>
      </c>
      <c r="BE13" s="6">
        <f>countifs('6A'!$O$2:$O$531, BE$1, '6A'!$C$2:$C$531, "Kona")</f>
        <v>0</v>
      </c>
      <c r="BF13" s="6">
        <f>countifs('6A'!$O$2:$O$531, BF$1, '6A'!$C$2:$C$531, "Kona")</f>
        <v>1</v>
      </c>
      <c r="BG13" s="6">
        <f>countifs('6A'!$O$2:$O$531, BG$1, '6A'!$C$2:$C$531, "Kona")</f>
        <v>0</v>
      </c>
      <c r="BH13" s="6">
        <f>countifs('6A'!$O$2:$O$531, BH$1, '6A'!$C$2:$C$531, "Kona")</f>
        <v>1</v>
      </c>
      <c r="BI13" s="6">
        <f>countifs('6A'!$O$2:$O$531, BI$1, '6A'!$C$2:$C$531, "Kona")</f>
        <v>1</v>
      </c>
      <c r="BJ13" s="9">
        <f t="shared" si="11"/>
        <v>7</v>
      </c>
      <c r="BK13" s="9">
        <f t="shared" si="12"/>
        <v>14</v>
      </c>
      <c r="BL13" s="7">
        <f>IFERROR(__xludf.DUMMYFUNCTION("AVERAGE.WEIGHTED($AV$1:$BB$1,AV13:BB13)"),4.285714285714286)</f>
        <v>4.285714286</v>
      </c>
      <c r="BM13" s="7">
        <f>IFERROR(__xludf.DUMMYFUNCTION("AVERAGE.WEIGHTED($BC$1:$BI$1,BC13:BI13)"),2.0714285714285716)</f>
        <v>2.071428571</v>
      </c>
      <c r="BN13" s="7">
        <f t="shared" ref="BN13:BO13" si="48">(BL13-1)*100/6</f>
        <v>54.76190476</v>
      </c>
      <c r="BO13" s="7">
        <f t="shared" si="48"/>
        <v>17.85714286</v>
      </c>
      <c r="BP13" s="7">
        <f t="shared" si="14"/>
        <v>36.30952381</v>
      </c>
      <c r="BQ13" s="7">
        <f t="shared" si="15"/>
        <v>36.30952381</v>
      </c>
      <c r="BR13" s="8">
        <f t="shared" si="16"/>
        <v>0.00001486425801</v>
      </c>
    </row>
    <row r="14">
      <c r="A14" s="3">
        <v>13.0</v>
      </c>
      <c r="B14" s="1" t="s">
        <v>15</v>
      </c>
      <c r="C14" s="6">
        <f>countif('6A'!$P$2:$P$531, C$1)</f>
        <v>11</v>
      </c>
      <c r="D14" s="6">
        <f>countif('6A'!$P$2:$P$531, D$1)</f>
        <v>4</v>
      </c>
      <c r="E14" s="6">
        <f>countif('6A'!$P$2:$P$531, E$1)</f>
        <v>2</v>
      </c>
      <c r="F14" s="6">
        <f>countif('6A'!$P$2:$P$531, F$1)</f>
        <v>1</v>
      </c>
      <c r="G14" s="6">
        <f>countif('6A'!$P$2:$P$531, G$1)</f>
        <v>0</v>
      </c>
      <c r="H14" s="6">
        <f>countif('6A'!$P$2:$P$531, H$1)</f>
        <v>3</v>
      </c>
      <c r="I14" s="6">
        <f>countif('6A'!$P$2:$P$531, I$1)</f>
        <v>0</v>
      </c>
      <c r="J14" s="6">
        <f t="shared" si="21"/>
        <v>21</v>
      </c>
      <c r="K14" s="7">
        <f t="shared" si="6"/>
        <v>2.238095238</v>
      </c>
      <c r="N14" s="6">
        <f>countifs('6A'!$P$2:$P$531, N$1, '6A'!$B$2:$B$531, "&gt;"&amp;$L$2, '6A'!$B$2:$B$531, "&lt;"&amp;$M$2)</f>
        <v>0</v>
      </c>
      <c r="O14" s="6">
        <f>countifs('6A'!$P$2:$P$531, O$1, '6A'!$B$2:$B$531, "&gt;"&amp;$L$2, '6A'!$B$2:$B$531, "&lt;"&amp;$M$2)</f>
        <v>0</v>
      </c>
      <c r="P14" s="6">
        <f>countifs('6A'!$P$2:$P$531, P$1, '6A'!$B$2:$B$531, "&gt;"&amp;$L$2, '6A'!$B$2:$B$531, "&lt;"&amp;$M$2)</f>
        <v>0</v>
      </c>
      <c r="Q14" s="6">
        <f>countifs('6A'!$P$2:$P$531, Q$1, '6A'!$B$2:$B$531, "&gt;"&amp;$L$2, '6A'!$B$2:$B$531, "&lt;"&amp;$M$2)</f>
        <v>0</v>
      </c>
      <c r="R14" s="6">
        <f>countifs('6A'!$P$2:$P$531, R$1, '6A'!$B$2:$B$531, "&gt;"&amp;$L$2, '6A'!$B$2:$B$531, "&lt;"&amp;$M$2)</f>
        <v>0</v>
      </c>
      <c r="S14" s="6">
        <f>countifs('6A'!$P$2:$P$531, S$1, '6A'!$B$2:$B$531, "&gt;"&amp;$L$2, '6A'!$B$2:$B$531, "&lt;"&amp;$M$2)</f>
        <v>0</v>
      </c>
      <c r="T14" s="6">
        <f>countifs('6A'!$P$2:$P$531, T$1, '6A'!$B$2:$B$531, "&gt;"&amp;$L$2, '6A'!$B$2:$B$531, "&lt;"&amp;$M$2)</f>
        <v>0</v>
      </c>
      <c r="U14" s="6">
        <f>countifs('6A'!$P$2:$P$531, U$1, '6A'!$B$2:$B$531, "&gt;"&amp;$L$3, '6A'!$B$2:$B$531, "&lt;"&amp;$M$3)</f>
        <v>0</v>
      </c>
      <c r="V14" s="6">
        <f>countifs('6A'!$P$2:$P$531, V$1, '6A'!$B$2:$B$531, "&gt;"&amp;$L$3, '6A'!$B$2:$B$531, "&lt;"&amp;$M$3)</f>
        <v>0</v>
      </c>
      <c r="W14" s="6">
        <f>countifs('6A'!$P$2:$P$531, W$1, '6A'!$B$2:$B$531, "&gt;"&amp;$L$3, '6A'!$B$2:$B$531, "&lt;"&amp;$M$3)</f>
        <v>0</v>
      </c>
      <c r="X14" s="6">
        <f>countifs('6A'!$P$2:$P$531, X$1, '6A'!$B$2:$B$531, "&gt;"&amp;$L$3, '6A'!$B$2:$B$531, "&lt;"&amp;$M$3)</f>
        <v>0</v>
      </c>
      <c r="Y14" s="6">
        <f>countifs('6A'!$P$2:$P$531, Y$1, '6A'!$B$2:$B$531, "&gt;"&amp;$L$3, '6A'!$B$2:$B$531, "&lt;"&amp;$M$3)</f>
        <v>0</v>
      </c>
      <c r="Z14" s="6">
        <f>countifs('6A'!$P$2:$P$531, Z$1, '6A'!$B$2:$B$531, "&gt;"&amp;$L$3, '6A'!$B$2:$B$531, "&lt;"&amp;$M$3)</f>
        <v>0</v>
      </c>
      <c r="AA14" s="6">
        <f>countifs('6A'!$P$2:$P$531, AA$1, '6A'!$B$2:$B$531, "&gt;"&amp;$L$3, '6A'!$B$2:$B$531, "&lt;"&amp;$M$3)</f>
        <v>0</v>
      </c>
      <c r="AB14" s="6">
        <f>countifs('6A'!$P$2:$P$531, AB$1, '6A'!$B$2:$B$531, "&gt;"&amp;$L$4, '6A'!$B$2:$B$531, "&lt;"&amp;$M$4)</f>
        <v>0</v>
      </c>
      <c r="AC14" s="6">
        <f>countifs('6A'!$P$2:$P$531, AC$1, '6A'!$B$2:$B$531, "&gt;"&amp;$L$4, '6A'!$B$2:$B$531, "&lt;"&amp;$M$4)</f>
        <v>0</v>
      </c>
      <c r="AD14" s="6">
        <f>countifs('6A'!$P$2:$P$531, AD$1, '6A'!$B$2:$B$531, "&gt;"&amp;$L$4, '6A'!$B$2:$B$531, "&lt;"&amp;$M$4)</f>
        <v>0</v>
      </c>
      <c r="AE14" s="6">
        <f>countifs('6A'!$P$2:$P$531, AE$1, '6A'!$B$2:$B$531, "&gt;"&amp;$L$4, '6A'!$B$2:$B$531, "&lt;"&amp;$M$4)</f>
        <v>0</v>
      </c>
      <c r="AF14" s="6">
        <f>countifs('6A'!$P$2:$P$531, AF$1, '6A'!$B$2:$B$531, "&gt;"&amp;$L$4, '6A'!$B$2:$B$531, "&lt;"&amp;$M$4)</f>
        <v>0</v>
      </c>
      <c r="AG14" s="6">
        <f>countifs('6A'!$P$2:$P$531, AG$1, '6A'!$B$2:$B$531, "&gt;"&amp;$L$4, '6A'!$B$2:$B$531, "&lt;"&amp;$M$4)</f>
        <v>0</v>
      </c>
      <c r="AH14" s="6">
        <f>countifs('6A'!$P$2:$P$531, AH$1, '6A'!$B$2:$B$531, "&gt;"&amp;$L$4, '6A'!$B$2:$B$531, "&lt;"&amp;$M$4)</f>
        <v>0</v>
      </c>
      <c r="AI14" s="3">
        <v>8.0</v>
      </c>
      <c r="AJ14" s="3">
        <v>3.0</v>
      </c>
      <c r="AK14" s="3">
        <v>1.0</v>
      </c>
      <c r="AL14" s="7" t="str">
        <f>IFERROR(__xludf.DUMMYFUNCTION("AVERAGE.WEIGHTED($N$1:$T$1, N14:T14)"),"#DIV/0!")</f>
        <v>#DIV/0!</v>
      </c>
      <c r="AM14" s="7" t="str">
        <f>IFERROR(__xludf.DUMMYFUNCTION("AVERAGE.WEIGHTED($U$1:$AA$1, U14:AA14)"),"#DIV/0!")</f>
        <v>#DIV/0!</v>
      </c>
      <c r="AN14" s="7" t="str">
        <f>IFERROR(__xludf.DUMMYFUNCTION("AVERAGE.WEIGHTED($AB$1:$AH$1, AB14:AH14)"),"#DIV/0!")</f>
        <v>#DIV/0!</v>
      </c>
      <c r="AO14" s="7" t="str">
        <f t="shared" ref="AO14:AQ14" si="49">(AL14-1)*100/6</f>
        <v>#DIV/0!</v>
      </c>
      <c r="AP14" s="7" t="str">
        <f t="shared" si="49"/>
        <v>#DIV/0!</v>
      </c>
      <c r="AQ14" s="7" t="str">
        <f t="shared" si="49"/>
        <v>#DIV/0!</v>
      </c>
      <c r="AR14" s="8" t="str">
        <f t="shared" ref="AR14:AT14" si="50">average($AO14:$AQ14)</f>
        <v>#DIV/0!</v>
      </c>
      <c r="AS14" s="8" t="str">
        <f t="shared" si="50"/>
        <v>#DIV/0!</v>
      </c>
      <c r="AT14" s="8" t="str">
        <f t="shared" si="50"/>
        <v>#DIV/0!</v>
      </c>
      <c r="AU14" s="8" t="str">
        <f t="shared" si="10"/>
        <v>#DIV/0!</v>
      </c>
      <c r="AV14" s="6">
        <f>countifs('6A'!$P$2:$P$531, AV$1, '6A'!$C$2:$C$531, "Karl")</f>
        <v>2</v>
      </c>
      <c r="AW14" s="6">
        <f>countifs('6A'!$P$2:$P$531, AW$1, '6A'!$C$2:$C$531, "Karl")</f>
        <v>1</v>
      </c>
      <c r="AX14" s="6">
        <f>countifs('6A'!$P$2:$P$531, AX$1, '6A'!$C$2:$C$531, "Karl")</f>
        <v>1</v>
      </c>
      <c r="AY14" s="6">
        <f>countifs('6A'!$P$2:$P$531, AY$1, '6A'!$C$2:$C$531, "Karl")</f>
        <v>1</v>
      </c>
      <c r="AZ14" s="6">
        <f>countifs('6A'!$P$2:$P$531, AZ$1, '6A'!$C$2:$C$531, "Karl")</f>
        <v>0</v>
      </c>
      <c r="BA14" s="6">
        <f>countifs('6A'!$P$2:$P$531, BA$1, '6A'!$C$2:$C$531, "Karl")</f>
        <v>2</v>
      </c>
      <c r="BB14" s="6">
        <f>countifs('6A'!$P$2:$P$531, BB$1, '6A'!$C$2:$C$531, "Karl")</f>
        <v>0</v>
      </c>
      <c r="BC14" s="6">
        <f>countifs('6A'!$P$2:$P$531, BC$1, '6A'!$C$2:$C$531, "Kona")</f>
        <v>9</v>
      </c>
      <c r="BD14" s="6">
        <f>countifs('6A'!$P$2:$P$531, BD$1, '6A'!$C$2:$C$531, "Kona")</f>
        <v>3</v>
      </c>
      <c r="BE14" s="6">
        <f>countifs('6A'!$P$2:$P$531, BE$1, '6A'!$C$2:$C$531, "Kona")</f>
        <v>1</v>
      </c>
      <c r="BF14" s="6">
        <f>countifs('6A'!$P$2:$P$531, BF$1, '6A'!$C$2:$C$531, "Kona")</f>
        <v>0</v>
      </c>
      <c r="BG14" s="6">
        <f>countifs('6A'!$P$2:$P$531, BG$1, '6A'!$C$2:$C$531, "Kona")</f>
        <v>0</v>
      </c>
      <c r="BH14" s="6">
        <f>countifs('6A'!$P$2:$P$531, BH$1, '6A'!$C$2:$C$531, "Kona")</f>
        <v>1</v>
      </c>
      <c r="BI14" s="6">
        <f>countifs('6A'!$P$2:$P$531, BI$1, '6A'!$C$2:$C$531, "Kona")</f>
        <v>0</v>
      </c>
      <c r="BJ14" s="9">
        <f t="shared" si="11"/>
        <v>7</v>
      </c>
      <c r="BK14" s="9">
        <f t="shared" si="12"/>
        <v>14</v>
      </c>
      <c r="BL14" s="7">
        <f>IFERROR(__xludf.DUMMYFUNCTION("AVERAGE.WEIGHTED($AV$1:$BB$1,AV14:BB14)"),3.2857142857142856)</f>
        <v>3.285714286</v>
      </c>
      <c r="BM14" s="7">
        <f>IFERROR(__xludf.DUMMYFUNCTION("AVERAGE.WEIGHTED($BC$1:$BI$1,BC14:BI14)"),1.7142857142857142)</f>
        <v>1.714285714</v>
      </c>
      <c r="BN14" s="7">
        <f t="shared" ref="BN14:BO14" si="51">(BL14-1)*100/6</f>
        <v>38.0952381</v>
      </c>
      <c r="BO14" s="7">
        <f t="shared" si="51"/>
        <v>11.9047619</v>
      </c>
      <c r="BP14" s="7">
        <f t="shared" si="14"/>
        <v>25</v>
      </c>
      <c r="BQ14" s="7">
        <f t="shared" si="15"/>
        <v>25</v>
      </c>
      <c r="BR14" s="8">
        <f t="shared" si="16"/>
        <v>0.0002123161236</v>
      </c>
    </row>
    <row r="15">
      <c r="A15" s="3">
        <v>14.0</v>
      </c>
      <c r="B15" s="1" t="s">
        <v>16</v>
      </c>
      <c r="C15" s="6">
        <f>countif('6A'!$Q$2:$Q$531, C$1)</f>
        <v>16</v>
      </c>
      <c r="D15" s="6">
        <f>countif('6A'!$Q$2:$Q$531, D$1)</f>
        <v>1</v>
      </c>
      <c r="E15" s="6">
        <f>countif('6A'!$Q$2:$Q$531, E$1)</f>
        <v>2</v>
      </c>
      <c r="F15" s="6">
        <f>countif('6A'!$Q$2:$Q$531, F$1)</f>
        <v>0</v>
      </c>
      <c r="G15" s="6">
        <f>countif('6A'!$Q$2:$Q$531, G$1)</f>
        <v>2</v>
      </c>
      <c r="H15" s="6">
        <f>countif('6A'!$Q$2:$Q$531, H$1)</f>
        <v>0</v>
      </c>
      <c r="I15" s="6">
        <f>countif('6A'!$Q$2:$Q$531, I$1)</f>
        <v>0</v>
      </c>
      <c r="J15" s="6">
        <f t="shared" si="21"/>
        <v>21</v>
      </c>
      <c r="K15" s="7">
        <f t="shared" si="6"/>
        <v>1.619047619</v>
      </c>
      <c r="N15" s="6">
        <f>countifs('6A'!$Q$2:$Q$531, N$1, '6A'!$B$2:$B$531, "&gt;"&amp;$L$2, '6A'!$B$2:$B$531, "&lt;"&amp;$M$2)</f>
        <v>0</v>
      </c>
      <c r="O15" s="6">
        <f>countifs('6A'!$Q$2:$Q$531, O$1, '6A'!$B$2:$B$531, "&gt;"&amp;$L$2, '6A'!$B$2:$B$531, "&lt;"&amp;$M$2)</f>
        <v>0</v>
      </c>
      <c r="P15" s="6">
        <f>countifs('6A'!$Q$2:$Q$531, P$1, '6A'!$B$2:$B$531, "&gt;"&amp;$L$2, '6A'!$B$2:$B$531, "&lt;"&amp;$M$2)</f>
        <v>0</v>
      </c>
      <c r="Q15" s="6">
        <f>countifs('6A'!$Q$2:$Q$531, Q$1, '6A'!$B$2:$B$531, "&gt;"&amp;$L$2, '6A'!$B$2:$B$531, "&lt;"&amp;$M$2)</f>
        <v>0</v>
      </c>
      <c r="R15" s="6">
        <f>countifs('6A'!$Q$2:$Q$531, R$1, '6A'!$B$2:$B$531, "&gt;"&amp;$L$2, '6A'!$B$2:$B$531, "&lt;"&amp;$M$2)</f>
        <v>0</v>
      </c>
      <c r="S15" s="6">
        <f>countifs('6A'!$Q$2:$Q$531, S$1, '6A'!$B$2:$B$531, "&gt;"&amp;$L$2, '6A'!$B$2:$B$531, "&lt;"&amp;$M$2)</f>
        <v>0</v>
      </c>
      <c r="T15" s="6">
        <f>countifs('6A'!$Q$2:$Q$531, T$1, '6A'!$B$2:$B$531, "&gt;"&amp;$L$2, '6A'!$B$2:$B$531, "&lt;"&amp;$M$2)</f>
        <v>0</v>
      </c>
      <c r="U15" s="6">
        <f>countifs('6A'!$Q$2:$Q$531, U$1, '6A'!$B$2:$B$531, "&gt;"&amp;$L$3, '6A'!$B$2:$B$531, "&lt;"&amp;$M$3)</f>
        <v>0</v>
      </c>
      <c r="V15" s="6">
        <f>countifs('6A'!$Q$2:$Q$531, V$1, '6A'!$B$2:$B$531, "&gt;"&amp;$L$3, '6A'!$B$2:$B$531, "&lt;"&amp;$M$3)</f>
        <v>0</v>
      </c>
      <c r="W15" s="6">
        <f>countifs('6A'!$Q$2:$Q$531, W$1, '6A'!$B$2:$B$531, "&gt;"&amp;$L$3, '6A'!$B$2:$B$531, "&lt;"&amp;$M$3)</f>
        <v>0</v>
      </c>
      <c r="X15" s="6">
        <f>countifs('6A'!$Q$2:$Q$531, X$1, '6A'!$B$2:$B$531, "&gt;"&amp;$L$3, '6A'!$B$2:$B$531, "&lt;"&amp;$M$3)</f>
        <v>0</v>
      </c>
      <c r="Y15" s="6">
        <f>countifs('6A'!$Q$2:$Q$531, Y$1, '6A'!$B$2:$B$531, "&gt;"&amp;$L$3, '6A'!$B$2:$B$531, "&lt;"&amp;$M$3)</f>
        <v>0</v>
      </c>
      <c r="Z15" s="6">
        <f>countifs('6A'!$Q$2:$Q$531, Z$1, '6A'!$B$2:$B$531, "&gt;"&amp;$L$3, '6A'!$B$2:$B$531, "&lt;"&amp;$M$3)</f>
        <v>0</v>
      </c>
      <c r="AA15" s="6">
        <f>countifs('6A'!$Q$2:$Q$531, AA$1, '6A'!$B$2:$B$531, "&gt;"&amp;$L$3, '6A'!$B$2:$B$531, "&lt;"&amp;$M$3)</f>
        <v>0</v>
      </c>
      <c r="AB15" s="6">
        <f>countifs('6A'!$Q$2:$Q$531, AB$1, '6A'!$B$2:$B$531, "&gt;"&amp;$L$4, '6A'!$B$2:$B$531, "&lt;"&amp;$M$4)</f>
        <v>0</v>
      </c>
      <c r="AC15" s="6">
        <f>countifs('6A'!$Q$2:$Q$531, AC$1, '6A'!$B$2:$B$531, "&gt;"&amp;$L$4, '6A'!$B$2:$B$531, "&lt;"&amp;$M$4)</f>
        <v>0</v>
      </c>
      <c r="AD15" s="6">
        <f>countifs('6A'!$Q$2:$Q$531, AD$1, '6A'!$B$2:$B$531, "&gt;"&amp;$L$4, '6A'!$B$2:$B$531, "&lt;"&amp;$M$4)</f>
        <v>0</v>
      </c>
      <c r="AE15" s="6">
        <f>countifs('6A'!$Q$2:$Q$531, AE$1, '6A'!$B$2:$B$531, "&gt;"&amp;$L$4, '6A'!$B$2:$B$531, "&lt;"&amp;$M$4)</f>
        <v>0</v>
      </c>
      <c r="AF15" s="6">
        <f>countifs('6A'!$Q$2:$Q$531, AF$1, '6A'!$B$2:$B$531, "&gt;"&amp;$L$4, '6A'!$B$2:$B$531, "&lt;"&amp;$M$4)</f>
        <v>0</v>
      </c>
      <c r="AG15" s="6">
        <f>countifs('6A'!$Q$2:$Q$531, AG$1, '6A'!$B$2:$B$531, "&gt;"&amp;$L$4, '6A'!$B$2:$B$531, "&lt;"&amp;$M$4)</f>
        <v>0</v>
      </c>
      <c r="AH15" s="6">
        <f>countifs('6A'!$Q$2:$Q$531, AH$1, '6A'!$B$2:$B$531, "&gt;"&amp;$L$4, '6A'!$B$2:$B$531, "&lt;"&amp;$M$4)</f>
        <v>0</v>
      </c>
      <c r="AI15" s="3">
        <v>8.0</v>
      </c>
      <c r="AJ15" s="3">
        <v>3.0</v>
      </c>
      <c r="AK15" s="3">
        <v>1.0</v>
      </c>
      <c r="AL15" s="7" t="str">
        <f>IFERROR(__xludf.DUMMYFUNCTION("AVERAGE.WEIGHTED($N$1:$T$1, N15:T15)"),"#DIV/0!")</f>
        <v>#DIV/0!</v>
      </c>
      <c r="AM15" s="7" t="str">
        <f>IFERROR(__xludf.DUMMYFUNCTION("AVERAGE.WEIGHTED($U$1:$AA$1, U15:AA15)"),"#DIV/0!")</f>
        <v>#DIV/0!</v>
      </c>
      <c r="AN15" s="7" t="str">
        <f>IFERROR(__xludf.DUMMYFUNCTION("AVERAGE.WEIGHTED($AB$1:$AH$1, AB15:AH15)"),"#DIV/0!")</f>
        <v>#DIV/0!</v>
      </c>
      <c r="AO15" s="7" t="str">
        <f t="shared" ref="AO15:AQ15" si="52">(AL15-1)*100/6</f>
        <v>#DIV/0!</v>
      </c>
      <c r="AP15" s="7" t="str">
        <f t="shared" si="52"/>
        <v>#DIV/0!</v>
      </c>
      <c r="AQ15" s="7" t="str">
        <f t="shared" si="52"/>
        <v>#DIV/0!</v>
      </c>
      <c r="AR15" s="8" t="str">
        <f t="shared" ref="AR15:AT15" si="53">average($AO15:$AQ15)</f>
        <v>#DIV/0!</v>
      </c>
      <c r="AS15" s="8" t="str">
        <f t="shared" si="53"/>
        <v>#DIV/0!</v>
      </c>
      <c r="AT15" s="8" t="str">
        <f t="shared" si="53"/>
        <v>#DIV/0!</v>
      </c>
      <c r="AU15" s="8" t="str">
        <f t="shared" si="10"/>
        <v>#DIV/0!</v>
      </c>
      <c r="AV15" s="6">
        <f>countifs('6A'!$Q$2:$Q$531, AV$1, '6A'!$C$2:$C$531, "Karl")</f>
        <v>4</v>
      </c>
      <c r="AW15" s="6">
        <f>countifs('6A'!$Q$2:$Q$531, AW$1, '6A'!$C$2:$C$531, "Karl")</f>
        <v>0</v>
      </c>
      <c r="AX15" s="6">
        <f>countifs('6A'!$Q$2:$Q$531, AX$1, '6A'!$C$2:$C$531, "Karl")</f>
        <v>2</v>
      </c>
      <c r="AY15" s="6">
        <f>countifs('6A'!$Q$2:$Q$531, AY$1, '6A'!$C$2:$C$531, "Karl")</f>
        <v>0</v>
      </c>
      <c r="AZ15" s="6">
        <f>countifs('6A'!$Q$2:$Q$531, AZ$1, '6A'!$C$2:$C$531, "Karl")</f>
        <v>1</v>
      </c>
      <c r="BA15" s="6">
        <f>countifs('6A'!$Q$2:$Q$531, BA$1, '6A'!$C$2:$C$531, "Karl")</f>
        <v>0</v>
      </c>
      <c r="BB15" s="6">
        <f>countifs('6A'!$Q$2:$Q$531, BB$1, '6A'!$C$2:$C$531, "Karl")</f>
        <v>0</v>
      </c>
      <c r="BC15" s="6">
        <f>countifs('6A'!$Q$2:$Q$531, BC$1, '6A'!$C$2:$C$531, "Kona")</f>
        <v>12</v>
      </c>
      <c r="BD15" s="6">
        <f>countifs('6A'!$Q$2:$Q$531, BD$1, '6A'!$C$2:$C$531, "Kona")</f>
        <v>1</v>
      </c>
      <c r="BE15" s="6">
        <f>countifs('6A'!$Q$2:$Q$531, BE$1, '6A'!$C$2:$C$531, "Kona")</f>
        <v>0</v>
      </c>
      <c r="BF15" s="6">
        <f>countifs('6A'!$Q$2:$Q$531, BF$1, '6A'!$C$2:$C$531, "Kona")</f>
        <v>0</v>
      </c>
      <c r="BG15" s="6">
        <f>countifs('6A'!$Q$2:$Q$531, BG$1, '6A'!$C$2:$C$531, "Kona")</f>
        <v>1</v>
      </c>
      <c r="BH15" s="6">
        <f>countifs('6A'!$Q$2:$Q$531, BH$1, '6A'!$C$2:$C$531, "Kona")</f>
        <v>0</v>
      </c>
      <c r="BI15" s="6">
        <f>countifs('6A'!$Q$2:$Q$531, BI$1, '6A'!$C$2:$C$531, "Kona")</f>
        <v>0</v>
      </c>
      <c r="BJ15" s="9">
        <f t="shared" si="11"/>
        <v>7</v>
      </c>
      <c r="BK15" s="9">
        <f t="shared" si="12"/>
        <v>14</v>
      </c>
      <c r="BL15" s="7">
        <f>IFERROR(__xludf.DUMMYFUNCTION("AVERAGE.WEIGHTED($AV$1:$BB$1,AV15:BB15)"),2.142857142857143)</f>
        <v>2.142857143</v>
      </c>
      <c r="BM15" s="7">
        <f>IFERROR(__xludf.DUMMYFUNCTION("AVERAGE.WEIGHTED($BC$1:$BI$1,BC15:BI15)"),1.3571428571428572)</f>
        <v>1.357142857</v>
      </c>
      <c r="BN15" s="7">
        <f t="shared" ref="BN15:BO15" si="54">(BL15-1)*100/6</f>
        <v>19.04761905</v>
      </c>
      <c r="BO15" s="7">
        <f t="shared" si="54"/>
        <v>5.952380952</v>
      </c>
      <c r="BP15" s="7">
        <f t="shared" si="14"/>
        <v>12.5</v>
      </c>
      <c r="BQ15" s="7">
        <f t="shared" si="15"/>
        <v>12.5</v>
      </c>
      <c r="BR15" s="8">
        <f t="shared" si="16"/>
        <v>0.008817563786</v>
      </c>
    </row>
    <row r="16">
      <c r="A16" s="3">
        <v>15.0</v>
      </c>
      <c r="B16" s="1" t="s">
        <v>17</v>
      </c>
      <c r="C16" s="6">
        <f>countif('6A'!$R$2:$R$531, C$1)</f>
        <v>6</v>
      </c>
      <c r="D16" s="6">
        <f>countif('6A'!$R$2:$R$531, D$1)</f>
        <v>2</v>
      </c>
      <c r="E16" s="6">
        <f>countif('6A'!$R$2:$R$531, E$1)</f>
        <v>1</v>
      </c>
      <c r="F16" s="6">
        <f>countif('6A'!$R$2:$R$531, F$1)</f>
        <v>0</v>
      </c>
      <c r="G16" s="6">
        <f>countif('6A'!$R$2:$R$531, G$1)</f>
        <v>5</v>
      </c>
      <c r="H16" s="6">
        <f>countif('6A'!$R$2:$R$531, H$1)</f>
        <v>3</v>
      </c>
      <c r="I16" s="6">
        <f>countif('6A'!$R$2:$R$531, I$1)</f>
        <v>4</v>
      </c>
      <c r="J16" s="6">
        <f t="shared" si="21"/>
        <v>21</v>
      </c>
      <c r="K16" s="7">
        <f t="shared" si="6"/>
        <v>4</v>
      </c>
      <c r="N16" s="6">
        <f>countifs('6A'!$R$2:$R$531, N$1, '6A'!$B$2:$B$531, "&gt;"&amp;$L$2, '6A'!$B$2:$B$531, "&lt;"&amp;$M$2)</f>
        <v>0</v>
      </c>
      <c r="O16" s="6">
        <f>countifs('6A'!$R$2:$R$531, O$1, '6A'!$B$2:$B$531, "&gt;"&amp;$L$2, '6A'!$B$2:$B$531, "&lt;"&amp;$M$2)</f>
        <v>0</v>
      </c>
      <c r="P16" s="6">
        <f>countifs('6A'!$R$2:$R$531, P$1, '6A'!$B$2:$B$531, "&gt;"&amp;$L$2, '6A'!$B$2:$B$531, "&lt;"&amp;$M$2)</f>
        <v>0</v>
      </c>
      <c r="Q16" s="6">
        <f>countifs('6A'!$R$2:$R$531, Q$1, '6A'!$B$2:$B$531, "&gt;"&amp;$L$2, '6A'!$B$2:$B$531, "&lt;"&amp;$M$2)</f>
        <v>0</v>
      </c>
      <c r="R16" s="6">
        <f>countifs('6A'!$R$2:$R$531, R$1, '6A'!$B$2:$B$531, "&gt;"&amp;$L$2, '6A'!$B$2:$B$531, "&lt;"&amp;$M$2)</f>
        <v>0</v>
      </c>
      <c r="S16" s="6">
        <f>countifs('6A'!$R$2:$R$531, S$1, '6A'!$B$2:$B$531, "&gt;"&amp;$L$2, '6A'!$B$2:$B$531, "&lt;"&amp;$M$2)</f>
        <v>0</v>
      </c>
      <c r="T16" s="6">
        <f>countifs('6A'!$R$2:$R$531, T$1, '6A'!$B$2:$B$531, "&gt;"&amp;$L$2, '6A'!$B$2:$B$531, "&lt;"&amp;$M$2)</f>
        <v>0</v>
      </c>
      <c r="U16" s="6">
        <f>countifs('6A'!$R$2:$R$531, U$1, '6A'!$B$2:$B$531, "&gt;"&amp;$L$3, '6A'!$B$2:$B$531, "&lt;"&amp;$M$3)</f>
        <v>0</v>
      </c>
      <c r="V16" s="6">
        <f>countifs('6A'!$R$2:$R$531, V$1, '6A'!$B$2:$B$531, "&gt;"&amp;$L$3, '6A'!$B$2:$B$531, "&lt;"&amp;$M$3)</f>
        <v>0</v>
      </c>
      <c r="W16" s="6">
        <f>countifs('6A'!$R$2:$R$531, W$1, '6A'!$B$2:$B$531, "&gt;"&amp;$L$3, '6A'!$B$2:$B$531, "&lt;"&amp;$M$3)</f>
        <v>0</v>
      </c>
      <c r="X16" s="6">
        <f>countifs('6A'!$R$2:$R$531, X$1, '6A'!$B$2:$B$531, "&gt;"&amp;$L$3, '6A'!$B$2:$B$531, "&lt;"&amp;$M$3)</f>
        <v>0</v>
      </c>
      <c r="Y16" s="6">
        <f>countifs('6A'!$R$2:$R$531, Y$1, '6A'!$B$2:$B$531, "&gt;"&amp;$L$3, '6A'!$B$2:$B$531, "&lt;"&amp;$M$3)</f>
        <v>0</v>
      </c>
      <c r="Z16" s="6">
        <f>countifs('6A'!$R$2:$R$531, Z$1, '6A'!$B$2:$B$531, "&gt;"&amp;$L$3, '6A'!$B$2:$B$531, "&lt;"&amp;$M$3)</f>
        <v>0</v>
      </c>
      <c r="AA16" s="6">
        <f>countifs('6A'!$R$2:$R$531, AA$1, '6A'!$B$2:$B$531, "&gt;"&amp;$L$3, '6A'!$B$2:$B$531, "&lt;"&amp;$M$3)</f>
        <v>0</v>
      </c>
      <c r="AB16" s="6">
        <f>countifs('6A'!$R$2:$R$531, AB$1, '6A'!$B$2:$B$531, "&gt;"&amp;$L$4, '6A'!$B$2:$B$531, "&lt;"&amp;$M$4)</f>
        <v>0</v>
      </c>
      <c r="AC16" s="6">
        <f>countifs('6A'!$R$2:$R$531, AC$1, '6A'!$B$2:$B$531, "&gt;"&amp;$L$4, '6A'!$B$2:$B$531, "&lt;"&amp;$M$4)</f>
        <v>0</v>
      </c>
      <c r="AD16" s="6">
        <f>countifs('6A'!$R$2:$R$531, AD$1, '6A'!$B$2:$B$531, "&gt;"&amp;$L$4, '6A'!$B$2:$B$531, "&lt;"&amp;$M$4)</f>
        <v>0</v>
      </c>
      <c r="AE16" s="6">
        <f>countifs('6A'!$R$2:$R$531, AE$1, '6A'!$B$2:$B$531, "&gt;"&amp;$L$4, '6A'!$B$2:$B$531, "&lt;"&amp;$M$4)</f>
        <v>0</v>
      </c>
      <c r="AF16" s="6">
        <f>countifs('6A'!$R$2:$R$531, AF$1, '6A'!$B$2:$B$531, "&gt;"&amp;$L$4, '6A'!$B$2:$B$531, "&lt;"&amp;$M$4)</f>
        <v>0</v>
      </c>
      <c r="AG16" s="6">
        <f>countifs('6A'!$R$2:$R$531, AG$1, '6A'!$B$2:$B$531, "&gt;"&amp;$L$4, '6A'!$B$2:$B$531, "&lt;"&amp;$M$4)</f>
        <v>0</v>
      </c>
      <c r="AH16" s="6">
        <f>countifs('6A'!$R$2:$R$531, AH$1, '6A'!$B$2:$B$531, "&gt;"&amp;$L$4, '6A'!$B$2:$B$531, "&lt;"&amp;$M$4)</f>
        <v>0</v>
      </c>
      <c r="AI16" s="3">
        <v>8.0</v>
      </c>
      <c r="AJ16" s="3">
        <v>3.0</v>
      </c>
      <c r="AK16" s="3">
        <v>1.0</v>
      </c>
      <c r="AL16" s="7" t="str">
        <f>IFERROR(__xludf.DUMMYFUNCTION("AVERAGE.WEIGHTED($N$1:$T$1, N16:T16)"),"#DIV/0!")</f>
        <v>#DIV/0!</v>
      </c>
      <c r="AM16" s="7" t="str">
        <f>IFERROR(__xludf.DUMMYFUNCTION("AVERAGE.WEIGHTED($U$1:$AA$1, U16:AA16)"),"#DIV/0!")</f>
        <v>#DIV/0!</v>
      </c>
      <c r="AN16" s="7" t="str">
        <f>IFERROR(__xludf.DUMMYFUNCTION("AVERAGE.WEIGHTED($AB$1:$AH$1, AB16:AH16)"),"#DIV/0!")</f>
        <v>#DIV/0!</v>
      </c>
      <c r="AO16" s="7" t="str">
        <f t="shared" ref="AO16:AQ16" si="55">(AL16-1)*100/6</f>
        <v>#DIV/0!</v>
      </c>
      <c r="AP16" s="7" t="str">
        <f t="shared" si="55"/>
        <v>#DIV/0!</v>
      </c>
      <c r="AQ16" s="7" t="str">
        <f t="shared" si="55"/>
        <v>#DIV/0!</v>
      </c>
      <c r="AR16" s="8" t="str">
        <f t="shared" ref="AR16:AT16" si="56">average($AO16:$AQ16)</f>
        <v>#DIV/0!</v>
      </c>
      <c r="AS16" s="8" t="str">
        <f t="shared" si="56"/>
        <v>#DIV/0!</v>
      </c>
      <c r="AT16" s="8" t="str">
        <f t="shared" si="56"/>
        <v>#DIV/0!</v>
      </c>
      <c r="AU16" s="8" t="str">
        <f t="shared" si="10"/>
        <v>#DIV/0!</v>
      </c>
      <c r="AV16" s="6">
        <f>countifs('6A'!$R$2:$R$531, AV$1, '6A'!$C$2:$C$531, "Karl")</f>
        <v>3</v>
      </c>
      <c r="AW16" s="6">
        <f>countifs('6A'!$R$2:$R$531, AW$1, '6A'!$C$2:$C$531, "Karl")</f>
        <v>1</v>
      </c>
      <c r="AX16" s="6">
        <f>countifs('6A'!$R$2:$R$531, AX$1, '6A'!$C$2:$C$531, "Karl")</f>
        <v>1</v>
      </c>
      <c r="AY16" s="6">
        <f>countifs('6A'!$R$2:$R$531, AY$1, '6A'!$C$2:$C$531, "Karl")</f>
        <v>0</v>
      </c>
      <c r="AZ16" s="6">
        <f>countifs('6A'!$R$2:$R$531, AZ$1, '6A'!$C$2:$C$531, "Karl")</f>
        <v>1</v>
      </c>
      <c r="BA16" s="6">
        <f>countifs('6A'!$R$2:$R$531, BA$1, '6A'!$C$2:$C$531, "Karl")</f>
        <v>0</v>
      </c>
      <c r="BB16" s="6">
        <f>countifs('6A'!$R$2:$R$531, BB$1, '6A'!$C$2:$C$531, "Karl")</f>
        <v>1</v>
      </c>
      <c r="BC16" s="6">
        <f>countifs('6A'!$R$2:$R$531, BC$1, '6A'!$C$2:$C$531, "Kona")</f>
        <v>3</v>
      </c>
      <c r="BD16" s="6">
        <f>countifs('6A'!$R$2:$R$531, BD$1, '6A'!$C$2:$C$531, "Kona")</f>
        <v>1</v>
      </c>
      <c r="BE16" s="6">
        <f>countifs('6A'!$R$2:$R$531, BE$1, '6A'!$C$2:$C$531, "Kona")</f>
        <v>0</v>
      </c>
      <c r="BF16" s="6">
        <f>countifs('6A'!$R$2:$R$531, BF$1, '6A'!$C$2:$C$531, "Kona")</f>
        <v>0</v>
      </c>
      <c r="BG16" s="6">
        <f>countifs('6A'!$R$2:$R$531, BG$1, '6A'!$C$2:$C$531, "Kona")</f>
        <v>4</v>
      </c>
      <c r="BH16" s="6">
        <f>countifs('6A'!$R$2:$R$531, BH$1, '6A'!$C$2:$C$531, "Kona")</f>
        <v>3</v>
      </c>
      <c r="BI16" s="6">
        <f>countifs('6A'!$R$2:$R$531, BI$1, '6A'!$C$2:$C$531, "Kona")</f>
        <v>3</v>
      </c>
      <c r="BJ16" s="9">
        <f t="shared" si="11"/>
        <v>7</v>
      </c>
      <c r="BK16" s="9">
        <f t="shared" si="12"/>
        <v>14</v>
      </c>
      <c r="BL16" s="7">
        <f>IFERROR(__xludf.DUMMYFUNCTION("AVERAGE.WEIGHTED($AV$1:$BB$1,AV16:BB16)"),2.8571428571428568)</f>
        <v>2.857142857</v>
      </c>
      <c r="BM16" s="7">
        <f>IFERROR(__xludf.DUMMYFUNCTION("AVERAGE.WEIGHTED($BC$1:$BI$1,BC16:BI16)"),4.571428571428571)</f>
        <v>4.571428571</v>
      </c>
      <c r="BN16" s="7">
        <f t="shared" ref="BN16:BO16" si="57">(BL16-1)*100/6</f>
        <v>30.95238095</v>
      </c>
      <c r="BO16" s="7">
        <f t="shared" si="57"/>
        <v>59.52380952</v>
      </c>
      <c r="BP16" s="7">
        <f t="shared" si="14"/>
        <v>45.23809524</v>
      </c>
      <c r="BQ16" s="7">
        <f t="shared" si="15"/>
        <v>45.23809524</v>
      </c>
      <c r="BR16" s="8">
        <f t="shared" si="16"/>
        <v>0.002666681794</v>
      </c>
    </row>
    <row r="17">
      <c r="A17" s="3">
        <v>16.0</v>
      </c>
      <c r="B17" s="1" t="s">
        <v>18</v>
      </c>
      <c r="C17" s="6">
        <f>countif('6A'!$S$2:$S$531, C$1)</f>
        <v>2</v>
      </c>
      <c r="D17" s="6">
        <f>countif('6A'!$S$2:$S$531, D$1)</f>
        <v>3</v>
      </c>
      <c r="E17" s="6">
        <f>countif('6A'!$S$2:$S$531, E$1)</f>
        <v>1</v>
      </c>
      <c r="F17" s="6">
        <f>countif('6A'!$S$2:$S$531, F$1)</f>
        <v>3</v>
      </c>
      <c r="G17" s="6">
        <f>countif('6A'!$S$2:$S$531, G$1)</f>
        <v>2</v>
      </c>
      <c r="H17" s="6">
        <f>countif('6A'!$S$2:$S$531, H$1)</f>
        <v>4</v>
      </c>
      <c r="I17" s="6">
        <f>countif('6A'!$S$2:$S$531, I$1)</f>
        <v>6</v>
      </c>
      <c r="J17" s="6">
        <f t="shared" ref="J17:J26" si="61">SUM(C17:I17)</f>
        <v>21</v>
      </c>
      <c r="K17" s="7">
        <f t="shared" si="6"/>
        <v>4.714285714</v>
      </c>
      <c r="N17" s="6">
        <f>countifs('6A'!$S$2:$S$531, N$1, '6A'!$B$2:$B$531, "&gt;"&amp;$L$2, '6A'!$B$2:$B$531, "&lt;"&amp;$M$2)</f>
        <v>0</v>
      </c>
      <c r="O17" s="6">
        <f>countifs('6A'!$S$2:$S$531, O$1, '6A'!$B$2:$B$531, "&gt;"&amp;$L$2, '6A'!$B$2:$B$531, "&lt;"&amp;$M$2)</f>
        <v>0</v>
      </c>
      <c r="P17" s="6">
        <f>countifs('6A'!$S$2:$S$531, P$1, '6A'!$B$2:$B$531, "&gt;"&amp;$L$2, '6A'!$B$2:$B$531, "&lt;"&amp;$M$2)</f>
        <v>0</v>
      </c>
      <c r="Q17" s="6">
        <f>countifs('6A'!$S$2:$S$531, Q$1, '6A'!$B$2:$B$531, "&gt;"&amp;$L$2, '6A'!$B$2:$B$531, "&lt;"&amp;$M$2)</f>
        <v>0</v>
      </c>
      <c r="R17" s="6">
        <f>countifs('6A'!$S$2:$S$531, R$1, '6A'!$B$2:$B$531, "&gt;"&amp;$L$2, '6A'!$B$2:$B$531, "&lt;"&amp;$M$2)</f>
        <v>0</v>
      </c>
      <c r="S17" s="6">
        <f>countifs('6A'!$S$2:$S$531, S$1, '6A'!$B$2:$B$531, "&gt;"&amp;$L$2, '6A'!$B$2:$B$531, "&lt;"&amp;$M$2)</f>
        <v>0</v>
      </c>
      <c r="T17" s="6">
        <f>countifs('6A'!$S$2:$S$531, T$1, '6A'!$B$2:$B$531, "&gt;"&amp;$L$2, '6A'!$B$2:$B$531, "&lt;"&amp;$M$2)</f>
        <v>0</v>
      </c>
      <c r="U17" s="6">
        <f>countifs('6A'!$S$2:$S$531, U$1, '6A'!$B$2:$B$531, "&gt;"&amp;$L$3, '6A'!$B$2:$B$531, "&lt;"&amp;$M$3)</f>
        <v>0</v>
      </c>
      <c r="V17" s="6">
        <f>countifs('6A'!$S$2:$S$531, V$1, '6A'!$B$2:$B$531, "&gt;"&amp;$L$3, '6A'!$B$2:$B$531, "&lt;"&amp;$M$3)</f>
        <v>0</v>
      </c>
      <c r="W17" s="6">
        <f>countifs('6A'!$S$2:$S$531, W$1, '6A'!$B$2:$B$531, "&gt;"&amp;$L$3, '6A'!$B$2:$B$531, "&lt;"&amp;$M$3)</f>
        <v>0</v>
      </c>
      <c r="X17" s="6">
        <f>countifs('6A'!$S$2:$S$531, X$1, '6A'!$B$2:$B$531, "&gt;"&amp;$L$3, '6A'!$B$2:$B$531, "&lt;"&amp;$M$3)</f>
        <v>0</v>
      </c>
      <c r="Y17" s="6">
        <f>countifs('6A'!$S$2:$S$531, Y$1, '6A'!$B$2:$B$531, "&gt;"&amp;$L$3, '6A'!$B$2:$B$531, "&lt;"&amp;$M$3)</f>
        <v>0</v>
      </c>
      <c r="Z17" s="6">
        <f>countifs('6A'!$S$2:$S$531, Z$1, '6A'!$B$2:$B$531, "&gt;"&amp;$L$3, '6A'!$B$2:$B$531, "&lt;"&amp;$M$3)</f>
        <v>0</v>
      </c>
      <c r="AA17" s="6">
        <f>countifs('6A'!$S$2:$S$531, AA$1, '6A'!$B$2:$B$531, "&gt;"&amp;$L$3, '6A'!$B$2:$B$531, "&lt;"&amp;$M$3)</f>
        <v>0</v>
      </c>
      <c r="AB17" s="6">
        <f>countifs('6A'!$S$2:$S$531, AB$1, '6A'!$B$2:$B$531, "&gt;"&amp;$L$4, '6A'!$B$2:$B$531, "&lt;"&amp;$M$4)</f>
        <v>0</v>
      </c>
      <c r="AC17" s="6">
        <f>countifs('6A'!$S$2:$S$531, AC$1, '6A'!$B$2:$B$531, "&gt;"&amp;$L$4, '6A'!$B$2:$B$531, "&lt;"&amp;$M$4)</f>
        <v>0</v>
      </c>
      <c r="AD17" s="6">
        <f>countifs('6A'!$S$2:$S$531, AD$1, '6A'!$B$2:$B$531, "&gt;"&amp;$L$4, '6A'!$B$2:$B$531, "&lt;"&amp;$M$4)</f>
        <v>0</v>
      </c>
      <c r="AE17" s="6">
        <f>countifs('6A'!$S$2:$S$531, AE$1, '6A'!$B$2:$B$531, "&gt;"&amp;$L$4, '6A'!$B$2:$B$531, "&lt;"&amp;$M$4)</f>
        <v>0</v>
      </c>
      <c r="AF17" s="6">
        <f>countifs('6A'!$S$2:$S$531, AF$1, '6A'!$B$2:$B$531, "&gt;"&amp;$L$4, '6A'!$B$2:$B$531, "&lt;"&amp;$M$4)</f>
        <v>0</v>
      </c>
      <c r="AG17" s="6">
        <f>countifs('6A'!$S$2:$S$531, AG$1, '6A'!$B$2:$B$531, "&gt;"&amp;$L$4, '6A'!$B$2:$B$531, "&lt;"&amp;$M$4)</f>
        <v>0</v>
      </c>
      <c r="AH17" s="6">
        <f>countifs('6A'!$S$2:$S$531, AH$1, '6A'!$B$2:$B$531, "&gt;"&amp;$L$4, '6A'!$B$2:$B$531, "&lt;"&amp;$M$4)</f>
        <v>0</v>
      </c>
      <c r="AI17" s="3">
        <v>8.0</v>
      </c>
      <c r="AJ17" s="3">
        <v>3.0</v>
      </c>
      <c r="AK17" s="3">
        <v>1.0</v>
      </c>
      <c r="AL17" s="7" t="str">
        <f>IFERROR(__xludf.DUMMYFUNCTION("AVERAGE.WEIGHTED($N$1:$T$1, N17:T17)"),"#DIV/0!")</f>
        <v>#DIV/0!</v>
      </c>
      <c r="AM17" s="7" t="str">
        <f>IFERROR(__xludf.DUMMYFUNCTION("AVERAGE.WEIGHTED($U$1:$AA$1, U17:AA17)"),"#DIV/0!")</f>
        <v>#DIV/0!</v>
      </c>
      <c r="AN17" s="7" t="str">
        <f>IFERROR(__xludf.DUMMYFUNCTION("AVERAGE.WEIGHTED($AB$1:$AH$1, AB17:AH17)"),"#DIV/0!")</f>
        <v>#DIV/0!</v>
      </c>
      <c r="AO17" s="7" t="str">
        <f t="shared" ref="AO17:AQ17" si="58">(AL17-1)*100/6</f>
        <v>#DIV/0!</v>
      </c>
      <c r="AP17" s="7" t="str">
        <f t="shared" si="58"/>
        <v>#DIV/0!</v>
      </c>
      <c r="AQ17" s="7" t="str">
        <f t="shared" si="58"/>
        <v>#DIV/0!</v>
      </c>
      <c r="AR17" s="8" t="str">
        <f t="shared" ref="AR17:AT17" si="59">average($AO17:$AQ17)</f>
        <v>#DIV/0!</v>
      </c>
      <c r="AS17" s="8" t="str">
        <f t="shared" si="59"/>
        <v>#DIV/0!</v>
      </c>
      <c r="AT17" s="8" t="str">
        <f t="shared" si="59"/>
        <v>#DIV/0!</v>
      </c>
      <c r="AU17" s="8" t="str">
        <f t="shared" si="10"/>
        <v>#DIV/0!</v>
      </c>
      <c r="AV17" s="6">
        <f>countifs('6A'!$S$2:$S$531, AV$1, '6A'!$C$2:$C$531, "Karl")</f>
        <v>1</v>
      </c>
      <c r="AW17" s="6">
        <f>countifs('6A'!$S$2:$S$531, AW$1, '6A'!$C$2:$C$531, "Karl")</f>
        <v>0</v>
      </c>
      <c r="AX17" s="6">
        <f>countifs('6A'!$S$2:$S$531, AX$1, '6A'!$C$2:$C$531, "Karl")</f>
        <v>0</v>
      </c>
      <c r="AY17" s="6">
        <f>countifs('6A'!$S$2:$S$531, AY$1, '6A'!$C$2:$C$531, "Karl")</f>
        <v>2</v>
      </c>
      <c r="AZ17" s="6">
        <f>countifs('6A'!$S$2:$S$531, AZ$1, '6A'!$C$2:$C$531, "Karl")</f>
        <v>0</v>
      </c>
      <c r="BA17" s="6">
        <f>countifs('6A'!$S$2:$S$531, BA$1, '6A'!$C$2:$C$531, "Karl")</f>
        <v>3</v>
      </c>
      <c r="BB17" s="6">
        <f>countifs('6A'!$S$2:$S$531, BB$1, '6A'!$C$2:$C$531, "Karl")</f>
        <v>1</v>
      </c>
      <c r="BC17" s="6">
        <f>countifs('6A'!$S$2:$S$531, BC$1, '6A'!$C$2:$C$531, "Kona")</f>
        <v>1</v>
      </c>
      <c r="BD17" s="6">
        <f>countifs('6A'!$S$2:$S$531, BD$1, '6A'!$C$2:$C$531, "Kona")</f>
        <v>3</v>
      </c>
      <c r="BE17" s="6">
        <f>countifs('6A'!$S$2:$S$531, BE$1, '6A'!$C$2:$C$531, "Kona")</f>
        <v>1</v>
      </c>
      <c r="BF17" s="6">
        <f>countifs('6A'!$S$2:$S$531, BF$1, '6A'!$C$2:$C$531, "Kona")</f>
        <v>1</v>
      </c>
      <c r="BG17" s="6">
        <f>countifs('6A'!$S$2:$S$531, BG$1, '6A'!$C$2:$C$531, "Kona")</f>
        <v>2</v>
      </c>
      <c r="BH17" s="6">
        <f>countifs('6A'!$S$2:$S$531, BH$1, '6A'!$C$2:$C$531, "Kona")</f>
        <v>1</v>
      </c>
      <c r="BI17" s="6">
        <f>countifs('6A'!$S$2:$S$531, BI$1, '6A'!$C$2:$C$531, "Kona")</f>
        <v>5</v>
      </c>
      <c r="BJ17" s="9">
        <f t="shared" si="11"/>
        <v>7</v>
      </c>
      <c r="BK17" s="9">
        <f t="shared" si="12"/>
        <v>14</v>
      </c>
      <c r="BL17" s="7">
        <f>IFERROR(__xludf.DUMMYFUNCTION("AVERAGE.WEIGHTED($AV$1:$BB$1,AV17:BB17)"),4.857142857142857)</f>
        <v>4.857142857</v>
      </c>
      <c r="BM17" s="7">
        <f>IFERROR(__xludf.DUMMYFUNCTION("AVERAGE.WEIGHTED($BC$1:$BI$1,BC17:BI17)"),4.642857142857143)</f>
        <v>4.642857143</v>
      </c>
      <c r="BN17" s="7">
        <f t="shared" ref="BN17:BO17" si="60">(BL17-1)*100/6</f>
        <v>64.28571429</v>
      </c>
      <c r="BO17" s="7">
        <f t="shared" si="60"/>
        <v>60.71428571</v>
      </c>
      <c r="BP17" s="7">
        <f t="shared" si="14"/>
        <v>62.5</v>
      </c>
      <c r="BQ17" s="7">
        <f t="shared" si="15"/>
        <v>62.5</v>
      </c>
      <c r="BR17" s="8">
        <f t="shared" si="16"/>
        <v>0.749394185</v>
      </c>
    </row>
    <row r="18">
      <c r="A18" s="3">
        <v>17.0</v>
      </c>
      <c r="B18" s="1" t="s">
        <v>19</v>
      </c>
      <c r="C18" s="6">
        <f>countif('6A'!$T$2:$T$531, C$1)</f>
        <v>6</v>
      </c>
      <c r="D18" s="6">
        <f>countif('6A'!$T$2:$T$531, D$1)</f>
        <v>1</v>
      </c>
      <c r="E18" s="6">
        <f>countif('6A'!$T$2:$T$531, E$1)</f>
        <v>3</v>
      </c>
      <c r="F18" s="6">
        <f>countif('6A'!$T$2:$T$531, F$1)</f>
        <v>4</v>
      </c>
      <c r="G18" s="6">
        <f>countif('6A'!$T$2:$T$531, G$1)</f>
        <v>1</v>
      </c>
      <c r="H18" s="6">
        <f>countif('6A'!$T$2:$T$531, H$1)</f>
        <v>5</v>
      </c>
      <c r="I18" s="6">
        <f>countif('6A'!$T$2:$T$531, I$1)</f>
        <v>1</v>
      </c>
      <c r="J18" s="6">
        <f t="shared" si="61"/>
        <v>21</v>
      </c>
      <c r="K18" s="7">
        <f t="shared" si="6"/>
        <v>3.571428571</v>
      </c>
      <c r="N18" s="6">
        <f>countifs('6A'!$T$2:$T$531, N$1, '6A'!$B$2:$B$531, "&gt;"&amp;$L$2, '6A'!$B$2:$B$531, "&lt;"&amp;$M$2)</f>
        <v>0</v>
      </c>
      <c r="O18" s="6">
        <f>countifs('6A'!$T$2:$T$531, O$1, '6A'!$B$2:$B$531, "&gt;"&amp;$L$2, '6A'!$B$2:$B$531, "&lt;"&amp;$M$2)</f>
        <v>0</v>
      </c>
      <c r="P18" s="6">
        <f>countifs('6A'!$T$2:$T$531, P$1, '6A'!$B$2:$B$531, "&gt;"&amp;$L$2, '6A'!$B$2:$B$531, "&lt;"&amp;$M$2)</f>
        <v>0</v>
      </c>
      <c r="Q18" s="6">
        <f>countifs('6A'!$T$2:$T$531, Q$1, '6A'!$B$2:$B$531, "&gt;"&amp;$L$2, '6A'!$B$2:$B$531, "&lt;"&amp;$M$2)</f>
        <v>0</v>
      </c>
      <c r="R18" s="6">
        <f>countifs('6A'!$T$2:$T$531, R$1, '6A'!$B$2:$B$531, "&gt;"&amp;$L$2, '6A'!$B$2:$B$531, "&lt;"&amp;$M$2)</f>
        <v>0</v>
      </c>
      <c r="S18" s="6">
        <f>countifs('6A'!$T$2:$T$531, S$1, '6A'!$B$2:$B$531, "&gt;"&amp;$L$2, '6A'!$B$2:$B$531, "&lt;"&amp;$M$2)</f>
        <v>0</v>
      </c>
      <c r="T18" s="6">
        <f>countifs('6A'!$T$2:$T$531, T$1, '6A'!$B$2:$B$531, "&gt;"&amp;$L$2, '6A'!$B$2:$B$531, "&lt;"&amp;$M$2)</f>
        <v>0</v>
      </c>
      <c r="U18" s="6">
        <f>countifs('6A'!$T$2:$T$531, U$1, '6A'!$B$2:$B$531, "&gt;"&amp;$L$3, '6A'!$B$2:$B$531, "&lt;"&amp;$M$3)</f>
        <v>0</v>
      </c>
      <c r="V18" s="6">
        <f>countifs('6A'!$T$2:$T$531, V$1, '6A'!$B$2:$B$531, "&gt;"&amp;$L$3, '6A'!$B$2:$B$531, "&lt;"&amp;$M$3)</f>
        <v>0</v>
      </c>
      <c r="W18" s="6">
        <f>countifs('6A'!$T$2:$T$531, W$1, '6A'!$B$2:$B$531, "&gt;"&amp;$L$3, '6A'!$B$2:$B$531, "&lt;"&amp;$M$3)</f>
        <v>0</v>
      </c>
      <c r="X18" s="6">
        <f>countifs('6A'!$T$2:$T$531, X$1, '6A'!$B$2:$B$531, "&gt;"&amp;$L$3, '6A'!$B$2:$B$531, "&lt;"&amp;$M$3)</f>
        <v>0</v>
      </c>
      <c r="Y18" s="6">
        <f>countifs('6A'!$T$2:$T$531, Y$1, '6A'!$B$2:$B$531, "&gt;"&amp;$L$3, '6A'!$B$2:$B$531, "&lt;"&amp;$M$3)</f>
        <v>0</v>
      </c>
      <c r="Z18" s="6">
        <f>countifs('6A'!$T$2:$T$531, Z$1, '6A'!$B$2:$B$531, "&gt;"&amp;$L$3, '6A'!$B$2:$B$531, "&lt;"&amp;$M$3)</f>
        <v>0</v>
      </c>
      <c r="AA18" s="6">
        <f>countifs('6A'!$T$2:$T$531, AA$1, '6A'!$B$2:$B$531, "&gt;"&amp;$L$3, '6A'!$B$2:$B$531, "&lt;"&amp;$M$3)</f>
        <v>0</v>
      </c>
      <c r="AB18" s="6">
        <f>countifs('6A'!$T$2:$T$531, AB$1, '6A'!$B$2:$B$531, "&gt;"&amp;$L$4, '6A'!$B$2:$B$531, "&lt;"&amp;$M$4)</f>
        <v>0</v>
      </c>
      <c r="AC18" s="6">
        <f>countifs('6A'!$T$2:$T$531, AC$1, '6A'!$B$2:$B$531, "&gt;"&amp;$L$4, '6A'!$B$2:$B$531, "&lt;"&amp;$M$4)</f>
        <v>0</v>
      </c>
      <c r="AD18" s="6">
        <f>countifs('6A'!$T$2:$T$531, AD$1, '6A'!$B$2:$B$531, "&gt;"&amp;$L$4, '6A'!$B$2:$B$531, "&lt;"&amp;$M$4)</f>
        <v>0</v>
      </c>
      <c r="AE18" s="6">
        <f>countifs('6A'!$T$2:$T$531, AE$1, '6A'!$B$2:$B$531, "&gt;"&amp;$L$4, '6A'!$B$2:$B$531, "&lt;"&amp;$M$4)</f>
        <v>0</v>
      </c>
      <c r="AF18" s="6">
        <f>countifs('6A'!$T$2:$T$531, AF$1, '6A'!$B$2:$B$531, "&gt;"&amp;$L$4, '6A'!$B$2:$B$531, "&lt;"&amp;$M$4)</f>
        <v>0</v>
      </c>
      <c r="AG18" s="6">
        <f>countifs('6A'!$T$2:$T$531, AG$1, '6A'!$B$2:$B$531, "&gt;"&amp;$L$4, '6A'!$B$2:$B$531, "&lt;"&amp;$M$4)</f>
        <v>0</v>
      </c>
      <c r="AH18" s="6">
        <f>countifs('6A'!$T$2:$T$531, AH$1, '6A'!$B$2:$B$531, "&gt;"&amp;$L$4, '6A'!$B$2:$B$531, "&lt;"&amp;$M$4)</f>
        <v>0</v>
      </c>
      <c r="AI18" s="3">
        <v>8.0</v>
      </c>
      <c r="AJ18" s="3">
        <v>3.0</v>
      </c>
      <c r="AK18" s="3">
        <v>1.0</v>
      </c>
      <c r="AL18" s="7" t="str">
        <f>IFERROR(__xludf.DUMMYFUNCTION("AVERAGE.WEIGHTED($N$1:$T$1, N18:T18)"),"#DIV/0!")</f>
        <v>#DIV/0!</v>
      </c>
      <c r="AM18" s="7" t="str">
        <f>IFERROR(__xludf.DUMMYFUNCTION("AVERAGE.WEIGHTED($U$1:$AA$1, U18:AA18)"),"#DIV/0!")</f>
        <v>#DIV/0!</v>
      </c>
      <c r="AN18" s="7" t="str">
        <f>IFERROR(__xludf.DUMMYFUNCTION("AVERAGE.WEIGHTED($AB$1:$AH$1, AB18:AH18)"),"#DIV/0!")</f>
        <v>#DIV/0!</v>
      </c>
      <c r="AO18" s="7" t="str">
        <f t="shared" ref="AO18:AQ18" si="62">(AL18-1)*100/6</f>
        <v>#DIV/0!</v>
      </c>
      <c r="AP18" s="7" t="str">
        <f t="shared" si="62"/>
        <v>#DIV/0!</v>
      </c>
      <c r="AQ18" s="7" t="str">
        <f t="shared" si="62"/>
        <v>#DIV/0!</v>
      </c>
      <c r="AR18" s="8" t="str">
        <f t="shared" ref="AR18:AT18" si="63">average($AO18:$AQ18)</f>
        <v>#DIV/0!</v>
      </c>
      <c r="AS18" s="8" t="str">
        <f t="shared" si="63"/>
        <v>#DIV/0!</v>
      </c>
      <c r="AT18" s="8" t="str">
        <f t="shared" si="63"/>
        <v>#DIV/0!</v>
      </c>
      <c r="AU18" s="8" t="str">
        <f t="shared" si="10"/>
        <v>#DIV/0!</v>
      </c>
      <c r="AV18" s="6">
        <f>countifs('6A'!$T$2:$T$531, AV$1, '6A'!$C$2:$C$531, "Karl")</f>
        <v>3</v>
      </c>
      <c r="AW18" s="6">
        <f>countifs('6A'!$T$2:$T$531, AW$1, '6A'!$C$2:$C$531, "Karl")</f>
        <v>0</v>
      </c>
      <c r="AX18" s="6">
        <f>countifs('6A'!$T$2:$T$531, AX$1, '6A'!$C$2:$C$531, "Karl")</f>
        <v>0</v>
      </c>
      <c r="AY18" s="6">
        <f>countifs('6A'!$T$2:$T$531, AY$1, '6A'!$C$2:$C$531, "Karl")</f>
        <v>1</v>
      </c>
      <c r="AZ18" s="6">
        <f>countifs('6A'!$T$2:$T$531, AZ$1, '6A'!$C$2:$C$531, "Karl")</f>
        <v>0</v>
      </c>
      <c r="BA18" s="6">
        <f>countifs('6A'!$T$2:$T$531, BA$1, '6A'!$C$2:$C$531, "Karl")</f>
        <v>3</v>
      </c>
      <c r="BB18" s="6">
        <f>countifs('6A'!$T$2:$T$531, BB$1, '6A'!$C$2:$C$531, "Karl")</f>
        <v>0</v>
      </c>
      <c r="BC18" s="6">
        <f>countifs('6A'!$T$2:$T$531, BC$1, '6A'!$C$2:$C$531, "Kona")</f>
        <v>3</v>
      </c>
      <c r="BD18" s="6">
        <f>countifs('6A'!$T$2:$T$531, BD$1, '6A'!$C$2:$C$531, "Kona")</f>
        <v>1</v>
      </c>
      <c r="BE18" s="6">
        <f>countifs('6A'!$T$2:$T$531, BE$1, '6A'!$C$2:$C$531, "Kona")</f>
        <v>3</v>
      </c>
      <c r="BF18" s="6">
        <f>countifs('6A'!$T$2:$T$531, BF$1, '6A'!$C$2:$C$531, "Kona")</f>
        <v>3</v>
      </c>
      <c r="BG18" s="6">
        <f>countifs('6A'!$T$2:$T$531, BG$1, '6A'!$C$2:$C$531, "Kona")</f>
        <v>1</v>
      </c>
      <c r="BH18" s="6">
        <f>countifs('6A'!$T$2:$T$531, BH$1, '6A'!$C$2:$C$531, "Kona")</f>
        <v>2</v>
      </c>
      <c r="BI18" s="6">
        <f>countifs('6A'!$T$2:$T$531, BI$1, '6A'!$C$2:$C$531, "Kona")</f>
        <v>1</v>
      </c>
      <c r="BJ18" s="9">
        <f t="shared" si="11"/>
        <v>7</v>
      </c>
      <c r="BK18" s="9">
        <f t="shared" si="12"/>
        <v>14</v>
      </c>
      <c r="BL18" s="7">
        <f>IFERROR(__xludf.DUMMYFUNCTION("AVERAGE.WEIGHTED($AV$1:$BB$1,AV18:BB18)"),3.571428571428571)</f>
        <v>3.571428571</v>
      </c>
      <c r="BM18" s="7">
        <f>IFERROR(__xludf.DUMMYFUNCTION("AVERAGE.WEIGHTED($BC$1:$BI$1,BC18:BI18)"),3.571428571428571)</f>
        <v>3.571428571</v>
      </c>
      <c r="BN18" s="7">
        <f t="shared" ref="BN18:BO18" si="64">(BL18-1)*100/6</f>
        <v>42.85714286</v>
      </c>
      <c r="BO18" s="7">
        <f t="shared" si="64"/>
        <v>42.85714286</v>
      </c>
      <c r="BP18" s="7">
        <f t="shared" si="14"/>
        <v>42.85714286</v>
      </c>
      <c r="BQ18" s="7">
        <f t="shared" si="15"/>
        <v>42.85714286</v>
      </c>
      <c r="BR18" s="8">
        <f t="shared" si="16"/>
        <v>1</v>
      </c>
    </row>
    <row r="19">
      <c r="A19" s="3">
        <v>18.0</v>
      </c>
      <c r="B19" s="1" t="s">
        <v>20</v>
      </c>
      <c r="C19" s="6">
        <f>countif('6A'!$U$2:$U$531, C$1)</f>
        <v>7</v>
      </c>
      <c r="D19" s="6">
        <f>countif('6A'!$U$2:$U$531, D$1)</f>
        <v>2</v>
      </c>
      <c r="E19" s="6">
        <f>countif('6A'!$U$2:$U$531, E$1)</f>
        <v>2</v>
      </c>
      <c r="F19" s="6">
        <f>countif('6A'!$U$2:$U$531, F$1)</f>
        <v>2</v>
      </c>
      <c r="G19" s="6">
        <f>countif('6A'!$U$2:$U$531, G$1)</f>
        <v>3</v>
      </c>
      <c r="H19" s="6">
        <f>countif('6A'!$U$2:$U$531, H$1)</f>
        <v>2</v>
      </c>
      <c r="I19" s="6">
        <f>countif('6A'!$U$2:$U$531, I$1)</f>
        <v>3</v>
      </c>
      <c r="J19" s="6">
        <f t="shared" si="61"/>
        <v>21</v>
      </c>
      <c r="K19" s="7">
        <f t="shared" si="6"/>
        <v>3.476190476</v>
      </c>
      <c r="N19" s="6">
        <f>countifs('6A'!$U$2:$U$531, N$1, '6A'!$B$2:$B$531, "&gt;"&amp;$L$2, '6A'!$B$2:$B$531, "&lt;"&amp;$M$2)</f>
        <v>0</v>
      </c>
      <c r="O19" s="6">
        <f>countifs('6A'!$U$2:$U$531, O$1, '6A'!$B$2:$B$531, "&gt;"&amp;$L$2, '6A'!$B$2:$B$531, "&lt;"&amp;$M$2)</f>
        <v>0</v>
      </c>
      <c r="P19" s="6">
        <f>countifs('6A'!$U$2:$U$531, P$1, '6A'!$B$2:$B$531, "&gt;"&amp;$L$2, '6A'!$B$2:$B$531, "&lt;"&amp;$M$2)</f>
        <v>0</v>
      </c>
      <c r="Q19" s="6">
        <f>countifs('6A'!$U$2:$U$531, Q$1, '6A'!$B$2:$B$531, "&gt;"&amp;$L$2, '6A'!$B$2:$B$531, "&lt;"&amp;$M$2)</f>
        <v>0</v>
      </c>
      <c r="R19" s="6">
        <f>countifs('6A'!$U$2:$U$531, R$1, '6A'!$B$2:$B$531, "&gt;"&amp;$L$2, '6A'!$B$2:$B$531, "&lt;"&amp;$M$2)</f>
        <v>0</v>
      </c>
      <c r="S19" s="6">
        <f>countifs('6A'!$U$2:$U$531, S$1, '6A'!$B$2:$B$531, "&gt;"&amp;$L$2, '6A'!$B$2:$B$531, "&lt;"&amp;$M$2)</f>
        <v>0</v>
      </c>
      <c r="T19" s="6">
        <f>countifs('6A'!$U$2:$U$531, T$1, '6A'!$B$2:$B$531, "&gt;"&amp;$L$2, '6A'!$B$2:$B$531, "&lt;"&amp;$M$2)</f>
        <v>0</v>
      </c>
      <c r="U19" s="6">
        <f>countifs('6A'!$U$2:$U$531, U$1, '6A'!$B$2:$B$531, "&gt;"&amp;$L$3, '6A'!$B$2:$B$531, "&lt;"&amp;$M$3)</f>
        <v>0</v>
      </c>
      <c r="V19" s="6">
        <f>countifs('6A'!$U$2:$U$531, V$1, '6A'!$B$2:$B$531, "&gt;"&amp;$L$3, '6A'!$B$2:$B$531, "&lt;"&amp;$M$3)</f>
        <v>0</v>
      </c>
      <c r="W19" s="6">
        <f>countifs('6A'!$U$2:$U$531, W$1, '6A'!$B$2:$B$531, "&gt;"&amp;$L$3, '6A'!$B$2:$B$531, "&lt;"&amp;$M$3)</f>
        <v>0</v>
      </c>
      <c r="X19" s="6">
        <f>countifs('6A'!$U$2:$U$531, X$1, '6A'!$B$2:$B$531, "&gt;"&amp;$L$3, '6A'!$B$2:$B$531, "&lt;"&amp;$M$3)</f>
        <v>0</v>
      </c>
      <c r="Y19" s="6">
        <f>countifs('6A'!$U$2:$U$531, Y$1, '6A'!$B$2:$B$531, "&gt;"&amp;$L$3, '6A'!$B$2:$B$531, "&lt;"&amp;$M$3)</f>
        <v>0</v>
      </c>
      <c r="Z19" s="6">
        <f>countifs('6A'!$U$2:$U$531, Z$1, '6A'!$B$2:$B$531, "&gt;"&amp;$L$3, '6A'!$B$2:$B$531, "&lt;"&amp;$M$3)</f>
        <v>0</v>
      </c>
      <c r="AA19" s="6">
        <f>countifs('6A'!$U$2:$U$531, AA$1, '6A'!$B$2:$B$531, "&gt;"&amp;$L$3, '6A'!$B$2:$B$531, "&lt;"&amp;$M$3)</f>
        <v>0</v>
      </c>
      <c r="AB19" s="6">
        <f>countifs('6A'!$U$2:$U$531, AB$1, '6A'!$B$2:$B$531, "&gt;"&amp;$L$4, '6A'!$B$2:$B$531, "&lt;"&amp;$M$4)</f>
        <v>0</v>
      </c>
      <c r="AC19" s="6">
        <f>countifs('6A'!$U$2:$U$531, AC$1, '6A'!$B$2:$B$531, "&gt;"&amp;$L$4, '6A'!$B$2:$B$531, "&lt;"&amp;$M$4)</f>
        <v>0</v>
      </c>
      <c r="AD19" s="6">
        <f>countifs('6A'!$U$2:$U$531, AD$1, '6A'!$B$2:$B$531, "&gt;"&amp;$L$4, '6A'!$B$2:$B$531, "&lt;"&amp;$M$4)</f>
        <v>0</v>
      </c>
      <c r="AE19" s="6">
        <f>countifs('6A'!$U$2:$U$531, AE$1, '6A'!$B$2:$B$531, "&gt;"&amp;$L$4, '6A'!$B$2:$B$531, "&lt;"&amp;$M$4)</f>
        <v>0</v>
      </c>
      <c r="AF19" s="6">
        <f>countifs('6A'!$U$2:$U$531, AF$1, '6A'!$B$2:$B$531, "&gt;"&amp;$L$4, '6A'!$B$2:$B$531, "&lt;"&amp;$M$4)</f>
        <v>0</v>
      </c>
      <c r="AG19" s="6">
        <f>countifs('6A'!$U$2:$U$531, AG$1, '6A'!$B$2:$B$531, "&gt;"&amp;$L$4, '6A'!$B$2:$B$531, "&lt;"&amp;$M$4)</f>
        <v>0</v>
      </c>
      <c r="AH19" s="6">
        <f>countifs('6A'!$U$2:$U$531, AH$1, '6A'!$B$2:$B$531, "&gt;"&amp;$L$4, '6A'!$B$2:$B$531, "&lt;"&amp;$M$4)</f>
        <v>0</v>
      </c>
      <c r="AI19" s="3">
        <v>8.0</v>
      </c>
      <c r="AJ19" s="3">
        <v>3.0</v>
      </c>
      <c r="AK19" s="3">
        <v>1.0</v>
      </c>
      <c r="AL19" s="7" t="str">
        <f>IFERROR(__xludf.DUMMYFUNCTION("AVERAGE.WEIGHTED($N$1:$T$1, N19:T19)"),"#DIV/0!")</f>
        <v>#DIV/0!</v>
      </c>
      <c r="AM19" s="7" t="str">
        <f>IFERROR(__xludf.DUMMYFUNCTION("AVERAGE.WEIGHTED($U$1:$AA$1, U19:AA19)"),"#DIV/0!")</f>
        <v>#DIV/0!</v>
      </c>
      <c r="AN19" s="7" t="str">
        <f>IFERROR(__xludf.DUMMYFUNCTION("AVERAGE.WEIGHTED($AB$1:$AH$1, AB19:AH19)"),"#DIV/0!")</f>
        <v>#DIV/0!</v>
      </c>
      <c r="AO19" s="7" t="str">
        <f t="shared" ref="AO19:AQ19" si="65">(AL19-1)*100/6</f>
        <v>#DIV/0!</v>
      </c>
      <c r="AP19" s="7" t="str">
        <f t="shared" si="65"/>
        <v>#DIV/0!</v>
      </c>
      <c r="AQ19" s="7" t="str">
        <f t="shared" si="65"/>
        <v>#DIV/0!</v>
      </c>
      <c r="AR19" s="8" t="str">
        <f t="shared" ref="AR19:AT19" si="66">average($AO19:$AQ19)</f>
        <v>#DIV/0!</v>
      </c>
      <c r="AS19" s="8" t="str">
        <f t="shared" si="66"/>
        <v>#DIV/0!</v>
      </c>
      <c r="AT19" s="8" t="str">
        <f t="shared" si="66"/>
        <v>#DIV/0!</v>
      </c>
      <c r="AU19" s="8" t="str">
        <f t="shared" si="10"/>
        <v>#DIV/0!</v>
      </c>
      <c r="AV19" s="6">
        <f>countifs('6A'!$U$2:$U$531, AV$1, '6A'!$C$2:$C$531, "Karl")</f>
        <v>2</v>
      </c>
      <c r="AW19" s="6">
        <f>countifs('6A'!$U$2:$U$531, AW$1, '6A'!$C$2:$C$531, "Karl")</f>
        <v>1</v>
      </c>
      <c r="AX19" s="6">
        <f>countifs('6A'!$U$2:$U$531, AX$1, '6A'!$C$2:$C$531, "Karl")</f>
        <v>1</v>
      </c>
      <c r="AY19" s="6">
        <f>countifs('6A'!$U$2:$U$531, AY$1, '6A'!$C$2:$C$531, "Karl")</f>
        <v>0</v>
      </c>
      <c r="AZ19" s="6">
        <f>countifs('6A'!$U$2:$U$531, AZ$1, '6A'!$C$2:$C$531, "Karl")</f>
        <v>2</v>
      </c>
      <c r="BA19" s="6">
        <f>countifs('6A'!$U$2:$U$531, BA$1, '6A'!$C$2:$C$531, "Karl")</f>
        <v>0</v>
      </c>
      <c r="BB19" s="6">
        <f>countifs('6A'!$U$2:$U$531, BB$1, '6A'!$C$2:$C$531, "Karl")</f>
        <v>1</v>
      </c>
      <c r="BC19" s="6">
        <f>countifs('6A'!$U$2:$U$531, BC$1, '6A'!$C$2:$C$531, "Kona")</f>
        <v>5</v>
      </c>
      <c r="BD19" s="6">
        <f>countifs('6A'!$U$2:$U$531, BD$1, '6A'!$C$2:$C$531, "Kona")</f>
        <v>1</v>
      </c>
      <c r="BE19" s="6">
        <f>countifs('6A'!$U$2:$U$531, BE$1, '6A'!$C$2:$C$531, "Kona")</f>
        <v>1</v>
      </c>
      <c r="BF19" s="6">
        <f>countifs('6A'!$U$2:$U$531, BF$1, '6A'!$C$2:$C$531, "Kona")</f>
        <v>2</v>
      </c>
      <c r="BG19" s="6">
        <f>countifs('6A'!$U$2:$U$531, BG$1, '6A'!$C$2:$C$531, "Kona")</f>
        <v>1</v>
      </c>
      <c r="BH19" s="6">
        <f>countifs('6A'!$U$2:$U$531, BH$1, '6A'!$C$2:$C$531, "Kona")</f>
        <v>2</v>
      </c>
      <c r="BI19" s="6">
        <f>countifs('6A'!$U$2:$U$531, BI$1, '6A'!$C$2:$C$531, "Kona")</f>
        <v>2</v>
      </c>
      <c r="BJ19" s="9">
        <f t="shared" si="11"/>
        <v>7</v>
      </c>
      <c r="BK19" s="9">
        <f t="shared" si="12"/>
        <v>14</v>
      </c>
      <c r="BL19" s="7">
        <f>IFERROR(__xludf.DUMMYFUNCTION("AVERAGE.WEIGHTED($AV$1:$BB$1,AV19:BB19)"),3.4285714285714284)</f>
        <v>3.428571429</v>
      </c>
      <c r="BM19" s="7">
        <f>IFERROR(__xludf.DUMMYFUNCTION("AVERAGE.WEIGHTED($BC$1:$BI$1,BC19:BI19)"),3.5)</f>
        <v>3.5</v>
      </c>
      <c r="BN19" s="7">
        <f t="shared" ref="BN19:BO19" si="67">(BL19-1)*100/6</f>
        <v>40.47619048</v>
      </c>
      <c r="BO19" s="7">
        <f t="shared" si="67"/>
        <v>41.66666667</v>
      </c>
      <c r="BP19" s="7">
        <f t="shared" si="14"/>
        <v>41.07142857</v>
      </c>
      <c r="BQ19" s="7">
        <f t="shared" si="15"/>
        <v>41.07142857</v>
      </c>
      <c r="BR19" s="8">
        <f t="shared" si="16"/>
        <v>0.8954970682</v>
      </c>
    </row>
    <row r="20">
      <c r="A20" s="3">
        <v>19.0</v>
      </c>
      <c r="B20" s="1" t="s">
        <v>21</v>
      </c>
      <c r="C20" s="6">
        <f>countif('6A'!$V$2:$V$531, C$1)</f>
        <v>10</v>
      </c>
      <c r="D20" s="6">
        <f>countif('6A'!$V$2:$V$531, D$1)</f>
        <v>3</v>
      </c>
      <c r="E20" s="6">
        <f>countif('6A'!$V$2:$V$531, E$1)</f>
        <v>3</v>
      </c>
      <c r="F20" s="6">
        <f>countif('6A'!$V$2:$V$531, F$1)</f>
        <v>3</v>
      </c>
      <c r="G20" s="6">
        <f>countif('6A'!$V$2:$V$531, G$1)</f>
        <v>1</v>
      </c>
      <c r="H20" s="6">
        <f>countif('6A'!$V$2:$V$531, H$1)</f>
        <v>1</v>
      </c>
      <c r="I20" s="6">
        <f>countif('6A'!$V$2:$V$531, I$1)</f>
        <v>0</v>
      </c>
      <c r="J20" s="6">
        <f t="shared" si="61"/>
        <v>21</v>
      </c>
      <c r="K20" s="7">
        <f t="shared" si="6"/>
        <v>2.285714286</v>
      </c>
      <c r="N20" s="6">
        <f>countifs('6A'!$V$2:$V$531, N$1, '6A'!$B$2:$B$531, "&gt;"&amp;$L$2, '6A'!$B$2:$B$531, "&lt;"&amp;$M$2)</f>
        <v>0</v>
      </c>
      <c r="O20" s="6">
        <f>countifs('6A'!$V$2:$V$531, O$1, '6A'!$B$2:$B$531, "&gt;"&amp;$L$2, '6A'!$B$2:$B$531, "&lt;"&amp;$M$2)</f>
        <v>0</v>
      </c>
      <c r="P20" s="6">
        <f>countifs('6A'!$V$2:$V$531, P$1, '6A'!$B$2:$B$531, "&gt;"&amp;$L$2, '6A'!$B$2:$B$531, "&lt;"&amp;$M$2)</f>
        <v>0</v>
      </c>
      <c r="Q20" s="6">
        <f>countifs('6A'!$V$2:$V$531, Q$1, '6A'!$B$2:$B$531, "&gt;"&amp;$L$2, '6A'!$B$2:$B$531, "&lt;"&amp;$M$2)</f>
        <v>0</v>
      </c>
      <c r="R20" s="6">
        <f>countifs('6A'!$V$2:$V$531, R$1, '6A'!$B$2:$B$531, "&gt;"&amp;$L$2, '6A'!$B$2:$B$531, "&lt;"&amp;$M$2)</f>
        <v>0</v>
      </c>
      <c r="S20" s="6">
        <f>countifs('6A'!$V$2:$V$531, S$1, '6A'!$B$2:$B$531, "&gt;"&amp;$L$2, '6A'!$B$2:$B$531, "&lt;"&amp;$M$2)</f>
        <v>0</v>
      </c>
      <c r="T20" s="6">
        <f>countifs('6A'!$V$2:$V$531, T$1, '6A'!$B$2:$B$531, "&gt;"&amp;$L$2, '6A'!$B$2:$B$531, "&lt;"&amp;$M$2)</f>
        <v>0</v>
      </c>
      <c r="U20" s="6">
        <f>countifs('6A'!$V$2:$V$531, U$1, '6A'!$B$2:$B$531, "&gt;"&amp;$L$3, '6A'!$B$2:$B$531, "&lt;"&amp;$M$3)</f>
        <v>0</v>
      </c>
      <c r="V20" s="6">
        <f>countifs('6A'!$V$2:$V$531, V$1, '6A'!$B$2:$B$531, "&gt;"&amp;$L$3, '6A'!$B$2:$B$531, "&lt;"&amp;$M$3)</f>
        <v>0</v>
      </c>
      <c r="W20" s="6">
        <f>countifs('6A'!$V$2:$V$531, W$1, '6A'!$B$2:$B$531, "&gt;"&amp;$L$3, '6A'!$B$2:$B$531, "&lt;"&amp;$M$3)</f>
        <v>0</v>
      </c>
      <c r="X20" s="6">
        <f>countifs('6A'!$V$2:$V$531, X$1, '6A'!$B$2:$B$531, "&gt;"&amp;$L$3, '6A'!$B$2:$B$531, "&lt;"&amp;$M$3)</f>
        <v>0</v>
      </c>
      <c r="Y20" s="6">
        <f>countifs('6A'!$V$2:$V$531, Y$1, '6A'!$B$2:$B$531, "&gt;"&amp;$L$3, '6A'!$B$2:$B$531, "&lt;"&amp;$M$3)</f>
        <v>0</v>
      </c>
      <c r="Z20" s="6">
        <f>countifs('6A'!$V$2:$V$531, Z$1, '6A'!$B$2:$B$531, "&gt;"&amp;$L$3, '6A'!$B$2:$B$531, "&lt;"&amp;$M$3)</f>
        <v>0</v>
      </c>
      <c r="AA20" s="6">
        <f>countifs('6A'!$V$2:$V$531, AA$1, '6A'!$B$2:$B$531, "&gt;"&amp;$L$3, '6A'!$B$2:$B$531, "&lt;"&amp;$M$3)</f>
        <v>0</v>
      </c>
      <c r="AB20" s="6">
        <f>countifs('6A'!$V$2:$V$531, AB$1, '6A'!$B$2:$B$531, "&gt;"&amp;$L$4, '6A'!$B$2:$B$531, "&lt;"&amp;$M$4)</f>
        <v>0</v>
      </c>
      <c r="AC20" s="6">
        <f>countifs('6A'!$V$2:$V$531, AC$1, '6A'!$B$2:$B$531, "&gt;"&amp;$L$4, '6A'!$B$2:$B$531, "&lt;"&amp;$M$4)</f>
        <v>0</v>
      </c>
      <c r="AD20" s="6">
        <f>countifs('6A'!$V$2:$V$531, AD$1, '6A'!$B$2:$B$531, "&gt;"&amp;$L$4, '6A'!$B$2:$B$531, "&lt;"&amp;$M$4)</f>
        <v>0</v>
      </c>
      <c r="AE20" s="6">
        <f>countifs('6A'!$V$2:$V$531, AE$1, '6A'!$B$2:$B$531, "&gt;"&amp;$L$4, '6A'!$B$2:$B$531, "&lt;"&amp;$M$4)</f>
        <v>0</v>
      </c>
      <c r="AF20" s="6">
        <f>countifs('6A'!$V$2:$V$531, AF$1, '6A'!$B$2:$B$531, "&gt;"&amp;$L$4, '6A'!$B$2:$B$531, "&lt;"&amp;$M$4)</f>
        <v>0</v>
      </c>
      <c r="AG20" s="6">
        <f>countifs('6A'!$V$2:$V$531, AG$1, '6A'!$B$2:$B$531, "&gt;"&amp;$L$4, '6A'!$B$2:$B$531, "&lt;"&amp;$M$4)</f>
        <v>0</v>
      </c>
      <c r="AH20" s="6">
        <f>countifs('6A'!$V$2:$V$531, AH$1, '6A'!$B$2:$B$531, "&gt;"&amp;$L$4, '6A'!$B$2:$B$531, "&lt;"&amp;$M$4)</f>
        <v>0</v>
      </c>
      <c r="AI20" s="3">
        <v>8.0</v>
      </c>
      <c r="AJ20" s="3">
        <v>3.0</v>
      </c>
      <c r="AK20" s="3">
        <v>1.0</v>
      </c>
      <c r="AL20" s="7" t="str">
        <f>IFERROR(__xludf.DUMMYFUNCTION("AVERAGE.WEIGHTED($N$1:$T$1, N20:T20)"),"#DIV/0!")</f>
        <v>#DIV/0!</v>
      </c>
      <c r="AM20" s="7" t="str">
        <f>IFERROR(__xludf.DUMMYFUNCTION("AVERAGE.WEIGHTED($U$1:$AA$1, U20:AA20)"),"#DIV/0!")</f>
        <v>#DIV/0!</v>
      </c>
      <c r="AN20" s="7" t="str">
        <f>IFERROR(__xludf.DUMMYFUNCTION("AVERAGE.WEIGHTED($AB$1:$AH$1, AB20:AH20)"),"#DIV/0!")</f>
        <v>#DIV/0!</v>
      </c>
      <c r="AO20" s="7" t="str">
        <f t="shared" ref="AO20:AQ20" si="68">(AL20-1)*100/6</f>
        <v>#DIV/0!</v>
      </c>
      <c r="AP20" s="7" t="str">
        <f t="shared" si="68"/>
        <v>#DIV/0!</v>
      </c>
      <c r="AQ20" s="7" t="str">
        <f t="shared" si="68"/>
        <v>#DIV/0!</v>
      </c>
      <c r="AR20" s="8" t="str">
        <f t="shared" ref="AR20:AT20" si="69">average($AO20:$AQ20)</f>
        <v>#DIV/0!</v>
      </c>
      <c r="AS20" s="8" t="str">
        <f t="shared" si="69"/>
        <v>#DIV/0!</v>
      </c>
      <c r="AT20" s="8" t="str">
        <f t="shared" si="69"/>
        <v>#DIV/0!</v>
      </c>
      <c r="AU20" s="8" t="str">
        <f t="shared" si="10"/>
        <v>#DIV/0!</v>
      </c>
      <c r="AV20" s="6">
        <f>countifs('6A'!$V$2:$V$531, AV$1, '6A'!$C$2:$C$531, "Karl")</f>
        <v>3</v>
      </c>
      <c r="AW20" s="6">
        <f>countifs('6A'!$V$2:$V$531, AW$1, '6A'!$C$2:$C$531, "Karl")</f>
        <v>1</v>
      </c>
      <c r="AX20" s="6">
        <f>countifs('6A'!$V$2:$V$531, AX$1, '6A'!$C$2:$C$531, "Karl")</f>
        <v>1</v>
      </c>
      <c r="AY20" s="6">
        <f>countifs('6A'!$V$2:$V$531, AY$1, '6A'!$C$2:$C$531, "Karl")</f>
        <v>1</v>
      </c>
      <c r="AZ20" s="6">
        <f>countifs('6A'!$V$2:$V$531, AZ$1, '6A'!$C$2:$C$531, "Karl")</f>
        <v>0</v>
      </c>
      <c r="BA20" s="6">
        <f>countifs('6A'!$V$2:$V$531, BA$1, '6A'!$C$2:$C$531, "Karl")</f>
        <v>1</v>
      </c>
      <c r="BB20" s="6">
        <f>countifs('6A'!$V$2:$V$531, BB$1, '6A'!$C$2:$C$531, "Karl")</f>
        <v>0</v>
      </c>
      <c r="BC20" s="6">
        <f>countifs('6A'!$V$2:$V$531, BC$1, '6A'!$C$2:$C$531, "Kona")</f>
        <v>7</v>
      </c>
      <c r="BD20" s="6">
        <f>countifs('6A'!$V$2:$V$531, BD$1, '6A'!$C$2:$C$531, "Kona")</f>
        <v>2</v>
      </c>
      <c r="BE20" s="6">
        <f>countifs('6A'!$V$2:$V$531, BE$1, '6A'!$C$2:$C$531, "Kona")</f>
        <v>2</v>
      </c>
      <c r="BF20" s="6">
        <f>countifs('6A'!$V$2:$V$531, BF$1, '6A'!$C$2:$C$531, "Kona")</f>
        <v>2</v>
      </c>
      <c r="BG20" s="6">
        <f>countifs('6A'!$V$2:$V$531, BG$1, '6A'!$C$2:$C$531, "Kona")</f>
        <v>1</v>
      </c>
      <c r="BH20" s="6">
        <f>countifs('6A'!$V$2:$V$531, BH$1, '6A'!$C$2:$C$531, "Kona")</f>
        <v>0</v>
      </c>
      <c r="BI20" s="6">
        <f>countifs('6A'!$V$2:$V$531, BI$1, '6A'!$C$2:$C$531, "Kona")</f>
        <v>0</v>
      </c>
      <c r="BJ20" s="9">
        <f t="shared" si="11"/>
        <v>7</v>
      </c>
      <c r="BK20" s="9">
        <f t="shared" si="12"/>
        <v>14</v>
      </c>
      <c r="BL20" s="7">
        <f>IFERROR(__xludf.DUMMYFUNCTION("AVERAGE.WEIGHTED($AV$1:$BB$1,AV20:BB20)"),2.5714285714285716)</f>
        <v>2.571428571</v>
      </c>
      <c r="BM20" s="7">
        <f>IFERROR(__xludf.DUMMYFUNCTION("AVERAGE.WEIGHTED($BC$1:$BI$1,BC20:BI20)"),2.142857142857143)</f>
        <v>2.142857143</v>
      </c>
      <c r="BN20" s="7">
        <f t="shared" ref="BN20:BO20" si="70">(BL20-1)*100/6</f>
        <v>26.19047619</v>
      </c>
      <c r="BO20" s="7">
        <f t="shared" si="70"/>
        <v>19.04761905</v>
      </c>
      <c r="BP20" s="7">
        <f t="shared" si="14"/>
        <v>22.61904762</v>
      </c>
      <c r="BQ20" s="7">
        <f t="shared" si="15"/>
        <v>22.61904762</v>
      </c>
      <c r="BR20" s="8">
        <f t="shared" si="16"/>
        <v>0.2882409113</v>
      </c>
    </row>
    <row r="21">
      <c r="A21" s="3">
        <v>20.0</v>
      </c>
      <c r="B21" s="1" t="s">
        <v>22</v>
      </c>
      <c r="C21" s="6">
        <f>countif('6A'!$W$2:$W$531, C$1)</f>
        <v>2</v>
      </c>
      <c r="D21" s="6">
        <f>countif('6A'!$W$2:$W$531, D$1)</f>
        <v>5</v>
      </c>
      <c r="E21" s="6">
        <f>countif('6A'!$W$2:$W$531, E$1)</f>
        <v>0</v>
      </c>
      <c r="F21" s="6">
        <f>countif('6A'!$W$2:$W$531, F$1)</f>
        <v>3</v>
      </c>
      <c r="G21" s="6">
        <f>countif('6A'!$W$2:$W$531, G$1)</f>
        <v>2</v>
      </c>
      <c r="H21" s="6">
        <f>countif('6A'!$W$2:$W$531, H$1)</f>
        <v>4</v>
      </c>
      <c r="I21" s="6">
        <f>countif('6A'!$W$2:$W$531, I$1)</f>
        <v>5</v>
      </c>
      <c r="J21" s="6">
        <f t="shared" si="61"/>
        <v>21</v>
      </c>
      <c r="K21" s="7">
        <f t="shared" si="6"/>
        <v>4.428571429</v>
      </c>
      <c r="N21" s="6">
        <f>countifs('6A'!$W$2:$W$531, N$1, '6A'!$B$2:$B$531, "&gt;"&amp;$L$2, '6A'!$B$2:$B$531, "&lt;"&amp;$M$2)</f>
        <v>0</v>
      </c>
      <c r="O21" s="6">
        <f>countifs('6A'!$W$2:$W$531, O$1, '6A'!$B$2:$B$531, "&gt;"&amp;$L$2, '6A'!$B$2:$B$531, "&lt;"&amp;$M$2)</f>
        <v>0</v>
      </c>
      <c r="P21" s="6">
        <f>countifs('6A'!$W$2:$W$531, P$1, '6A'!$B$2:$B$531, "&gt;"&amp;$L$2, '6A'!$B$2:$B$531, "&lt;"&amp;$M$2)</f>
        <v>0</v>
      </c>
      <c r="Q21" s="6">
        <f>countifs('6A'!$W$2:$W$531, Q$1, '6A'!$B$2:$B$531, "&gt;"&amp;$L$2, '6A'!$B$2:$B$531, "&lt;"&amp;$M$2)</f>
        <v>0</v>
      </c>
      <c r="R21" s="6">
        <f>countifs('6A'!$W$2:$W$531, R$1, '6A'!$B$2:$B$531, "&gt;"&amp;$L$2, '6A'!$B$2:$B$531, "&lt;"&amp;$M$2)</f>
        <v>0</v>
      </c>
      <c r="S21" s="6">
        <f>countifs('6A'!$W$2:$W$531, S$1, '6A'!$B$2:$B$531, "&gt;"&amp;$L$2, '6A'!$B$2:$B$531, "&lt;"&amp;$M$2)</f>
        <v>0</v>
      </c>
      <c r="T21" s="6">
        <f>countifs('6A'!$W$2:$W$531, T$1, '6A'!$B$2:$B$531, "&gt;"&amp;$L$2, '6A'!$B$2:$B$531, "&lt;"&amp;$M$2)</f>
        <v>0</v>
      </c>
      <c r="U21" s="6">
        <f>countifs('6A'!$W$2:$W$531, U$1, '6A'!$B$2:$B$531, "&gt;"&amp;$L$3, '6A'!$B$2:$B$531, "&lt;"&amp;$M$3)</f>
        <v>0</v>
      </c>
      <c r="V21" s="6">
        <f>countifs('6A'!$W$2:$W$531, V$1, '6A'!$B$2:$B$531, "&gt;"&amp;$L$3, '6A'!$B$2:$B$531, "&lt;"&amp;$M$3)</f>
        <v>0</v>
      </c>
      <c r="W21" s="6">
        <f>countifs('6A'!$W$2:$W$531, W$1, '6A'!$B$2:$B$531, "&gt;"&amp;$L$3, '6A'!$B$2:$B$531, "&lt;"&amp;$M$3)</f>
        <v>0</v>
      </c>
      <c r="X21" s="6">
        <f>countifs('6A'!$W$2:$W$531, X$1, '6A'!$B$2:$B$531, "&gt;"&amp;$L$3, '6A'!$B$2:$B$531, "&lt;"&amp;$M$3)</f>
        <v>0</v>
      </c>
      <c r="Y21" s="6">
        <f>countifs('6A'!$W$2:$W$531, Y$1, '6A'!$B$2:$B$531, "&gt;"&amp;$L$3, '6A'!$B$2:$B$531, "&lt;"&amp;$M$3)</f>
        <v>0</v>
      </c>
      <c r="Z21" s="6">
        <f>countifs('6A'!$W$2:$W$531, Z$1, '6A'!$B$2:$B$531, "&gt;"&amp;$L$3, '6A'!$B$2:$B$531, "&lt;"&amp;$M$3)</f>
        <v>0</v>
      </c>
      <c r="AA21" s="6">
        <f>countifs('6A'!$W$2:$W$531, AA$1, '6A'!$B$2:$B$531, "&gt;"&amp;$L$3, '6A'!$B$2:$B$531, "&lt;"&amp;$M$3)</f>
        <v>0</v>
      </c>
      <c r="AB21" s="6">
        <f>countifs('6A'!$W$2:$W$531, AB$1, '6A'!$B$2:$B$531, "&gt;"&amp;$L$4, '6A'!$B$2:$B$531, "&lt;"&amp;$M$4)</f>
        <v>0</v>
      </c>
      <c r="AC21" s="6">
        <f>countifs('6A'!$W$2:$W$531, AC$1, '6A'!$B$2:$B$531, "&gt;"&amp;$L$4, '6A'!$B$2:$B$531, "&lt;"&amp;$M$4)</f>
        <v>0</v>
      </c>
      <c r="AD21" s="6">
        <f>countifs('6A'!$W$2:$W$531, AD$1, '6A'!$B$2:$B$531, "&gt;"&amp;$L$4, '6A'!$B$2:$B$531, "&lt;"&amp;$M$4)</f>
        <v>0</v>
      </c>
      <c r="AE21" s="6">
        <f>countifs('6A'!$W$2:$W$531, AE$1, '6A'!$B$2:$B$531, "&gt;"&amp;$L$4, '6A'!$B$2:$B$531, "&lt;"&amp;$M$4)</f>
        <v>0</v>
      </c>
      <c r="AF21" s="6">
        <f>countifs('6A'!$W$2:$W$531, AF$1, '6A'!$B$2:$B$531, "&gt;"&amp;$L$4, '6A'!$B$2:$B$531, "&lt;"&amp;$M$4)</f>
        <v>0</v>
      </c>
      <c r="AG21" s="6">
        <f>countifs('6A'!$W$2:$W$531, AG$1, '6A'!$B$2:$B$531, "&gt;"&amp;$L$4, '6A'!$B$2:$B$531, "&lt;"&amp;$M$4)</f>
        <v>0</v>
      </c>
      <c r="AH21" s="6">
        <f>countifs('6A'!$W$2:$W$531, AH$1, '6A'!$B$2:$B$531, "&gt;"&amp;$L$4, '6A'!$B$2:$B$531, "&lt;"&amp;$M$4)</f>
        <v>0</v>
      </c>
      <c r="AI21" s="3">
        <v>8.0</v>
      </c>
      <c r="AJ21" s="3">
        <v>3.0</v>
      </c>
      <c r="AK21" s="3">
        <v>1.0</v>
      </c>
      <c r="AL21" s="7" t="str">
        <f>IFERROR(__xludf.DUMMYFUNCTION("AVERAGE.WEIGHTED($N$1:$T$1, N21:T21)"),"#DIV/0!")</f>
        <v>#DIV/0!</v>
      </c>
      <c r="AM21" s="7" t="str">
        <f>IFERROR(__xludf.DUMMYFUNCTION("AVERAGE.WEIGHTED($U$1:$AA$1, U21:AA21)"),"#DIV/0!")</f>
        <v>#DIV/0!</v>
      </c>
      <c r="AN21" s="7" t="str">
        <f>IFERROR(__xludf.DUMMYFUNCTION("AVERAGE.WEIGHTED($AB$1:$AH$1, AB21:AH21)"),"#DIV/0!")</f>
        <v>#DIV/0!</v>
      </c>
      <c r="AO21" s="7" t="str">
        <f t="shared" ref="AO21:AQ21" si="71">(AL21-1)*100/6</f>
        <v>#DIV/0!</v>
      </c>
      <c r="AP21" s="7" t="str">
        <f t="shared" si="71"/>
        <v>#DIV/0!</v>
      </c>
      <c r="AQ21" s="7" t="str">
        <f t="shared" si="71"/>
        <v>#DIV/0!</v>
      </c>
      <c r="AR21" s="8" t="str">
        <f t="shared" ref="AR21:AT21" si="72">average($AO21:$AQ21)</f>
        <v>#DIV/0!</v>
      </c>
      <c r="AS21" s="8" t="str">
        <f t="shared" si="72"/>
        <v>#DIV/0!</v>
      </c>
      <c r="AT21" s="8" t="str">
        <f t="shared" si="72"/>
        <v>#DIV/0!</v>
      </c>
      <c r="AU21" s="8" t="str">
        <f t="shared" si="10"/>
        <v>#DIV/0!</v>
      </c>
      <c r="AV21" s="6">
        <f>countifs('6A'!$W$2:$W$531, AV$1, '6A'!$C$2:$C$531, "Karl")</f>
        <v>0</v>
      </c>
      <c r="AW21" s="6">
        <f>countifs('6A'!$W$2:$W$531, AW$1, '6A'!$C$2:$C$531, "Karl")</f>
        <v>1</v>
      </c>
      <c r="AX21" s="6">
        <f>countifs('6A'!$W$2:$W$531, AX$1, '6A'!$C$2:$C$531, "Karl")</f>
        <v>0</v>
      </c>
      <c r="AY21" s="6">
        <f>countifs('6A'!$W$2:$W$531, AY$1, '6A'!$C$2:$C$531, "Karl")</f>
        <v>2</v>
      </c>
      <c r="AZ21" s="6">
        <f>countifs('6A'!$W$2:$W$531, AZ$1, '6A'!$C$2:$C$531, "Karl")</f>
        <v>0</v>
      </c>
      <c r="BA21" s="6">
        <f>countifs('6A'!$W$2:$W$531, BA$1, '6A'!$C$2:$C$531, "Karl")</f>
        <v>2</v>
      </c>
      <c r="BB21" s="6">
        <f>countifs('6A'!$W$2:$W$531, BB$1, '6A'!$C$2:$C$531, "Karl")</f>
        <v>2</v>
      </c>
      <c r="BC21" s="6">
        <f>countifs('6A'!$W$2:$W$531, BC$1, '6A'!$C$2:$C$531, "Kona")</f>
        <v>2</v>
      </c>
      <c r="BD21" s="6">
        <f>countifs('6A'!$W$2:$W$531, BD$1, '6A'!$C$2:$C$531, "Kona")</f>
        <v>4</v>
      </c>
      <c r="BE21" s="6">
        <f>countifs('6A'!$W$2:$W$531, BE$1, '6A'!$C$2:$C$531, "Kona")</f>
        <v>0</v>
      </c>
      <c r="BF21" s="6">
        <f>countifs('6A'!$W$2:$W$531, BF$1, '6A'!$C$2:$C$531, "Kona")</f>
        <v>1</v>
      </c>
      <c r="BG21" s="6">
        <f>countifs('6A'!$W$2:$W$531, BG$1, '6A'!$C$2:$C$531, "Kona")</f>
        <v>2</v>
      </c>
      <c r="BH21" s="6">
        <f>countifs('6A'!$W$2:$W$531, BH$1, '6A'!$C$2:$C$531, "Kona")</f>
        <v>2</v>
      </c>
      <c r="BI21" s="6">
        <f>countifs('6A'!$W$2:$W$531, BI$1, '6A'!$C$2:$C$531, "Kona")</f>
        <v>3</v>
      </c>
      <c r="BJ21" s="9">
        <f t="shared" si="11"/>
        <v>7</v>
      </c>
      <c r="BK21" s="9">
        <f t="shared" si="12"/>
        <v>14</v>
      </c>
      <c r="BL21" s="7">
        <f>IFERROR(__xludf.DUMMYFUNCTION("AVERAGE.WEIGHTED($AV$1:$BB$1,AV21:BB21)"),5.142857142857143)</f>
        <v>5.142857143</v>
      </c>
      <c r="BM21" s="7">
        <f>IFERROR(__xludf.DUMMYFUNCTION("AVERAGE.WEIGHTED($BC$1:$BI$1,BC21:BI21)"),4.071428571428571)</f>
        <v>4.071428571</v>
      </c>
      <c r="BN21" s="7">
        <f t="shared" ref="BN21:BO21" si="73">(BL21-1)*100/6</f>
        <v>69.04761905</v>
      </c>
      <c r="BO21" s="7">
        <f t="shared" si="73"/>
        <v>51.19047619</v>
      </c>
      <c r="BP21" s="7">
        <f t="shared" si="14"/>
        <v>60.11904762</v>
      </c>
      <c r="BQ21" s="7">
        <f t="shared" si="15"/>
        <v>60.11904762</v>
      </c>
      <c r="BR21" s="8">
        <f t="shared" si="16"/>
        <v>0.1034163938</v>
      </c>
    </row>
    <row r="22">
      <c r="A22" s="3">
        <v>21.0</v>
      </c>
      <c r="B22" s="1" t="s">
        <v>23</v>
      </c>
      <c r="C22" s="6">
        <f>countif('6A'!$X$2:$X$531, C$1)</f>
        <v>7</v>
      </c>
      <c r="D22" s="6">
        <f>countif('6A'!$X$2:$X$531, D$1)</f>
        <v>2</v>
      </c>
      <c r="E22" s="6">
        <f>countif('6A'!$X$2:$X$531, E$1)</f>
        <v>2</v>
      </c>
      <c r="F22" s="6">
        <f>countif('6A'!$X$2:$X$531, F$1)</f>
        <v>0</v>
      </c>
      <c r="G22" s="6">
        <f>countif('6A'!$X$2:$X$531, G$1)</f>
        <v>2</v>
      </c>
      <c r="H22" s="6">
        <f>countif('6A'!$X$2:$X$531, H$1)</f>
        <v>1</v>
      </c>
      <c r="I22" s="6">
        <f>countif('6A'!$X$2:$X$531, I$1)</f>
        <v>7</v>
      </c>
      <c r="J22" s="6">
        <f t="shared" si="61"/>
        <v>21</v>
      </c>
      <c r="K22" s="7">
        <f t="shared" si="6"/>
        <v>3.904761905</v>
      </c>
      <c r="N22" s="6">
        <f>countifs('6A'!$X$2:$X$531, N$1, '6A'!$B$2:$B$531, "&gt;"&amp;$L$2, '6A'!$B$2:$B$531, "&lt;"&amp;$M$2)</f>
        <v>0</v>
      </c>
      <c r="O22" s="6">
        <f>countifs('6A'!$X$2:$X$531, O$1, '6A'!$B$2:$B$531, "&gt;"&amp;$L$2, '6A'!$B$2:$B$531, "&lt;"&amp;$M$2)</f>
        <v>0</v>
      </c>
      <c r="P22" s="6">
        <f>countifs('6A'!$X$2:$X$531, P$1, '6A'!$B$2:$B$531, "&gt;"&amp;$L$2, '6A'!$B$2:$B$531, "&lt;"&amp;$M$2)</f>
        <v>0</v>
      </c>
      <c r="Q22" s="6">
        <f>countifs('6A'!$X$2:$X$531, Q$1, '6A'!$B$2:$B$531, "&gt;"&amp;$L$2, '6A'!$B$2:$B$531, "&lt;"&amp;$M$2)</f>
        <v>0</v>
      </c>
      <c r="R22" s="6">
        <f>countifs('6A'!$X$2:$X$531, R$1, '6A'!$B$2:$B$531, "&gt;"&amp;$L$2, '6A'!$B$2:$B$531, "&lt;"&amp;$M$2)</f>
        <v>0</v>
      </c>
      <c r="S22" s="6">
        <f>countifs('6A'!$X$2:$X$531, S$1, '6A'!$B$2:$B$531, "&gt;"&amp;$L$2, '6A'!$B$2:$B$531, "&lt;"&amp;$M$2)</f>
        <v>0</v>
      </c>
      <c r="T22" s="6">
        <f>countifs('6A'!$X$2:$X$531, T$1, '6A'!$B$2:$B$531, "&gt;"&amp;$L$2, '6A'!$B$2:$B$531, "&lt;"&amp;$M$2)</f>
        <v>0</v>
      </c>
      <c r="U22" s="6">
        <f>countifs('6A'!$X$2:$X$531, U$1, '6A'!$B$2:$B$531, "&gt;"&amp;$L$3, '6A'!$B$2:$B$531, "&lt;"&amp;$M$3)</f>
        <v>0</v>
      </c>
      <c r="V22" s="6">
        <f>countifs('6A'!$X$2:$X$531, V$1, '6A'!$B$2:$B$531, "&gt;"&amp;$L$3, '6A'!$B$2:$B$531, "&lt;"&amp;$M$3)</f>
        <v>0</v>
      </c>
      <c r="W22" s="6">
        <f>countifs('6A'!$X$2:$X$531, W$1, '6A'!$B$2:$B$531, "&gt;"&amp;$L$3, '6A'!$B$2:$B$531, "&lt;"&amp;$M$3)</f>
        <v>0</v>
      </c>
      <c r="X22" s="6">
        <f>countifs('6A'!$X$2:$X$531, X$1, '6A'!$B$2:$B$531, "&gt;"&amp;$L$3, '6A'!$B$2:$B$531, "&lt;"&amp;$M$3)</f>
        <v>0</v>
      </c>
      <c r="Y22" s="6">
        <f>countifs('6A'!$X$2:$X$531, Y$1, '6A'!$B$2:$B$531, "&gt;"&amp;$L$3, '6A'!$B$2:$B$531, "&lt;"&amp;$M$3)</f>
        <v>0</v>
      </c>
      <c r="Z22" s="6">
        <f>countifs('6A'!$X$2:$X$531, Z$1, '6A'!$B$2:$B$531, "&gt;"&amp;$L$3, '6A'!$B$2:$B$531, "&lt;"&amp;$M$3)</f>
        <v>0</v>
      </c>
      <c r="AA22" s="6">
        <f>countifs('6A'!$X$2:$X$531, AA$1, '6A'!$B$2:$B$531, "&gt;"&amp;$L$3, '6A'!$B$2:$B$531, "&lt;"&amp;$M$3)</f>
        <v>0</v>
      </c>
      <c r="AB22" s="6">
        <f>countifs('6A'!$X$2:$X$531, AB$1, '6A'!$B$2:$B$531, "&gt;"&amp;$L$4, '6A'!$B$2:$B$531, "&lt;"&amp;$M$4)</f>
        <v>0</v>
      </c>
      <c r="AC22" s="6">
        <f>countifs('6A'!$X$2:$X$531, AC$1, '6A'!$B$2:$B$531, "&gt;"&amp;$L$4, '6A'!$B$2:$B$531, "&lt;"&amp;$M$4)</f>
        <v>0</v>
      </c>
      <c r="AD22" s="6">
        <f>countifs('6A'!$X$2:$X$531, AD$1, '6A'!$B$2:$B$531, "&gt;"&amp;$L$4, '6A'!$B$2:$B$531, "&lt;"&amp;$M$4)</f>
        <v>0</v>
      </c>
      <c r="AE22" s="6">
        <f>countifs('6A'!$X$2:$X$531, AE$1, '6A'!$B$2:$B$531, "&gt;"&amp;$L$4, '6A'!$B$2:$B$531, "&lt;"&amp;$M$4)</f>
        <v>0</v>
      </c>
      <c r="AF22" s="6">
        <f>countifs('6A'!$X$2:$X$531, AF$1, '6A'!$B$2:$B$531, "&gt;"&amp;$L$4, '6A'!$B$2:$B$531, "&lt;"&amp;$M$4)</f>
        <v>0</v>
      </c>
      <c r="AG22" s="6">
        <f>countifs('6A'!$X$2:$X$531, AG$1, '6A'!$B$2:$B$531, "&gt;"&amp;$L$4, '6A'!$B$2:$B$531, "&lt;"&amp;$M$4)</f>
        <v>0</v>
      </c>
      <c r="AH22" s="6">
        <f>countifs('6A'!$X$2:$X$531, AH$1, '6A'!$B$2:$B$531, "&gt;"&amp;$L$4, '6A'!$B$2:$B$531, "&lt;"&amp;$M$4)</f>
        <v>0</v>
      </c>
      <c r="AI22" s="3">
        <v>8.0</v>
      </c>
      <c r="AJ22" s="3">
        <v>3.0</v>
      </c>
      <c r="AK22" s="3">
        <v>1.0</v>
      </c>
      <c r="AL22" s="7" t="str">
        <f>IFERROR(__xludf.DUMMYFUNCTION("AVERAGE.WEIGHTED($N$1:$T$1, N22:T22)"),"#DIV/0!")</f>
        <v>#DIV/0!</v>
      </c>
      <c r="AM22" s="7" t="str">
        <f>IFERROR(__xludf.DUMMYFUNCTION("AVERAGE.WEIGHTED($U$1:$AA$1, U22:AA22)"),"#DIV/0!")</f>
        <v>#DIV/0!</v>
      </c>
      <c r="AN22" s="7" t="str">
        <f>IFERROR(__xludf.DUMMYFUNCTION("AVERAGE.WEIGHTED($AB$1:$AH$1, AB22:AH22)"),"#DIV/0!")</f>
        <v>#DIV/0!</v>
      </c>
      <c r="AO22" s="7" t="str">
        <f t="shared" ref="AO22:AQ22" si="74">(AL22-1)*100/6</f>
        <v>#DIV/0!</v>
      </c>
      <c r="AP22" s="7" t="str">
        <f t="shared" si="74"/>
        <v>#DIV/0!</v>
      </c>
      <c r="AQ22" s="7" t="str">
        <f t="shared" si="74"/>
        <v>#DIV/0!</v>
      </c>
      <c r="AR22" s="8" t="str">
        <f t="shared" ref="AR22:AT22" si="75">average($AO22:$AQ22)</f>
        <v>#DIV/0!</v>
      </c>
      <c r="AS22" s="8" t="str">
        <f t="shared" si="75"/>
        <v>#DIV/0!</v>
      </c>
      <c r="AT22" s="8" t="str">
        <f t="shared" si="75"/>
        <v>#DIV/0!</v>
      </c>
      <c r="AU22" s="8" t="str">
        <f t="shared" si="10"/>
        <v>#DIV/0!</v>
      </c>
      <c r="AV22" s="6">
        <f>countifs('6A'!$X$2:$X$531, AV$1, '6A'!$C$2:$C$531, "Karl")</f>
        <v>3</v>
      </c>
      <c r="AW22" s="6">
        <f>countifs('6A'!$X$2:$X$531, AW$1, '6A'!$C$2:$C$531, "Karl")</f>
        <v>0</v>
      </c>
      <c r="AX22" s="6">
        <f>countifs('6A'!$X$2:$X$531, AX$1, '6A'!$C$2:$C$531, "Karl")</f>
        <v>2</v>
      </c>
      <c r="AY22" s="6">
        <f>countifs('6A'!$X$2:$X$531, AY$1, '6A'!$C$2:$C$531, "Karl")</f>
        <v>0</v>
      </c>
      <c r="AZ22" s="6">
        <f>countifs('6A'!$X$2:$X$531, AZ$1, '6A'!$C$2:$C$531, "Karl")</f>
        <v>1</v>
      </c>
      <c r="BA22" s="6">
        <f>countifs('6A'!$X$2:$X$531, BA$1, '6A'!$C$2:$C$531, "Karl")</f>
        <v>0</v>
      </c>
      <c r="BB22" s="6">
        <f>countifs('6A'!$X$2:$X$531, BB$1, '6A'!$C$2:$C$531, "Karl")</f>
        <v>1</v>
      </c>
      <c r="BC22" s="6">
        <f>countifs('6A'!$X$2:$X$531, BC$1, '6A'!$C$2:$C$531, "Kona")</f>
        <v>4</v>
      </c>
      <c r="BD22" s="6">
        <f>countifs('6A'!$X$2:$X$531, BD$1, '6A'!$C$2:$C$531, "Kona")</f>
        <v>2</v>
      </c>
      <c r="BE22" s="6">
        <f>countifs('6A'!$X$2:$X$531, BE$1, '6A'!$C$2:$C$531, "Kona")</f>
        <v>0</v>
      </c>
      <c r="BF22" s="6">
        <f>countifs('6A'!$X$2:$X$531, BF$1, '6A'!$C$2:$C$531, "Kona")</f>
        <v>0</v>
      </c>
      <c r="BG22" s="6">
        <f>countifs('6A'!$X$2:$X$531, BG$1, '6A'!$C$2:$C$531, "Kona")</f>
        <v>1</v>
      </c>
      <c r="BH22" s="6">
        <f>countifs('6A'!$X$2:$X$531, BH$1, '6A'!$C$2:$C$531, "Kona")</f>
        <v>1</v>
      </c>
      <c r="BI22" s="6">
        <f>countifs('6A'!$X$2:$X$531, BI$1, '6A'!$C$2:$C$531, "Kona")</f>
        <v>6</v>
      </c>
      <c r="BJ22" s="9">
        <f t="shared" si="11"/>
        <v>7</v>
      </c>
      <c r="BK22" s="9">
        <f t="shared" si="12"/>
        <v>14</v>
      </c>
      <c r="BL22" s="7">
        <f>IFERROR(__xludf.DUMMYFUNCTION("AVERAGE.WEIGHTED($AV$1:$BB$1,AV22:BB22)"),3.0)</f>
        <v>3</v>
      </c>
      <c r="BM22" s="7">
        <f>IFERROR(__xludf.DUMMYFUNCTION("AVERAGE.WEIGHTED($BC$1:$BI$1,BC22:BI22)"),4.357142857142857)</f>
        <v>4.357142857</v>
      </c>
      <c r="BN22" s="7">
        <f t="shared" ref="BN22:BO22" si="76">(BL22-1)*100/6</f>
        <v>33.33333333</v>
      </c>
      <c r="BO22" s="7">
        <f t="shared" si="76"/>
        <v>55.95238095</v>
      </c>
      <c r="BP22" s="7">
        <f t="shared" si="14"/>
        <v>44.64285714</v>
      </c>
      <c r="BQ22" s="7">
        <f t="shared" si="15"/>
        <v>44.64285714</v>
      </c>
      <c r="BR22" s="8">
        <f t="shared" si="16"/>
        <v>0.01667597526</v>
      </c>
    </row>
    <row r="23">
      <c r="A23" s="3">
        <v>22.0</v>
      </c>
      <c r="B23" s="1" t="s">
        <v>24</v>
      </c>
      <c r="C23" s="6">
        <f>countif('6A'!$Y$2:$Y$531, C$1)</f>
        <v>16</v>
      </c>
      <c r="D23" s="6">
        <f>countif('6A'!$Y$2:$Y$531, D$1)</f>
        <v>2</v>
      </c>
      <c r="E23" s="6">
        <f>countif('6A'!$Y$2:$Y$531, E$1)</f>
        <v>2</v>
      </c>
      <c r="F23" s="6">
        <f>countif('6A'!$Y$2:$Y$531, F$1)</f>
        <v>0</v>
      </c>
      <c r="G23" s="6">
        <f>countif('6A'!$Y$2:$Y$531, G$1)</f>
        <v>0</v>
      </c>
      <c r="H23" s="6">
        <f>countif('6A'!$Y$2:$Y$531, H$1)</f>
        <v>0</v>
      </c>
      <c r="I23" s="6">
        <f>countif('6A'!$Y$2:$Y$531, I$1)</f>
        <v>1</v>
      </c>
      <c r="J23" s="6">
        <f t="shared" si="61"/>
        <v>21</v>
      </c>
      <c r="K23" s="7">
        <f t="shared" si="6"/>
        <v>1.571428571</v>
      </c>
      <c r="N23" s="6">
        <f>countifs('6A'!$Y$2:$Y$531, N$1, '6A'!$B$2:$B$531, "&gt;"&amp;$L$2, '6A'!$B$2:$B$531, "&lt;"&amp;$M$2)</f>
        <v>0</v>
      </c>
      <c r="O23" s="6">
        <f>countifs('6A'!$Y$2:$Y$531, O$1, '6A'!$B$2:$B$531, "&gt;"&amp;$L$2, '6A'!$B$2:$B$531, "&lt;"&amp;$M$2)</f>
        <v>0</v>
      </c>
      <c r="P23" s="6">
        <f>countifs('6A'!$Y$2:$Y$531, P$1, '6A'!$B$2:$B$531, "&gt;"&amp;$L$2, '6A'!$B$2:$B$531, "&lt;"&amp;$M$2)</f>
        <v>0</v>
      </c>
      <c r="Q23" s="6">
        <f>countifs('6A'!$Y$2:$Y$531, Q$1, '6A'!$B$2:$B$531, "&gt;"&amp;$L$2, '6A'!$B$2:$B$531, "&lt;"&amp;$M$2)</f>
        <v>0</v>
      </c>
      <c r="R23" s="6">
        <f>countifs('6A'!$Y$2:$Y$531, R$1, '6A'!$B$2:$B$531, "&gt;"&amp;$L$2, '6A'!$B$2:$B$531, "&lt;"&amp;$M$2)</f>
        <v>0</v>
      </c>
      <c r="S23" s="6">
        <f>countifs('6A'!$Y$2:$Y$531, S$1, '6A'!$B$2:$B$531, "&gt;"&amp;$L$2, '6A'!$B$2:$B$531, "&lt;"&amp;$M$2)</f>
        <v>0</v>
      </c>
      <c r="T23" s="6">
        <f>countifs('6A'!$Y$2:$Y$531, T$1, '6A'!$B$2:$B$531, "&gt;"&amp;$L$2, '6A'!$B$2:$B$531, "&lt;"&amp;$M$2)</f>
        <v>0</v>
      </c>
      <c r="U23" s="6">
        <f>countifs('6A'!$Y$2:$Y$531, U$1, '6A'!$B$2:$B$531, "&gt;"&amp;$L$3, '6A'!$B$2:$B$531, "&lt;"&amp;$M$3)</f>
        <v>0</v>
      </c>
      <c r="V23" s="6">
        <f>countifs('6A'!$Y$2:$Y$531, V$1, '6A'!$B$2:$B$531, "&gt;"&amp;$L$3, '6A'!$B$2:$B$531, "&lt;"&amp;$M$3)</f>
        <v>0</v>
      </c>
      <c r="W23" s="6">
        <f>countifs('6A'!$Y$2:$Y$531, W$1, '6A'!$B$2:$B$531, "&gt;"&amp;$L$3, '6A'!$B$2:$B$531, "&lt;"&amp;$M$3)</f>
        <v>0</v>
      </c>
      <c r="X23" s="6">
        <f>countifs('6A'!$Y$2:$Y$531, X$1, '6A'!$B$2:$B$531, "&gt;"&amp;$L$3, '6A'!$B$2:$B$531, "&lt;"&amp;$M$3)</f>
        <v>0</v>
      </c>
      <c r="Y23" s="6">
        <f>countifs('6A'!$Y$2:$Y$531, Y$1, '6A'!$B$2:$B$531, "&gt;"&amp;$L$3, '6A'!$B$2:$B$531, "&lt;"&amp;$M$3)</f>
        <v>0</v>
      </c>
      <c r="Z23" s="6">
        <f>countifs('6A'!$Y$2:$Y$531, Z$1, '6A'!$B$2:$B$531, "&gt;"&amp;$L$3, '6A'!$B$2:$B$531, "&lt;"&amp;$M$3)</f>
        <v>0</v>
      </c>
      <c r="AA23" s="6">
        <f>countifs('6A'!$Y$2:$Y$531, AA$1, '6A'!$B$2:$B$531, "&gt;"&amp;$L$3, '6A'!$B$2:$B$531, "&lt;"&amp;$M$3)</f>
        <v>0</v>
      </c>
      <c r="AB23" s="6">
        <f>countifs('6A'!$Y$2:$Y$531, AB$1, '6A'!$B$2:$B$531, "&gt;"&amp;$L$4, '6A'!$B$2:$B$531, "&lt;"&amp;$M$4)</f>
        <v>0</v>
      </c>
      <c r="AC23" s="6">
        <f>countifs('6A'!$Y$2:$Y$531, AC$1, '6A'!$B$2:$B$531, "&gt;"&amp;$L$4, '6A'!$B$2:$B$531, "&lt;"&amp;$M$4)</f>
        <v>0</v>
      </c>
      <c r="AD23" s="6">
        <f>countifs('6A'!$Y$2:$Y$531, AD$1, '6A'!$B$2:$B$531, "&gt;"&amp;$L$4, '6A'!$B$2:$B$531, "&lt;"&amp;$M$4)</f>
        <v>0</v>
      </c>
      <c r="AE23" s="6">
        <f>countifs('6A'!$Y$2:$Y$531, AE$1, '6A'!$B$2:$B$531, "&gt;"&amp;$L$4, '6A'!$B$2:$B$531, "&lt;"&amp;$M$4)</f>
        <v>0</v>
      </c>
      <c r="AF23" s="6">
        <f>countifs('6A'!$Y$2:$Y$531, AF$1, '6A'!$B$2:$B$531, "&gt;"&amp;$L$4, '6A'!$B$2:$B$531, "&lt;"&amp;$M$4)</f>
        <v>0</v>
      </c>
      <c r="AG23" s="6">
        <f>countifs('6A'!$Y$2:$Y$531, AG$1, '6A'!$B$2:$B$531, "&gt;"&amp;$L$4, '6A'!$B$2:$B$531, "&lt;"&amp;$M$4)</f>
        <v>0</v>
      </c>
      <c r="AH23" s="6">
        <f>countifs('6A'!$Y$2:$Y$531, AH$1, '6A'!$B$2:$B$531, "&gt;"&amp;$L$4, '6A'!$B$2:$B$531, "&lt;"&amp;$M$4)</f>
        <v>0</v>
      </c>
      <c r="AI23" s="3">
        <v>8.0</v>
      </c>
      <c r="AJ23" s="3">
        <v>3.0</v>
      </c>
      <c r="AK23" s="3">
        <v>1.0</v>
      </c>
      <c r="AL23" s="7" t="str">
        <f>IFERROR(__xludf.DUMMYFUNCTION("AVERAGE.WEIGHTED($N$1:$T$1, N23:T23)"),"#DIV/0!")</f>
        <v>#DIV/0!</v>
      </c>
      <c r="AM23" s="7" t="str">
        <f>IFERROR(__xludf.DUMMYFUNCTION("AVERAGE.WEIGHTED($U$1:$AA$1, U23:AA23)"),"#DIV/0!")</f>
        <v>#DIV/0!</v>
      </c>
      <c r="AN23" s="7" t="str">
        <f>IFERROR(__xludf.DUMMYFUNCTION("AVERAGE.WEIGHTED($AB$1:$AH$1, AB23:AH23)"),"#DIV/0!")</f>
        <v>#DIV/0!</v>
      </c>
      <c r="AO23" s="7" t="str">
        <f t="shared" ref="AO23:AQ23" si="77">(AL23-1)*100/6</f>
        <v>#DIV/0!</v>
      </c>
      <c r="AP23" s="7" t="str">
        <f t="shared" si="77"/>
        <v>#DIV/0!</v>
      </c>
      <c r="AQ23" s="7" t="str">
        <f t="shared" si="77"/>
        <v>#DIV/0!</v>
      </c>
      <c r="AR23" s="8" t="str">
        <f t="shared" ref="AR23:AT23" si="78">average($AO23:$AQ23)</f>
        <v>#DIV/0!</v>
      </c>
      <c r="AS23" s="8" t="str">
        <f t="shared" si="78"/>
        <v>#DIV/0!</v>
      </c>
      <c r="AT23" s="8" t="str">
        <f t="shared" si="78"/>
        <v>#DIV/0!</v>
      </c>
      <c r="AU23" s="8" t="str">
        <f t="shared" si="10"/>
        <v>#DIV/0!</v>
      </c>
      <c r="AV23" s="6">
        <f>countifs('6A'!$Y$2:$Y$531, AV$1, '6A'!$C$2:$C$531, "Karl")</f>
        <v>5</v>
      </c>
      <c r="AW23" s="6">
        <f>countifs('6A'!$Y$2:$Y$531, AW$1, '6A'!$C$2:$C$531, "Karl")</f>
        <v>0</v>
      </c>
      <c r="AX23" s="6">
        <f>countifs('6A'!$Y$2:$Y$531, AX$1, '6A'!$C$2:$C$531, "Karl")</f>
        <v>1</v>
      </c>
      <c r="AY23" s="6">
        <f>countifs('6A'!$Y$2:$Y$531, AY$1, '6A'!$C$2:$C$531, "Karl")</f>
        <v>0</v>
      </c>
      <c r="AZ23" s="6">
        <f>countifs('6A'!$Y$2:$Y$531, AZ$1, '6A'!$C$2:$C$531, "Karl")</f>
        <v>0</v>
      </c>
      <c r="BA23" s="6">
        <f>countifs('6A'!$Y$2:$Y$531, BA$1, '6A'!$C$2:$C$531, "Karl")</f>
        <v>0</v>
      </c>
      <c r="BB23" s="6">
        <f>countifs('6A'!$Y$2:$Y$531, BB$1, '6A'!$C$2:$C$531, "Karl")</f>
        <v>1</v>
      </c>
      <c r="BC23" s="6">
        <f>countifs('6A'!$Y$2:$Y$531, BC$1, '6A'!$C$2:$C$531, "Kona")</f>
        <v>11</v>
      </c>
      <c r="BD23" s="6">
        <f>countifs('6A'!$Y$2:$Y$531, BD$1, '6A'!$C$2:$C$531, "Kona")</f>
        <v>2</v>
      </c>
      <c r="BE23" s="6">
        <f>countifs('6A'!$Y$2:$Y$531, BE$1, '6A'!$C$2:$C$531, "Kona")</f>
        <v>1</v>
      </c>
      <c r="BF23" s="6">
        <f>countifs('6A'!$Y$2:$Y$531, BF$1, '6A'!$C$2:$C$531, "Kona")</f>
        <v>0</v>
      </c>
      <c r="BG23" s="6">
        <f>countifs('6A'!$Y$2:$Y$531, BG$1, '6A'!$C$2:$C$531, "Kona")</f>
        <v>0</v>
      </c>
      <c r="BH23" s="6">
        <f>countifs('6A'!$Y$2:$Y$531, BH$1, '6A'!$C$2:$C$531, "Kona")</f>
        <v>0</v>
      </c>
      <c r="BI23" s="6">
        <f>countifs('6A'!$Y$2:$Y$531, BI$1, '6A'!$C$2:$C$531, "Kona")</f>
        <v>0</v>
      </c>
      <c r="BJ23" s="9">
        <f t="shared" si="11"/>
        <v>7</v>
      </c>
      <c r="BK23" s="9">
        <f t="shared" si="12"/>
        <v>14</v>
      </c>
      <c r="BL23" s="7">
        <f>IFERROR(__xludf.DUMMYFUNCTION("AVERAGE.WEIGHTED($AV$1:$BB$1,AV23:BB23)"),2.1428571428571432)</f>
        <v>2.142857143</v>
      </c>
      <c r="BM23" s="7">
        <f>IFERROR(__xludf.DUMMYFUNCTION("AVERAGE.WEIGHTED($BC$1:$BI$1,BC23:BI23)"),1.2857142857142856)</f>
        <v>1.285714286</v>
      </c>
      <c r="BN23" s="7">
        <f t="shared" ref="BN23:BO23" si="79">(BL23-1)*100/6</f>
        <v>19.04761905</v>
      </c>
      <c r="BO23" s="7">
        <f t="shared" si="79"/>
        <v>4.761904762</v>
      </c>
      <c r="BP23" s="7">
        <f t="shared" si="14"/>
        <v>11.9047619</v>
      </c>
      <c r="BQ23" s="7">
        <f t="shared" si="15"/>
        <v>11.9047619</v>
      </c>
      <c r="BR23" s="8">
        <f t="shared" si="16"/>
        <v>0.003414791178</v>
      </c>
    </row>
    <row r="24">
      <c r="A24" s="3">
        <v>23.0</v>
      </c>
      <c r="B24" s="1" t="s">
        <v>25</v>
      </c>
      <c r="C24" s="6">
        <f>countif('6A'!$Z$2:$Z$531, C$1)</f>
        <v>7</v>
      </c>
      <c r="D24" s="6">
        <f>countif('6A'!$Z$2:$Z$531, D$1)</f>
        <v>2</v>
      </c>
      <c r="E24" s="6">
        <f>countif('6A'!$Z$2:$Z$531, E$1)</f>
        <v>1</v>
      </c>
      <c r="F24" s="6">
        <f>countif('6A'!$Z$2:$Z$531, F$1)</f>
        <v>2</v>
      </c>
      <c r="G24" s="6">
        <f>countif('6A'!$Z$2:$Z$531, G$1)</f>
        <v>3</v>
      </c>
      <c r="H24" s="6">
        <f>countif('6A'!$Z$2:$Z$531, H$1)</f>
        <v>4</v>
      </c>
      <c r="I24" s="6">
        <f>countif('6A'!$Z$2:$Z$531, I$1)</f>
        <v>2</v>
      </c>
      <c r="J24" s="6">
        <f t="shared" si="61"/>
        <v>21</v>
      </c>
      <c r="K24" s="7">
        <f t="shared" si="6"/>
        <v>3.571428571</v>
      </c>
      <c r="N24" s="6">
        <f>countifs('6A'!$Z$2:$Z$531, N$1, '6A'!$B$2:$B$531, "&gt;"&amp;$L$2, '6A'!$B$2:$B$531, "&lt;"&amp;$M$2)</f>
        <v>0</v>
      </c>
      <c r="O24" s="6">
        <f>countifs('6A'!$Z$2:$Z$531, O$1, '6A'!$B$2:$B$531, "&gt;"&amp;$L$2, '6A'!$B$2:$B$531, "&lt;"&amp;$M$2)</f>
        <v>0</v>
      </c>
      <c r="P24" s="6">
        <f>countifs('6A'!$Z$2:$Z$531, P$1, '6A'!$B$2:$B$531, "&gt;"&amp;$L$2, '6A'!$B$2:$B$531, "&lt;"&amp;$M$2)</f>
        <v>0</v>
      </c>
      <c r="Q24" s="6">
        <f>countifs('6A'!$Z$2:$Z$531, Q$1, '6A'!$B$2:$B$531, "&gt;"&amp;$L$2, '6A'!$B$2:$B$531, "&lt;"&amp;$M$2)</f>
        <v>0</v>
      </c>
      <c r="R24" s="6">
        <f>countifs('6A'!$Z$2:$Z$531, R$1, '6A'!$B$2:$B$531, "&gt;"&amp;$L$2, '6A'!$B$2:$B$531, "&lt;"&amp;$M$2)</f>
        <v>0</v>
      </c>
      <c r="S24" s="6">
        <f>countifs('6A'!$Z$2:$Z$531, S$1, '6A'!$B$2:$B$531, "&gt;"&amp;$L$2, '6A'!$B$2:$B$531, "&lt;"&amp;$M$2)</f>
        <v>0</v>
      </c>
      <c r="T24" s="6">
        <f>countifs('6A'!$Z$2:$Z$531, T$1, '6A'!$B$2:$B$531, "&gt;"&amp;$L$2, '6A'!$B$2:$B$531, "&lt;"&amp;$M$2)</f>
        <v>0</v>
      </c>
      <c r="U24" s="6">
        <f>countifs('6A'!$Z$2:$Z$531, U$1, '6A'!$B$2:$B$531, "&gt;"&amp;$L$3, '6A'!$B$2:$B$531, "&lt;"&amp;$M$3)</f>
        <v>0</v>
      </c>
      <c r="V24" s="6">
        <f>countifs('6A'!$Z$2:$Z$531, V$1, '6A'!$B$2:$B$531, "&gt;"&amp;$L$3, '6A'!$B$2:$B$531, "&lt;"&amp;$M$3)</f>
        <v>0</v>
      </c>
      <c r="W24" s="6">
        <f>countifs('6A'!$Z$2:$Z$531, W$1, '6A'!$B$2:$B$531, "&gt;"&amp;$L$3, '6A'!$B$2:$B$531, "&lt;"&amp;$M$3)</f>
        <v>0</v>
      </c>
      <c r="X24" s="6">
        <f>countifs('6A'!$Z$2:$Z$531, X$1, '6A'!$B$2:$B$531, "&gt;"&amp;$L$3, '6A'!$B$2:$B$531, "&lt;"&amp;$M$3)</f>
        <v>0</v>
      </c>
      <c r="Y24" s="6">
        <f>countifs('6A'!$Z$2:$Z$531, Y$1, '6A'!$B$2:$B$531, "&gt;"&amp;$L$3, '6A'!$B$2:$B$531, "&lt;"&amp;$M$3)</f>
        <v>0</v>
      </c>
      <c r="Z24" s="6">
        <f>countifs('6A'!$Z$2:$Z$531, Z$1, '6A'!$B$2:$B$531, "&gt;"&amp;$L$3, '6A'!$B$2:$B$531, "&lt;"&amp;$M$3)</f>
        <v>0</v>
      </c>
      <c r="AA24" s="6">
        <f>countifs('6A'!$Z$2:$Z$531, AA$1, '6A'!$B$2:$B$531, "&gt;"&amp;$L$3, '6A'!$B$2:$B$531, "&lt;"&amp;$M$3)</f>
        <v>0</v>
      </c>
      <c r="AB24" s="6">
        <f>countifs('6A'!$Z$2:$Z$531, AB$1, '6A'!$B$2:$B$531, "&gt;"&amp;$L$4, '6A'!$B$2:$B$531, "&lt;"&amp;$M$4)</f>
        <v>0</v>
      </c>
      <c r="AC24" s="6">
        <f>countifs('6A'!$Z$2:$Z$531, AC$1, '6A'!$B$2:$B$531, "&gt;"&amp;$L$4, '6A'!$B$2:$B$531, "&lt;"&amp;$M$4)</f>
        <v>0</v>
      </c>
      <c r="AD24" s="6">
        <f>countifs('6A'!$Z$2:$Z$531, AD$1, '6A'!$B$2:$B$531, "&gt;"&amp;$L$4, '6A'!$B$2:$B$531, "&lt;"&amp;$M$4)</f>
        <v>0</v>
      </c>
      <c r="AE24" s="6">
        <f>countifs('6A'!$Z$2:$Z$531, AE$1, '6A'!$B$2:$B$531, "&gt;"&amp;$L$4, '6A'!$B$2:$B$531, "&lt;"&amp;$M$4)</f>
        <v>0</v>
      </c>
      <c r="AF24" s="6">
        <f>countifs('6A'!$Z$2:$Z$531, AF$1, '6A'!$B$2:$B$531, "&gt;"&amp;$L$4, '6A'!$B$2:$B$531, "&lt;"&amp;$M$4)</f>
        <v>0</v>
      </c>
      <c r="AG24" s="6">
        <f>countifs('6A'!$Z$2:$Z$531, AG$1, '6A'!$B$2:$B$531, "&gt;"&amp;$L$4, '6A'!$B$2:$B$531, "&lt;"&amp;$M$4)</f>
        <v>0</v>
      </c>
      <c r="AH24" s="6">
        <f>countifs('6A'!$Z$2:$Z$531, AH$1, '6A'!$B$2:$B$531, "&gt;"&amp;$L$4, '6A'!$B$2:$B$531, "&lt;"&amp;$M$4)</f>
        <v>0</v>
      </c>
      <c r="AI24" s="3">
        <v>8.0</v>
      </c>
      <c r="AJ24" s="3">
        <v>3.0</v>
      </c>
      <c r="AK24" s="3">
        <v>1.0</v>
      </c>
      <c r="AL24" s="7" t="str">
        <f>IFERROR(__xludf.DUMMYFUNCTION("AVERAGE.WEIGHTED($N$1:$T$1, N24:T24)"),"#DIV/0!")</f>
        <v>#DIV/0!</v>
      </c>
      <c r="AM24" s="7" t="str">
        <f>IFERROR(__xludf.DUMMYFUNCTION("AVERAGE.WEIGHTED($U$1:$AA$1, U24:AA24)"),"#DIV/0!")</f>
        <v>#DIV/0!</v>
      </c>
      <c r="AN24" s="7" t="str">
        <f>IFERROR(__xludf.DUMMYFUNCTION("AVERAGE.WEIGHTED($AB$1:$AH$1, AB24:AH24)"),"#DIV/0!")</f>
        <v>#DIV/0!</v>
      </c>
      <c r="AO24" s="7" t="str">
        <f t="shared" ref="AO24:AQ24" si="80">(AL24-1)*100/6</f>
        <v>#DIV/0!</v>
      </c>
      <c r="AP24" s="7" t="str">
        <f t="shared" si="80"/>
        <v>#DIV/0!</v>
      </c>
      <c r="AQ24" s="7" t="str">
        <f t="shared" si="80"/>
        <v>#DIV/0!</v>
      </c>
      <c r="AR24" s="8" t="str">
        <f t="shared" ref="AR24:AT24" si="81">average($AO24:$AQ24)</f>
        <v>#DIV/0!</v>
      </c>
      <c r="AS24" s="8" t="str">
        <f t="shared" si="81"/>
        <v>#DIV/0!</v>
      </c>
      <c r="AT24" s="8" t="str">
        <f t="shared" si="81"/>
        <v>#DIV/0!</v>
      </c>
      <c r="AU24" s="8" t="str">
        <f t="shared" si="10"/>
        <v>#DIV/0!</v>
      </c>
      <c r="AV24" s="6">
        <f>countifs('6A'!$Z$2:$Z$531, AV$1, '6A'!$C$2:$C$531, "Karl")</f>
        <v>1</v>
      </c>
      <c r="AW24" s="6">
        <f>countifs('6A'!$Z$2:$Z$531, AW$1, '6A'!$C$2:$C$531, "Karl")</f>
        <v>1</v>
      </c>
      <c r="AX24" s="6">
        <f>countifs('6A'!$Z$2:$Z$531, AX$1, '6A'!$C$2:$C$531, "Karl")</f>
        <v>1</v>
      </c>
      <c r="AY24" s="6">
        <f>countifs('6A'!$Z$2:$Z$531, AY$1, '6A'!$C$2:$C$531, "Karl")</f>
        <v>2</v>
      </c>
      <c r="AZ24" s="6">
        <f>countifs('6A'!$Z$2:$Z$531, AZ$1, '6A'!$C$2:$C$531, "Karl")</f>
        <v>2</v>
      </c>
      <c r="BA24" s="6">
        <f>countifs('6A'!$Z$2:$Z$531, BA$1, '6A'!$C$2:$C$531, "Karl")</f>
        <v>0</v>
      </c>
      <c r="BB24" s="6">
        <f>countifs('6A'!$Z$2:$Z$531, BB$1, '6A'!$C$2:$C$531, "Karl")</f>
        <v>0</v>
      </c>
      <c r="BC24" s="6">
        <f>countifs('6A'!$Z$2:$Z$531, BC$1, '6A'!$C$2:$C$531, "Kona")</f>
        <v>6</v>
      </c>
      <c r="BD24" s="6">
        <f>countifs('6A'!$Z$2:$Z$531, BD$1, '6A'!$C$2:$C$531, "Kona")</f>
        <v>1</v>
      </c>
      <c r="BE24" s="6">
        <f>countifs('6A'!$Z$2:$Z$531, BE$1, '6A'!$C$2:$C$531, "Kona")</f>
        <v>0</v>
      </c>
      <c r="BF24" s="6">
        <f>countifs('6A'!$Z$2:$Z$531, BF$1, '6A'!$C$2:$C$531, "Kona")</f>
        <v>0</v>
      </c>
      <c r="BG24" s="6">
        <f>countifs('6A'!$Z$2:$Z$531, BG$1, '6A'!$C$2:$C$531, "Kona")</f>
        <v>1</v>
      </c>
      <c r="BH24" s="6">
        <f>countifs('6A'!$Z$2:$Z$531, BH$1, '6A'!$C$2:$C$531, "Kona")</f>
        <v>4</v>
      </c>
      <c r="BI24" s="6">
        <f>countifs('6A'!$Z$2:$Z$531, BI$1, '6A'!$C$2:$C$531, "Kona")</f>
        <v>2</v>
      </c>
      <c r="BJ24" s="9">
        <f t="shared" si="11"/>
        <v>7</v>
      </c>
      <c r="BK24" s="9">
        <f t="shared" si="12"/>
        <v>14</v>
      </c>
      <c r="BL24" s="7">
        <f>IFERROR(__xludf.DUMMYFUNCTION("AVERAGE.WEIGHTED($AV$1:$BB$1,AV24:BB24)"),3.428571428571429)</f>
        <v>3.428571429</v>
      </c>
      <c r="BM24" s="7">
        <f>IFERROR(__xludf.DUMMYFUNCTION("AVERAGE.WEIGHTED($BC$1:$BI$1,BC24:BI24)"),3.642857142857143)</f>
        <v>3.642857143</v>
      </c>
      <c r="BN24" s="7">
        <f t="shared" ref="BN24:BO24" si="82">(BL24-1)*100/6</f>
        <v>40.47619048</v>
      </c>
      <c r="BO24" s="7">
        <f t="shared" si="82"/>
        <v>44.04761905</v>
      </c>
      <c r="BP24" s="7">
        <f t="shared" si="14"/>
        <v>42.26190476</v>
      </c>
      <c r="BQ24" s="7">
        <f t="shared" si="15"/>
        <v>42.26190476</v>
      </c>
      <c r="BR24" s="8">
        <f t="shared" si="16"/>
        <v>0.6976715919</v>
      </c>
    </row>
    <row r="25">
      <c r="A25" s="3">
        <v>24.0</v>
      </c>
      <c r="B25" s="1" t="s">
        <v>26</v>
      </c>
      <c r="C25" s="6">
        <f>countif('6A'!$AA$2:$AA$531, C$1)</f>
        <v>7</v>
      </c>
      <c r="D25" s="6">
        <f>countif('6A'!$AA$2:$AA$531, D$1)</f>
        <v>3</v>
      </c>
      <c r="E25" s="6">
        <f>countif('6A'!$AA$2:$AA$531, E$1)</f>
        <v>3</v>
      </c>
      <c r="F25" s="6">
        <f>countif('6A'!$AA$2:$AA$531, F$1)</f>
        <v>3</v>
      </c>
      <c r="G25" s="6">
        <f>countif('6A'!$AA$2:$AA$531, G$1)</f>
        <v>1</v>
      </c>
      <c r="H25" s="6">
        <f>countif('6A'!$AA$2:$AA$531, H$1)</f>
        <v>2</v>
      </c>
      <c r="I25" s="6">
        <f>countif('6A'!$AA$2:$AA$531, I$1)</f>
        <v>2</v>
      </c>
      <c r="J25" s="6">
        <f t="shared" si="61"/>
        <v>21</v>
      </c>
      <c r="K25" s="7">
        <f t="shared" si="6"/>
        <v>3.095238095</v>
      </c>
      <c r="N25" s="6">
        <f>countifs('6A'!$AA$2:$AA$531, N$1, '6A'!$B$2:$B$531, "&gt;"&amp;$L$2, '6A'!$B$2:$B$531, "&lt;"&amp;$M$2)</f>
        <v>0</v>
      </c>
      <c r="O25" s="6">
        <f>countifs('6A'!$AA$2:$AA$531, O$1, '6A'!$B$2:$B$531, "&gt;"&amp;$L$2, '6A'!$B$2:$B$531, "&lt;"&amp;$M$2)</f>
        <v>0</v>
      </c>
      <c r="P25" s="6">
        <f>countifs('6A'!$AA$2:$AA$531, P$1, '6A'!$B$2:$B$531, "&gt;"&amp;$L$2, '6A'!$B$2:$B$531, "&lt;"&amp;$M$2)</f>
        <v>0</v>
      </c>
      <c r="Q25" s="6">
        <f>countifs('6A'!$AA$2:$AA$531, Q$1, '6A'!$B$2:$B$531, "&gt;"&amp;$L$2, '6A'!$B$2:$B$531, "&lt;"&amp;$M$2)</f>
        <v>0</v>
      </c>
      <c r="R25" s="6">
        <f>countifs('6A'!$AA$2:$AA$531, R$1, '6A'!$B$2:$B$531, "&gt;"&amp;$L$2, '6A'!$B$2:$B$531, "&lt;"&amp;$M$2)</f>
        <v>0</v>
      </c>
      <c r="S25" s="6">
        <f>countifs('6A'!$AA$2:$AA$531, S$1, '6A'!$B$2:$B$531, "&gt;"&amp;$L$2, '6A'!$B$2:$B$531, "&lt;"&amp;$M$2)</f>
        <v>0</v>
      </c>
      <c r="T25" s="6">
        <f>countifs('6A'!$AA$2:$AA$531, T$1, '6A'!$B$2:$B$531, "&gt;"&amp;$L$2, '6A'!$B$2:$B$531, "&lt;"&amp;$M$2)</f>
        <v>0</v>
      </c>
      <c r="U25" s="6">
        <f>countifs('6A'!$AA$2:$AA$531, U$1, '6A'!$B$2:$B$531, "&gt;"&amp;$L$3, '6A'!$B$2:$B$531, "&lt;"&amp;$M$3)</f>
        <v>0</v>
      </c>
      <c r="V25" s="6">
        <f>countifs('6A'!$AA$2:$AA$531, V$1, '6A'!$B$2:$B$531, "&gt;"&amp;$L$3, '6A'!$B$2:$B$531, "&lt;"&amp;$M$3)</f>
        <v>0</v>
      </c>
      <c r="W25" s="6">
        <f>countifs('6A'!$AA$2:$AA$531, W$1, '6A'!$B$2:$B$531, "&gt;"&amp;$L$3, '6A'!$B$2:$B$531, "&lt;"&amp;$M$3)</f>
        <v>0</v>
      </c>
      <c r="X25" s="6">
        <f>countifs('6A'!$AA$2:$AA$531, X$1, '6A'!$B$2:$B$531, "&gt;"&amp;$L$3, '6A'!$B$2:$B$531, "&lt;"&amp;$M$3)</f>
        <v>0</v>
      </c>
      <c r="Y25" s="6">
        <f>countifs('6A'!$AA$2:$AA$531, Y$1, '6A'!$B$2:$B$531, "&gt;"&amp;$L$3, '6A'!$B$2:$B$531, "&lt;"&amp;$M$3)</f>
        <v>0</v>
      </c>
      <c r="Z25" s="6">
        <f>countifs('6A'!$AA$2:$AA$531, Z$1, '6A'!$B$2:$B$531, "&gt;"&amp;$L$3, '6A'!$B$2:$B$531, "&lt;"&amp;$M$3)</f>
        <v>0</v>
      </c>
      <c r="AA25" s="6">
        <f>countifs('6A'!$AA$2:$AA$531, AA$1, '6A'!$B$2:$B$531, "&gt;"&amp;$L$3, '6A'!$B$2:$B$531, "&lt;"&amp;$M$3)</f>
        <v>0</v>
      </c>
      <c r="AB25" s="6">
        <f>countifs('6A'!$AA$2:$AA$531, AB$1, '6A'!$B$2:$B$531, "&gt;"&amp;$L$4, '6A'!$B$2:$B$531, "&lt;"&amp;$M$4)</f>
        <v>0</v>
      </c>
      <c r="AC25" s="6">
        <f>countifs('6A'!$AA$2:$AA$531, AC$1, '6A'!$B$2:$B$531, "&gt;"&amp;$L$4, '6A'!$B$2:$B$531, "&lt;"&amp;$M$4)</f>
        <v>0</v>
      </c>
      <c r="AD25" s="6">
        <f>countifs('6A'!$AA$2:$AA$531, AD$1, '6A'!$B$2:$B$531, "&gt;"&amp;$L$4, '6A'!$B$2:$B$531, "&lt;"&amp;$M$4)</f>
        <v>0</v>
      </c>
      <c r="AE25" s="6">
        <f>countifs('6A'!$AA$2:$AA$531, AE$1, '6A'!$B$2:$B$531, "&gt;"&amp;$L$4, '6A'!$B$2:$B$531, "&lt;"&amp;$M$4)</f>
        <v>0</v>
      </c>
      <c r="AF25" s="6">
        <f>countifs('6A'!$AA$2:$AA$531, AF$1, '6A'!$B$2:$B$531, "&gt;"&amp;$L$4, '6A'!$B$2:$B$531, "&lt;"&amp;$M$4)</f>
        <v>0</v>
      </c>
      <c r="AG25" s="6">
        <f>countifs('6A'!$AA$2:$AA$531, AG$1, '6A'!$B$2:$B$531, "&gt;"&amp;$L$4, '6A'!$B$2:$B$531, "&lt;"&amp;$M$4)</f>
        <v>0</v>
      </c>
      <c r="AH25" s="6">
        <f>countifs('6A'!$AA$2:$AA$531, AH$1, '6A'!$B$2:$B$531, "&gt;"&amp;$L$4, '6A'!$B$2:$B$531, "&lt;"&amp;$M$4)</f>
        <v>0</v>
      </c>
      <c r="AI25" s="3">
        <v>8.0</v>
      </c>
      <c r="AJ25" s="3">
        <v>3.0</v>
      </c>
      <c r="AK25" s="3">
        <v>1.0</v>
      </c>
      <c r="AL25" s="7" t="str">
        <f>IFERROR(__xludf.DUMMYFUNCTION("AVERAGE.WEIGHTED($N$1:$T$1, N25:T25)"),"#DIV/0!")</f>
        <v>#DIV/0!</v>
      </c>
      <c r="AM25" s="7" t="str">
        <f>IFERROR(__xludf.DUMMYFUNCTION("AVERAGE.WEIGHTED($U$1:$AA$1, U25:AA25)"),"#DIV/0!")</f>
        <v>#DIV/0!</v>
      </c>
      <c r="AN25" s="7" t="str">
        <f>IFERROR(__xludf.DUMMYFUNCTION("AVERAGE.WEIGHTED($AB$1:$AH$1, AB25:AH25)"),"#DIV/0!")</f>
        <v>#DIV/0!</v>
      </c>
      <c r="AO25" s="7" t="str">
        <f t="shared" ref="AO25:AQ25" si="83">(AL25-1)*100/6</f>
        <v>#DIV/0!</v>
      </c>
      <c r="AP25" s="7" t="str">
        <f t="shared" si="83"/>
        <v>#DIV/0!</v>
      </c>
      <c r="AQ25" s="7" t="str">
        <f t="shared" si="83"/>
        <v>#DIV/0!</v>
      </c>
      <c r="AR25" s="8" t="str">
        <f t="shared" ref="AR25:AT25" si="84">average($AO25:$AQ25)</f>
        <v>#DIV/0!</v>
      </c>
      <c r="AS25" s="8" t="str">
        <f t="shared" si="84"/>
        <v>#DIV/0!</v>
      </c>
      <c r="AT25" s="8" t="str">
        <f t="shared" si="84"/>
        <v>#DIV/0!</v>
      </c>
      <c r="AU25" s="8" t="str">
        <f t="shared" si="10"/>
        <v>#DIV/0!</v>
      </c>
      <c r="AV25" s="6">
        <f>countifs('6A'!$AA$2:$AA$531, AV$1, '6A'!$C$2:$C$531, "Karl")</f>
        <v>1</v>
      </c>
      <c r="AW25" s="6">
        <f>countifs('6A'!$AA$2:$AA$531, AW$1, '6A'!$C$2:$C$531, "Karl")</f>
        <v>3</v>
      </c>
      <c r="AX25" s="6">
        <f>countifs('6A'!$AA$2:$AA$531, AX$1, '6A'!$C$2:$C$531, "Karl")</f>
        <v>1</v>
      </c>
      <c r="AY25" s="6">
        <f>countifs('6A'!$AA$2:$AA$531, AY$1, '6A'!$C$2:$C$531, "Karl")</f>
        <v>1</v>
      </c>
      <c r="AZ25" s="6">
        <f>countifs('6A'!$AA$2:$AA$531, AZ$1, '6A'!$C$2:$C$531, "Karl")</f>
        <v>1</v>
      </c>
      <c r="BA25" s="6">
        <f>countifs('6A'!$AA$2:$AA$531, BA$1, '6A'!$C$2:$C$531, "Karl")</f>
        <v>0</v>
      </c>
      <c r="BB25" s="6">
        <f>countifs('6A'!$AA$2:$AA$531, BB$1, '6A'!$C$2:$C$531, "Karl")</f>
        <v>0</v>
      </c>
      <c r="BC25" s="6">
        <f>countifs('6A'!$AA$2:$AA$531, BC$1, '6A'!$C$2:$C$531, "Kona")</f>
        <v>6</v>
      </c>
      <c r="BD25" s="6">
        <f>countifs('6A'!$AA$2:$AA$531, BD$1, '6A'!$C$2:$C$531, "Kona")</f>
        <v>0</v>
      </c>
      <c r="BE25" s="6">
        <f>countifs('6A'!$AA$2:$AA$531, BE$1, '6A'!$C$2:$C$531, "Kona")</f>
        <v>2</v>
      </c>
      <c r="BF25" s="6">
        <f>countifs('6A'!$AA$2:$AA$531, BF$1, '6A'!$C$2:$C$531, "Kona")</f>
        <v>2</v>
      </c>
      <c r="BG25" s="6">
        <f>countifs('6A'!$AA$2:$AA$531, BG$1, '6A'!$C$2:$C$531, "Kona")</f>
        <v>0</v>
      </c>
      <c r="BH25" s="6">
        <f>countifs('6A'!$AA$2:$AA$531, BH$1, '6A'!$C$2:$C$531, "Kona")</f>
        <v>2</v>
      </c>
      <c r="BI25" s="6">
        <f>countifs('6A'!$AA$2:$AA$531, BI$1, '6A'!$C$2:$C$531, "Kona")</f>
        <v>2</v>
      </c>
      <c r="BJ25" s="9">
        <f t="shared" si="11"/>
        <v>7</v>
      </c>
      <c r="BK25" s="9">
        <f t="shared" si="12"/>
        <v>14</v>
      </c>
      <c r="BL25" s="7">
        <f>IFERROR(__xludf.DUMMYFUNCTION("AVERAGE.WEIGHTED($AV$1:$BB$1,AV25:BB25)"),2.7142857142857144)</f>
        <v>2.714285714</v>
      </c>
      <c r="BM25" s="7">
        <f>IFERROR(__xludf.DUMMYFUNCTION("AVERAGE.WEIGHTED($BC$1:$BI$1,BC25:BI25)"),3.2857142857142856)</f>
        <v>3.285714286</v>
      </c>
      <c r="BN25" s="7">
        <f t="shared" ref="BN25:BO25" si="85">(BL25-1)*100/6</f>
        <v>28.57142857</v>
      </c>
      <c r="BO25" s="7">
        <f t="shared" si="85"/>
        <v>38.0952381</v>
      </c>
      <c r="BP25" s="7">
        <f t="shared" si="14"/>
        <v>33.33333333</v>
      </c>
      <c r="BQ25" s="7">
        <f t="shared" si="15"/>
        <v>33.33333333</v>
      </c>
      <c r="BR25" s="8">
        <f t="shared" si="16"/>
        <v>0.2434431862</v>
      </c>
    </row>
    <row r="26">
      <c r="A26" s="3">
        <v>25.0</v>
      </c>
      <c r="B26" s="1" t="s">
        <v>27</v>
      </c>
      <c r="C26" s="6">
        <f>countif('6A'!$AB$2:$AB$531, C$1)</f>
        <v>0</v>
      </c>
      <c r="D26" s="6">
        <f>countif('6A'!$AB$2:$AB$531, D$1)</f>
        <v>0</v>
      </c>
      <c r="E26" s="6">
        <f>countif('6A'!$AB$2:$AB$531, E$1)</f>
        <v>3</v>
      </c>
      <c r="F26" s="6">
        <f>countif('6A'!$AB$2:$AB$531, F$1)</f>
        <v>2</v>
      </c>
      <c r="G26" s="6">
        <f>countif('6A'!$AB$2:$AB$531, G$1)</f>
        <v>2</v>
      </c>
      <c r="H26" s="6">
        <f>countif('6A'!$AB$2:$AB$531, H$1)</f>
        <v>8</v>
      </c>
      <c r="I26" s="6">
        <f>countif('6A'!$AB$2:$AB$531, I$1)</f>
        <v>6</v>
      </c>
      <c r="J26" s="6">
        <f t="shared" si="61"/>
        <v>21</v>
      </c>
      <c r="K26" s="7">
        <f t="shared" si="6"/>
        <v>5.571428571</v>
      </c>
      <c r="N26" s="6">
        <f>countifs('6A'!$AB$2:$AB$531, N$1, '6A'!$B$2:$B$531, "&gt;"&amp;$L$2, '6A'!$B$2:$B$531, "&lt;"&amp;$M$2)</f>
        <v>0</v>
      </c>
      <c r="O26" s="6">
        <f>countifs('6A'!$AB$2:$AB$531, O$1, '6A'!$B$2:$B$531, "&gt;"&amp;$L$2, '6A'!$B$2:$B$531, "&lt;"&amp;$M$2)</f>
        <v>0</v>
      </c>
      <c r="P26" s="6">
        <f>countifs('6A'!$AB$2:$AB$531, P$1, '6A'!$B$2:$B$531, "&gt;"&amp;$L$2, '6A'!$B$2:$B$531, "&lt;"&amp;$M$2)</f>
        <v>0</v>
      </c>
      <c r="Q26" s="6">
        <f>countifs('6A'!$AB$2:$AB$531, Q$1, '6A'!$B$2:$B$531, "&gt;"&amp;$L$2, '6A'!$B$2:$B$531, "&lt;"&amp;$M$2)</f>
        <v>0</v>
      </c>
      <c r="R26" s="6">
        <f>countifs('6A'!$AB$2:$AB$531, R$1, '6A'!$B$2:$B$531, "&gt;"&amp;$L$2, '6A'!$B$2:$B$531, "&lt;"&amp;$M$2)</f>
        <v>0</v>
      </c>
      <c r="S26" s="6">
        <f>countifs('6A'!$AB$2:$AB$531, S$1, '6A'!$B$2:$B$531, "&gt;"&amp;$L$2, '6A'!$B$2:$B$531, "&lt;"&amp;$M$2)</f>
        <v>0</v>
      </c>
      <c r="T26" s="6">
        <f>countifs('6A'!$AB$2:$AB$531, T$1, '6A'!$B$2:$B$531, "&gt;"&amp;$L$2, '6A'!$B$2:$B$531, "&lt;"&amp;$M$2)</f>
        <v>0</v>
      </c>
      <c r="U26" s="6">
        <f>countifs('6A'!$AB$2:$AB$531, U$1, '6A'!$B$2:$B$531, "&gt;"&amp;$L$3, '6A'!$B$2:$B$531, "&lt;"&amp;$M$3)</f>
        <v>0</v>
      </c>
      <c r="V26" s="6">
        <f>countifs('6A'!$AB$2:$AB$531, V$1, '6A'!$B$2:$B$531, "&gt;"&amp;$L$3, '6A'!$B$2:$B$531, "&lt;"&amp;$M$3)</f>
        <v>0</v>
      </c>
      <c r="W26" s="6">
        <f>countifs('6A'!$AB$2:$AB$531, W$1, '6A'!$B$2:$B$531, "&gt;"&amp;$L$3, '6A'!$B$2:$B$531, "&lt;"&amp;$M$3)</f>
        <v>0</v>
      </c>
      <c r="X26" s="6">
        <f>countifs('6A'!$AB$2:$AB$531, X$1, '6A'!$B$2:$B$531, "&gt;"&amp;$L$3, '6A'!$B$2:$B$531, "&lt;"&amp;$M$3)</f>
        <v>0</v>
      </c>
      <c r="Y26" s="6">
        <f>countifs('6A'!$AB$2:$AB$531, Y$1, '6A'!$B$2:$B$531, "&gt;"&amp;$L$3, '6A'!$B$2:$B$531, "&lt;"&amp;$M$3)</f>
        <v>0</v>
      </c>
      <c r="Z26" s="6">
        <f>countifs('6A'!$AB$2:$AB$531, Z$1, '6A'!$B$2:$B$531, "&gt;"&amp;$L$3, '6A'!$B$2:$B$531, "&lt;"&amp;$M$3)</f>
        <v>0</v>
      </c>
      <c r="AA26" s="6">
        <f>countifs('6A'!$AB$2:$AB$531, AA$1, '6A'!$B$2:$B$531, "&gt;"&amp;$L$3, '6A'!$B$2:$B$531, "&lt;"&amp;$M$3)</f>
        <v>0</v>
      </c>
      <c r="AB26" s="6">
        <f>countifs('6A'!$AB$2:$AB$531, AB$1, '6A'!$B$2:$B$531, "&gt;"&amp;$L$4, '6A'!$B$2:$B$531, "&lt;"&amp;$M$4)</f>
        <v>0</v>
      </c>
      <c r="AC26" s="6">
        <f>countifs('6A'!$AB$2:$AB$531, AC$1, '6A'!$B$2:$B$531, "&gt;"&amp;$L$4, '6A'!$B$2:$B$531, "&lt;"&amp;$M$4)</f>
        <v>0</v>
      </c>
      <c r="AD26" s="6">
        <f>countifs('6A'!$AB$2:$AB$531, AD$1, '6A'!$B$2:$B$531, "&gt;"&amp;$L$4, '6A'!$B$2:$B$531, "&lt;"&amp;$M$4)</f>
        <v>0</v>
      </c>
      <c r="AE26" s="6">
        <f>countifs('6A'!$AB$2:$AB$531, AE$1, '6A'!$B$2:$B$531, "&gt;"&amp;$L$4, '6A'!$B$2:$B$531, "&lt;"&amp;$M$4)</f>
        <v>0</v>
      </c>
      <c r="AF26" s="6">
        <f>countifs('6A'!$AB$2:$AB$531, AF$1, '6A'!$B$2:$B$531, "&gt;"&amp;$L$4, '6A'!$B$2:$B$531, "&lt;"&amp;$M$4)</f>
        <v>0</v>
      </c>
      <c r="AG26" s="6">
        <f>countifs('6A'!$AB$2:$AB$531, AG$1, '6A'!$B$2:$B$531, "&gt;"&amp;$L$4, '6A'!$B$2:$B$531, "&lt;"&amp;$M$4)</f>
        <v>0</v>
      </c>
      <c r="AH26" s="6">
        <f>countifs('6A'!$AB$2:$AB$531, AH$1, '6A'!$B$2:$B$531, "&gt;"&amp;$L$4, '6A'!$B$2:$B$531, "&lt;"&amp;$M$4)</f>
        <v>0</v>
      </c>
      <c r="AI26" s="3">
        <v>8.0</v>
      </c>
      <c r="AJ26" s="3">
        <v>3.0</v>
      </c>
      <c r="AK26" s="3">
        <v>1.0</v>
      </c>
      <c r="AL26" s="7" t="str">
        <f>IFERROR(__xludf.DUMMYFUNCTION("AVERAGE.WEIGHTED($N$1:$T$1, N26:T26)"),"#DIV/0!")</f>
        <v>#DIV/0!</v>
      </c>
      <c r="AM26" s="7" t="str">
        <f>IFERROR(__xludf.DUMMYFUNCTION("AVERAGE.WEIGHTED($U$1:$AA$1, U26:AA26)"),"#DIV/0!")</f>
        <v>#DIV/0!</v>
      </c>
      <c r="AN26" s="7" t="str">
        <f>IFERROR(__xludf.DUMMYFUNCTION("AVERAGE.WEIGHTED($AB$1:$AH$1, AB26:AH26)"),"#DIV/0!")</f>
        <v>#DIV/0!</v>
      </c>
      <c r="AO26" s="7" t="str">
        <f t="shared" ref="AO26:AQ26" si="86">(AL26-1)*100/6</f>
        <v>#DIV/0!</v>
      </c>
      <c r="AP26" s="7" t="str">
        <f t="shared" si="86"/>
        <v>#DIV/0!</v>
      </c>
      <c r="AQ26" s="7" t="str">
        <f t="shared" si="86"/>
        <v>#DIV/0!</v>
      </c>
      <c r="AR26" s="8" t="str">
        <f t="shared" ref="AR26:AT26" si="87">average($AO26:$AQ26)</f>
        <v>#DIV/0!</v>
      </c>
      <c r="AS26" s="8" t="str">
        <f t="shared" si="87"/>
        <v>#DIV/0!</v>
      </c>
      <c r="AT26" s="8" t="str">
        <f t="shared" si="87"/>
        <v>#DIV/0!</v>
      </c>
      <c r="AU26" s="8" t="str">
        <f t="shared" si="10"/>
        <v>#DIV/0!</v>
      </c>
      <c r="AV26" s="6">
        <f>countifs('6A'!$AB$2:$AB$531, AV$1, '6A'!$C$2:$C$531, "Karl")</f>
        <v>0</v>
      </c>
      <c r="AW26" s="6">
        <f>countifs('6A'!$AB$2:$AB$531, AW$1, '6A'!$C$2:$C$531, "Karl")</f>
        <v>0</v>
      </c>
      <c r="AX26" s="6">
        <f>countifs('6A'!$AB$2:$AB$531, AX$1, '6A'!$C$2:$C$531, "Karl")</f>
        <v>1</v>
      </c>
      <c r="AY26" s="6">
        <f>countifs('6A'!$AB$2:$AB$531, AY$1, '6A'!$C$2:$C$531, "Karl")</f>
        <v>1</v>
      </c>
      <c r="AZ26" s="6">
        <f>countifs('6A'!$AB$2:$AB$531, AZ$1, '6A'!$C$2:$C$531, "Karl")</f>
        <v>1</v>
      </c>
      <c r="BA26" s="6">
        <f>countifs('6A'!$AB$2:$AB$531, BA$1, '6A'!$C$2:$C$531, "Karl")</f>
        <v>2</v>
      </c>
      <c r="BB26" s="6">
        <f>countifs('6A'!$AB$2:$AB$531, BB$1, '6A'!$C$2:$C$531, "Karl")</f>
        <v>2</v>
      </c>
      <c r="BC26" s="6">
        <f>countifs('6A'!$AB$2:$AB$531, BC$1, '6A'!$C$2:$C$531, "Kona")</f>
        <v>0</v>
      </c>
      <c r="BD26" s="6">
        <f>countifs('6A'!$AB$2:$AB$531, BD$1, '6A'!$C$2:$C$531, "Kona")</f>
        <v>0</v>
      </c>
      <c r="BE26" s="6">
        <f>countifs('6A'!$AB$2:$AB$531, BE$1, '6A'!$C$2:$C$531, "Kona")</f>
        <v>2</v>
      </c>
      <c r="BF26" s="6">
        <f>countifs('6A'!$AB$2:$AB$531, BF$1, '6A'!$C$2:$C$531, "Kona")</f>
        <v>1</v>
      </c>
      <c r="BG26" s="6">
        <f>countifs('6A'!$AB$2:$AB$531, BG$1, '6A'!$C$2:$C$531, "Kona")</f>
        <v>1</v>
      </c>
      <c r="BH26" s="6">
        <f>countifs('6A'!$AB$2:$AB$531, BH$1, '6A'!$C$2:$C$531, "Kona")</f>
        <v>6</v>
      </c>
      <c r="BI26" s="6">
        <f>countifs('6A'!$AB$2:$AB$531, BI$1, '6A'!$C$2:$C$531, "Kona")</f>
        <v>4</v>
      </c>
      <c r="BJ26" s="9">
        <f t="shared" si="11"/>
        <v>7</v>
      </c>
      <c r="BK26" s="9">
        <f t="shared" si="12"/>
        <v>14</v>
      </c>
      <c r="BL26" s="7">
        <f>IFERROR(__xludf.DUMMYFUNCTION("AVERAGE.WEIGHTED($AV$1:$BB$1,AV26:BB26)"),5.428571428571429)</f>
        <v>5.428571429</v>
      </c>
      <c r="BM26" s="7">
        <f>IFERROR(__xludf.DUMMYFUNCTION("AVERAGE.WEIGHTED($BC$1:$BI$1,BC26:BI26)"),5.642857142857143)</f>
        <v>5.642857143</v>
      </c>
      <c r="BN26" s="7">
        <f t="shared" ref="BN26:BO26" si="88">(BL26-1)*100/6</f>
        <v>73.80952381</v>
      </c>
      <c r="BO26" s="7">
        <f t="shared" si="88"/>
        <v>77.38095238</v>
      </c>
      <c r="BP26" s="7">
        <f t="shared" si="14"/>
        <v>75.5952381</v>
      </c>
      <c r="BQ26" s="7">
        <f t="shared" si="15"/>
        <v>75.5952381</v>
      </c>
      <c r="BR26" s="8">
        <f t="shared" si="16"/>
        <v>0.7714677148</v>
      </c>
    </row>
    <row r="27">
      <c r="A27" s="3"/>
      <c r="K27" s="7"/>
      <c r="AL27" s="7"/>
      <c r="AM27" s="7"/>
      <c r="AN27" s="7"/>
      <c r="AO27" s="8"/>
      <c r="AP27" s="8"/>
      <c r="AQ27" s="8"/>
      <c r="AR27" s="8"/>
      <c r="AS27" s="8"/>
      <c r="AT27" s="8"/>
      <c r="AU27" s="8"/>
    </row>
    <row r="28">
      <c r="K28" s="7"/>
      <c r="AL28" s="7"/>
      <c r="AM28" s="7"/>
      <c r="AN28" s="7"/>
      <c r="AO28" s="8"/>
      <c r="AP28" s="8"/>
      <c r="AQ28" s="8"/>
      <c r="AR28" s="8"/>
      <c r="AS28" s="8"/>
      <c r="AT28" s="8"/>
      <c r="AU28" s="8"/>
    </row>
    <row r="29">
      <c r="K29" s="7"/>
      <c r="AL29" s="7"/>
      <c r="AM29" s="7"/>
      <c r="AN29" s="7"/>
      <c r="AO29" s="8"/>
      <c r="AP29" s="8"/>
      <c r="AQ29" s="8"/>
      <c r="AR29" s="8"/>
      <c r="AS29" s="8"/>
      <c r="AT29" s="8"/>
      <c r="AU29" s="8"/>
    </row>
    <row r="30">
      <c r="A30" s="3"/>
      <c r="K30" s="7"/>
      <c r="AL30" s="7"/>
      <c r="AM30" s="7"/>
      <c r="AN30" s="7"/>
      <c r="AO30" s="8"/>
      <c r="AP30" s="8"/>
      <c r="AQ30" s="8"/>
      <c r="AR30" s="8"/>
      <c r="AS30" s="8"/>
      <c r="AT30" s="8"/>
      <c r="AU30" s="8"/>
    </row>
    <row r="31">
      <c r="K31" s="7"/>
      <c r="AL31" s="7"/>
      <c r="AM31" s="7"/>
      <c r="AN31" s="7"/>
      <c r="AO31" s="8"/>
      <c r="AP31" s="8"/>
      <c r="AQ31" s="8"/>
      <c r="AR31" s="8"/>
      <c r="AS31" s="8"/>
      <c r="AT31" s="8"/>
      <c r="AU31" s="8"/>
    </row>
    <row r="32">
      <c r="K32" s="7"/>
      <c r="AL32" s="7"/>
      <c r="AM32" s="7"/>
      <c r="AN32" s="7"/>
      <c r="AO32" s="8"/>
      <c r="AP32" s="8"/>
      <c r="AQ32" s="8"/>
      <c r="AR32" s="8"/>
      <c r="AS32" s="8"/>
      <c r="AT32" s="8"/>
      <c r="AU32" s="8"/>
    </row>
    <row r="33">
      <c r="A33" s="3"/>
      <c r="K33" s="7"/>
      <c r="AL33" s="7"/>
      <c r="AM33" s="7"/>
      <c r="AN33" s="7"/>
      <c r="AO33" s="8"/>
      <c r="AP33" s="8"/>
      <c r="AQ33" s="8"/>
      <c r="AR33" s="8"/>
      <c r="AS33" s="8"/>
      <c r="AT33" s="8"/>
      <c r="AU33" s="8"/>
    </row>
    <row r="34">
      <c r="K34" s="7"/>
      <c r="AL34" s="7"/>
      <c r="AM34" s="7"/>
      <c r="AN34" s="7"/>
      <c r="AO34" s="8"/>
      <c r="AP34" s="8"/>
      <c r="AQ34" s="8"/>
      <c r="AR34" s="8"/>
      <c r="AS34" s="8"/>
      <c r="AT34" s="8"/>
      <c r="AU34" s="8"/>
    </row>
    <row r="35">
      <c r="K35" s="7"/>
      <c r="AL35" s="7"/>
      <c r="AM35" s="7"/>
      <c r="AN35" s="7"/>
      <c r="AO35" s="8"/>
      <c r="AP35" s="8"/>
      <c r="AQ35" s="8"/>
      <c r="AR35" s="8"/>
      <c r="AS35" s="8"/>
      <c r="AT35" s="8"/>
      <c r="AU35" s="8"/>
    </row>
    <row r="36">
      <c r="A36" s="3"/>
      <c r="K36" s="7"/>
      <c r="AL36" s="7"/>
      <c r="AM36" s="7"/>
      <c r="AN36" s="7"/>
      <c r="AO36" s="8"/>
      <c r="AP36" s="8"/>
      <c r="AQ36" s="8"/>
      <c r="AR36" s="8"/>
      <c r="AS36" s="8"/>
      <c r="AT36" s="8"/>
      <c r="AU36" s="8"/>
    </row>
    <row r="37">
      <c r="K37" s="7"/>
      <c r="AL37" s="7"/>
      <c r="AM37" s="7"/>
      <c r="AN37" s="7"/>
      <c r="AO37" s="8"/>
      <c r="AP37" s="8"/>
      <c r="AQ37" s="8"/>
      <c r="AR37" s="8"/>
      <c r="AS37" s="8"/>
      <c r="AT37" s="8"/>
      <c r="AU37" s="8"/>
    </row>
    <row r="38">
      <c r="K38" s="7"/>
      <c r="AL38" s="7"/>
      <c r="AM38" s="7"/>
      <c r="AN38" s="7"/>
      <c r="AO38" s="8"/>
      <c r="AP38" s="8"/>
      <c r="AQ38" s="8"/>
      <c r="AR38" s="8"/>
      <c r="AS38" s="8"/>
      <c r="AT38" s="8"/>
      <c r="AU38" s="8"/>
    </row>
    <row r="39">
      <c r="A39" s="3"/>
      <c r="K39" s="7"/>
      <c r="AL39" s="7"/>
      <c r="AM39" s="7"/>
      <c r="AN39" s="7"/>
      <c r="AO39" s="8"/>
      <c r="AP39" s="8"/>
      <c r="AQ39" s="8"/>
      <c r="AR39" s="8"/>
      <c r="AS39" s="8"/>
      <c r="AT39" s="8"/>
      <c r="AU39" s="8"/>
    </row>
    <row r="40">
      <c r="K40" s="7"/>
      <c r="AL40" s="7"/>
      <c r="AM40" s="7"/>
      <c r="AN40" s="7"/>
      <c r="AO40" s="8"/>
      <c r="AP40" s="8"/>
      <c r="AQ40" s="8"/>
      <c r="AR40" s="8"/>
      <c r="AS40" s="8"/>
      <c r="AT40" s="8"/>
      <c r="AU40" s="8"/>
    </row>
    <row r="41">
      <c r="K41" s="7"/>
      <c r="AL41" s="7"/>
      <c r="AM41" s="7"/>
      <c r="AN41" s="7"/>
      <c r="AO41" s="8"/>
      <c r="AP41" s="8"/>
      <c r="AQ41" s="8"/>
      <c r="AR41" s="8"/>
      <c r="AS41" s="8"/>
      <c r="AT41" s="8"/>
      <c r="AU41" s="8"/>
    </row>
    <row r="42">
      <c r="A42" s="3"/>
      <c r="K42" s="7"/>
      <c r="AL42" s="7"/>
      <c r="AM42" s="7"/>
      <c r="AN42" s="7"/>
      <c r="AO42" s="8"/>
      <c r="AP42" s="8"/>
      <c r="AQ42" s="8"/>
      <c r="AR42" s="8"/>
      <c r="AS42" s="8"/>
      <c r="AT42" s="8"/>
      <c r="AU42" s="8"/>
    </row>
    <row r="43">
      <c r="K43" s="7"/>
      <c r="AL43" s="7"/>
      <c r="AM43" s="7"/>
      <c r="AN43" s="7"/>
      <c r="AO43" s="8"/>
      <c r="AP43" s="8"/>
      <c r="AQ43" s="8"/>
      <c r="AR43" s="8"/>
      <c r="AS43" s="8"/>
      <c r="AT43" s="8"/>
      <c r="AU43" s="8"/>
    </row>
    <row r="44">
      <c r="K44" s="7"/>
      <c r="AL44" s="7"/>
      <c r="AM44" s="7"/>
      <c r="AN44" s="7"/>
      <c r="AO44" s="8"/>
      <c r="AP44" s="8"/>
      <c r="AQ44" s="8"/>
      <c r="AR44" s="8"/>
      <c r="AS44" s="8"/>
      <c r="AT44" s="8"/>
      <c r="AU44" s="8"/>
    </row>
    <row r="45">
      <c r="A45" s="3"/>
      <c r="K45" s="7"/>
      <c r="AL45" s="7"/>
      <c r="AM45" s="7"/>
      <c r="AN45" s="7"/>
      <c r="AO45" s="8"/>
      <c r="AP45" s="8"/>
      <c r="AQ45" s="8"/>
      <c r="AR45" s="8"/>
      <c r="AS45" s="8"/>
      <c r="AT45" s="8"/>
      <c r="AU45" s="8"/>
    </row>
    <row r="46">
      <c r="K46" s="7"/>
      <c r="AL46" s="7"/>
      <c r="AM46" s="7"/>
      <c r="AN46" s="7"/>
      <c r="AO46" s="8"/>
      <c r="AP46" s="8"/>
      <c r="AQ46" s="8"/>
      <c r="AR46" s="8"/>
      <c r="AS46" s="8"/>
      <c r="AT46" s="8"/>
      <c r="AU46" s="8"/>
    </row>
    <row r="47">
      <c r="K47" s="7"/>
      <c r="AL47" s="7"/>
      <c r="AM47" s="7"/>
      <c r="AN47" s="7"/>
      <c r="AO47" s="8"/>
      <c r="AP47" s="8"/>
      <c r="AQ47" s="8"/>
      <c r="AR47" s="8"/>
      <c r="AS47" s="8"/>
      <c r="AT47" s="8"/>
      <c r="AU47" s="8"/>
    </row>
    <row r="48">
      <c r="A48" s="3"/>
      <c r="K48" s="7"/>
      <c r="AL48" s="7"/>
      <c r="AM48" s="7"/>
      <c r="AN48" s="7"/>
      <c r="AO48" s="8"/>
      <c r="AP48" s="8"/>
      <c r="AQ48" s="8"/>
      <c r="AR48" s="8"/>
      <c r="AS48" s="8"/>
      <c r="AT48" s="8"/>
      <c r="AU48" s="8"/>
    </row>
    <row r="49">
      <c r="K49" s="7"/>
      <c r="AL49" s="7"/>
      <c r="AM49" s="7"/>
      <c r="AN49" s="7"/>
      <c r="AO49" s="8"/>
      <c r="AP49" s="8"/>
      <c r="AQ49" s="8"/>
      <c r="AR49" s="8"/>
      <c r="AS49" s="8"/>
      <c r="AT49" s="8"/>
      <c r="AU49" s="8"/>
    </row>
    <row r="50">
      <c r="K50" s="7"/>
      <c r="AL50" s="7"/>
      <c r="AM50" s="7"/>
      <c r="AN50" s="7"/>
      <c r="AO50" s="8"/>
      <c r="AP50" s="8"/>
      <c r="AQ50" s="8"/>
      <c r="AR50" s="8"/>
      <c r="AS50" s="8"/>
      <c r="AT50" s="8"/>
      <c r="AU50" s="8"/>
    </row>
    <row r="51">
      <c r="A51" s="3"/>
      <c r="K51" s="7"/>
      <c r="AL51" s="7"/>
      <c r="AM51" s="7"/>
      <c r="AN51" s="7"/>
      <c r="AO51" s="8"/>
      <c r="AP51" s="8"/>
      <c r="AQ51" s="8"/>
      <c r="AR51" s="8"/>
      <c r="AS51" s="8"/>
      <c r="AT51" s="8"/>
      <c r="AU51" s="8"/>
    </row>
  </sheetData>
  <conditionalFormatting sqref="AO2:AU51">
    <cfRule type="cellIs" dxfId="0" priority="1" operator="lessThan">
      <formula>0.05</formula>
    </cfRule>
  </conditionalFormatting>
  <conditionalFormatting sqref="BR2:BR26">
    <cfRule type="cellIs" dxfId="1" priority="2" operator="lessThan">
      <formula>0.05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59.38"/>
    <col customWidth="1" min="3" max="3" width="3.63"/>
    <col customWidth="1" min="4" max="9" width="3.25"/>
    <col customWidth="1" min="10" max="10" width="4.5"/>
    <col customWidth="1" min="11" max="11" width="15.25"/>
    <col customWidth="1" hidden="1" min="12" max="13" width="5.0"/>
    <col customWidth="1" hidden="1" min="14" max="14" width="2.88"/>
    <col customWidth="1" hidden="1" min="15" max="19" width="1.88"/>
    <col customWidth="1" hidden="1" min="20" max="21" width="2.88"/>
    <col customWidth="1" hidden="1" min="22" max="34" width="1.88"/>
    <col customWidth="1" min="35" max="37" width="9.25"/>
    <col customWidth="1" hidden="1" min="38" max="40" width="11.38"/>
    <col customWidth="1" hidden="1" min="41" max="46" width="6.63"/>
    <col customWidth="1" hidden="1" min="47" max="47" width="6.88"/>
    <col customWidth="1" hidden="1" min="48" max="48" width="2.88"/>
    <col customWidth="1" hidden="1" min="49" max="53" width="1.88"/>
    <col customWidth="1" hidden="1" min="54" max="61" width="2.88"/>
    <col customWidth="1" min="62" max="62" width="9.5"/>
    <col customWidth="1" min="63" max="63" width="11.75"/>
    <col customWidth="1" hidden="1" min="64" max="64" width="11.38"/>
    <col customWidth="1" hidden="1" min="65" max="65" width="13.75"/>
    <col customWidth="1" hidden="1" min="66" max="70" width="6.88"/>
  </cols>
  <sheetData>
    <row r="1">
      <c r="A1" s="4" t="s">
        <v>54</v>
      </c>
      <c r="B1" s="4" t="s">
        <v>55</v>
      </c>
      <c r="C1" s="4">
        <v>1.0</v>
      </c>
      <c r="D1" s="4">
        <v>2.0</v>
      </c>
      <c r="E1" s="4">
        <v>3.0</v>
      </c>
      <c r="F1" s="4">
        <v>4.0</v>
      </c>
      <c r="G1" s="4">
        <v>5.0</v>
      </c>
      <c r="H1" s="4">
        <v>6.0</v>
      </c>
      <c r="I1" s="4">
        <v>7.0</v>
      </c>
      <c r="J1" s="4" t="s">
        <v>56</v>
      </c>
      <c r="K1" s="4" t="s">
        <v>57</v>
      </c>
      <c r="L1" s="4" t="s">
        <v>58</v>
      </c>
      <c r="M1" s="5"/>
      <c r="N1" s="4">
        <v>1.0</v>
      </c>
      <c r="O1" s="4">
        <v>2.0</v>
      </c>
      <c r="P1" s="4">
        <v>3.0</v>
      </c>
      <c r="Q1" s="4">
        <v>4.0</v>
      </c>
      <c r="R1" s="4">
        <v>5.0</v>
      </c>
      <c r="S1" s="4">
        <v>6.0</v>
      </c>
      <c r="T1" s="4">
        <v>7.0</v>
      </c>
      <c r="U1" s="4">
        <v>1.0</v>
      </c>
      <c r="V1" s="4">
        <v>2.0</v>
      </c>
      <c r="W1" s="4">
        <v>3.0</v>
      </c>
      <c r="X1" s="4">
        <v>4.0</v>
      </c>
      <c r="Y1" s="4">
        <v>5.0</v>
      </c>
      <c r="Z1" s="4">
        <v>6.0</v>
      </c>
      <c r="AA1" s="4">
        <v>7.0</v>
      </c>
      <c r="AB1" s="4">
        <v>1.0</v>
      </c>
      <c r="AC1" s="4">
        <v>2.0</v>
      </c>
      <c r="AD1" s="4">
        <v>3.0</v>
      </c>
      <c r="AE1" s="4">
        <v>4.0</v>
      </c>
      <c r="AF1" s="4">
        <v>5.0</v>
      </c>
      <c r="AG1" s="4">
        <v>6.0</v>
      </c>
      <c r="AH1" s="4">
        <v>7.0</v>
      </c>
      <c r="AI1" s="4" t="s">
        <v>59</v>
      </c>
      <c r="AJ1" s="4" t="s">
        <v>60</v>
      </c>
      <c r="AK1" s="4" t="s">
        <v>61</v>
      </c>
      <c r="AL1" s="4" t="s">
        <v>62</v>
      </c>
      <c r="AM1" s="4" t="s">
        <v>63</v>
      </c>
      <c r="AN1" s="4" t="s">
        <v>64</v>
      </c>
      <c r="AO1" s="4"/>
      <c r="AP1" s="4"/>
      <c r="AQ1" s="4"/>
      <c r="AR1" s="4" t="s">
        <v>71</v>
      </c>
      <c r="AS1" s="4"/>
      <c r="AT1" s="4"/>
      <c r="AU1" s="10" t="s">
        <v>66</v>
      </c>
      <c r="AV1" s="11">
        <v>1.0</v>
      </c>
      <c r="AW1" s="11">
        <v>2.0</v>
      </c>
      <c r="AX1" s="11">
        <v>3.0</v>
      </c>
      <c r="AY1" s="11">
        <v>4.0</v>
      </c>
      <c r="AZ1" s="11">
        <v>5.0</v>
      </c>
      <c r="BA1" s="11">
        <v>6.0</v>
      </c>
      <c r="BB1" s="11">
        <v>7.0</v>
      </c>
      <c r="BC1" s="11">
        <v>1.0</v>
      </c>
      <c r="BD1" s="11">
        <v>2.0</v>
      </c>
      <c r="BE1" s="11">
        <v>3.0</v>
      </c>
      <c r="BF1" s="11">
        <v>4.0</v>
      </c>
      <c r="BG1" s="11">
        <v>5.0</v>
      </c>
      <c r="BH1" s="11">
        <v>6.0</v>
      </c>
      <c r="BI1" s="11">
        <v>7.0</v>
      </c>
      <c r="BJ1" s="12" t="s">
        <v>72</v>
      </c>
      <c r="BK1" s="12" t="s">
        <v>73</v>
      </c>
      <c r="BL1" s="12" t="s">
        <v>74</v>
      </c>
      <c r="BM1" s="12" t="s">
        <v>75</v>
      </c>
      <c r="BN1" s="11"/>
      <c r="BO1" s="10"/>
      <c r="BP1" s="10"/>
      <c r="BQ1" s="10"/>
      <c r="BR1" s="10" t="s">
        <v>66</v>
      </c>
    </row>
    <row r="2">
      <c r="A2" s="3">
        <v>1.0</v>
      </c>
      <c r="B2" s="1" t="s">
        <v>30</v>
      </c>
      <c r="C2" s="6">
        <f>countif('6B'!$D$2:$D$627, C$1)</f>
        <v>3</v>
      </c>
      <c r="D2" s="6">
        <f>countif('6B'!$D$2:$D$627, D$1)</f>
        <v>2</v>
      </c>
      <c r="E2" s="6">
        <f>countif('6B'!$D$2:$D$627, E$1)</f>
        <v>0</v>
      </c>
      <c r="F2" s="6">
        <f>countif('6B'!$D$2:$D$627, F$1)</f>
        <v>0</v>
      </c>
      <c r="G2" s="6">
        <f>countif('6B'!$D$2:$D$627, G$1)</f>
        <v>4</v>
      </c>
      <c r="H2" s="6">
        <f>countif('6B'!$D$2:$D$627, H$1)</f>
        <v>4</v>
      </c>
      <c r="I2" s="6">
        <f>countif('6B'!$D$2:$D$627, I$1)</f>
        <v>8</v>
      </c>
      <c r="J2" s="6">
        <f t="shared" ref="J2:J26" si="4">SUM(C2:I2)</f>
        <v>21</v>
      </c>
      <c r="K2" s="7">
        <f t="shared" ref="K2:K26" si="5">((C2*1)+(D2*2)+(E2*3)+(F2*4)+(G2*5)+(H2*6)+(I2*7))/J2</f>
        <v>5.095238095</v>
      </c>
      <c r="L2" s="4" t="str">
        <f>'General average A'!L2</f>
        <v>#REF!</v>
      </c>
      <c r="M2" s="4" t="str">
        <f>'General average A'!M2</f>
        <v>#REF!</v>
      </c>
      <c r="N2" s="6">
        <f>countifs('6B'!$D$2:$D$627, N$1, '6B'!$B$2:$B$627, "&gt;"&amp;$L$2, '6B'!$B$2:$B$627, "&lt;"&amp;$M$2)</f>
        <v>0</v>
      </c>
      <c r="O2" s="6">
        <f>countifs('6B'!$D$2:$D$627, O$1, '6B'!$B$2:$B$627, "&gt;"&amp;$L$2, '6B'!$B$2:$B$627, "&lt;"&amp;$M$2)</f>
        <v>0</v>
      </c>
      <c r="P2" s="6">
        <f>countifs('6B'!$D$2:$D$627, P$1, '6B'!$B$2:$B$627, "&gt;"&amp;$L$2, '6B'!$B$2:$B$627, "&lt;"&amp;$M$2)</f>
        <v>0</v>
      </c>
      <c r="Q2" s="6">
        <f>countifs('6B'!$D$2:$D$627, Q$1, '6B'!$B$2:$B$627, "&gt;"&amp;$L$2, '6B'!$B$2:$B$627, "&lt;"&amp;$M$2)</f>
        <v>0</v>
      </c>
      <c r="R2" s="6">
        <f>countifs('6B'!$D$2:$D$627, R$1, '6B'!$B$2:$B$627, "&gt;"&amp;$L$2, '6B'!$B$2:$B$627, "&lt;"&amp;$M$2)</f>
        <v>0</v>
      </c>
      <c r="S2" s="6">
        <f>countifs('6B'!$D$2:$D$627, S$1, '6B'!$B$2:$B$627, "&gt;"&amp;$L$2, '6B'!$B$2:$B$627, "&lt;"&amp;$M$2)</f>
        <v>0</v>
      </c>
      <c r="T2" s="6">
        <f>countifs('6B'!$D$2:$D$627, T$1, '6B'!$B$2:$B$627, "&gt;"&amp;$L$2, '6B'!$B$2:$B$627, "&lt;"&amp;$M$2)</f>
        <v>0</v>
      </c>
      <c r="U2" s="6">
        <f>countifs('6B'!$D$2:$D$627, U$1, '6B'!$B$2:$B$627, "&gt;"&amp;$L$3, '6B'!$B$2:$B$627, "&lt;"&amp;$M$3)</f>
        <v>0</v>
      </c>
      <c r="V2" s="6">
        <f>countifs('6B'!$D$2:$D$627, V$1, '6B'!$B$2:$B$627, "&gt;"&amp;$L$3, '6B'!$B$2:$B$627, "&lt;"&amp;$M$3)</f>
        <v>0</v>
      </c>
      <c r="W2" s="6">
        <f>countifs('6B'!$D$2:$D$627, W$1, '6B'!$B$2:$B$627, "&gt;"&amp;$L$3, '6B'!$B$2:$B$627, "&lt;"&amp;$M$3)</f>
        <v>0</v>
      </c>
      <c r="X2" s="6">
        <f>countifs('6B'!$D$2:$D$627, X$1, '6B'!$B$2:$B$627, "&gt;"&amp;$L$3, '6B'!$B$2:$B$627, "&lt;"&amp;$M$3)</f>
        <v>0</v>
      </c>
      <c r="Y2" s="6">
        <f>countifs('6B'!$D$2:$D$627, Y$1, '6B'!$B$2:$B$627, "&gt;"&amp;$L$3, '6B'!$B$2:$B$627, "&lt;"&amp;$M$3)</f>
        <v>0</v>
      </c>
      <c r="Z2" s="6">
        <f>countifs('6B'!$D$2:$D$627, Z$1, '6B'!$B$2:$B$627, "&gt;"&amp;$L$3, '6B'!$B$2:$B$627, "&lt;"&amp;$M$3)</f>
        <v>0</v>
      </c>
      <c r="AA2" s="6">
        <f>countifs('6B'!$D$2:$D$627, AA$1, '6B'!$B$2:$B$627, "&gt;"&amp;$L$3, '6B'!$B$2:$B$627, "&lt;"&amp;$M$3)</f>
        <v>0</v>
      </c>
      <c r="AB2" s="6">
        <f>countifs('6B'!$D$2:$D$627, AB$1, '6B'!$B$2:$B$627, "&gt;"&amp;$L$4, '6B'!$B$2:$B$627, "&lt;"&amp;$M$4)</f>
        <v>0</v>
      </c>
      <c r="AC2" s="6">
        <f>countifs('6B'!$D$2:$D$627, AC$1, '6B'!$B$2:$B$627, "&gt;"&amp;$L$4, '6B'!$B$2:$B$627, "&lt;"&amp;$M$4)</f>
        <v>0</v>
      </c>
      <c r="AD2" s="6">
        <f>countifs('6B'!$D$2:$D$627, AD$1, '6B'!$B$2:$B$627, "&gt;"&amp;$L$4, '6B'!$B$2:$B$627, "&lt;"&amp;$M$4)</f>
        <v>0</v>
      </c>
      <c r="AE2" s="6">
        <f>countifs('6B'!$D$2:$D$627, AE$1, '6B'!$B$2:$B$627, "&gt;"&amp;$L$4, '6B'!$B$2:$B$627, "&lt;"&amp;$M$4)</f>
        <v>0</v>
      </c>
      <c r="AF2" s="6">
        <f>countifs('6B'!$D$2:$D$627, AF$1, '6B'!$B$2:$B$627, "&gt;"&amp;$L$4, '6B'!$B$2:$B$627, "&lt;"&amp;$M$4)</f>
        <v>0</v>
      </c>
      <c r="AG2" s="6">
        <f>countifs('6B'!$D$2:$D$627, AG$1, '6B'!$B$2:$B$627, "&gt;"&amp;$L$4, '6B'!$B$2:$B$627, "&lt;"&amp;$M$4)</f>
        <v>0</v>
      </c>
      <c r="AH2" s="6">
        <f>countifs('6B'!$D$2:$D$627, AH$1, '6B'!$B$2:$B$627, "&gt;"&amp;$L$4, '6B'!$B$2:$B$627, "&lt;"&amp;$M$4)</f>
        <v>0</v>
      </c>
      <c r="AI2" s="3">
        <v>5.0</v>
      </c>
      <c r="AJ2" s="3">
        <v>2.0</v>
      </c>
      <c r="AK2" s="3">
        <v>1.0</v>
      </c>
      <c r="AL2" s="7" t="str">
        <f>IFERROR(__xludf.DUMMYFUNCTION("AVERAGE.WEIGHTED($N$1:$T$1, N2:T2)"),"#DIV/0!")</f>
        <v>#DIV/0!</v>
      </c>
      <c r="AM2" s="7" t="str">
        <f>IFERROR(__xludf.DUMMYFUNCTION("AVERAGE.WEIGHTED($U$1:$AA$1, U2:AA2)"),"#DIV/0!")</f>
        <v>#DIV/0!</v>
      </c>
      <c r="AN2" s="13" t="str">
        <f>IFERROR(__xludf.DUMMYFUNCTION("AVERAGE.WEIGHTED($AB$1:$AH$1, AB2:AH2)"),"#DIV/0!")</f>
        <v>#DIV/0!</v>
      </c>
      <c r="AO2" s="7" t="str">
        <f t="shared" ref="AO2:AQ2" si="1">(AL2-1)*100/6</f>
        <v>#DIV/0!</v>
      </c>
      <c r="AP2" s="7" t="str">
        <f t="shared" si="1"/>
        <v>#DIV/0!</v>
      </c>
      <c r="AQ2" s="7" t="str">
        <f t="shared" si="1"/>
        <v>#DIV/0!</v>
      </c>
      <c r="AR2" s="6" t="str">
        <f t="shared" ref="AR2:AT2" si="2">Average($AO2:$AQ2)</f>
        <v>#DIV/0!</v>
      </c>
      <c r="AS2" s="6" t="str">
        <f t="shared" si="2"/>
        <v>#DIV/0!</v>
      </c>
      <c r="AT2" s="6" t="str">
        <f t="shared" si="2"/>
        <v>#DIV/0!</v>
      </c>
      <c r="AU2" s="8" t="str">
        <f t="shared" ref="AU2:AU26" si="8">_xlfn.CHISQ.TEST(AO2:AQ2,AR2:AT2)</f>
        <v>#DIV/0!</v>
      </c>
      <c r="AV2" s="9">
        <f>countifs('6B'!$D$2:$D$542, AV$1, '6B'!$C$2:$C$542, "Karl")</f>
        <v>1</v>
      </c>
      <c r="AW2" s="9">
        <f>countifs('6B'!$D$2:$D$542, AW$1, '6B'!$C$2:$C$542, "Karl")</f>
        <v>2</v>
      </c>
      <c r="AX2" s="9">
        <f>countifs('6B'!$D$2:$D$542, AX$1, '6B'!$C$2:$C$542, "Karl")</f>
        <v>0</v>
      </c>
      <c r="AY2" s="9">
        <f>countifs('6B'!$D$2:$D$542, AY$1, '6B'!$C$2:$C$542, "Karl")</f>
        <v>0</v>
      </c>
      <c r="AZ2" s="9">
        <f>countifs('6B'!$D$2:$D$542, AZ$1, '6B'!$C$2:$C$542, "Karl")</f>
        <v>3</v>
      </c>
      <c r="BA2" s="9">
        <f>countifs('6B'!$D$2:$D$542, BA$1, '6B'!$C$2:$C$542, "Karl")</f>
        <v>2</v>
      </c>
      <c r="BB2" s="9">
        <f>countifs('6B'!$D$2:$D$542, BB$1, '6B'!$C$2:$C$542, "Karl")</f>
        <v>2</v>
      </c>
      <c r="BC2" s="9">
        <f>countifs('6B'!$D$2:$D$542, BC$1, '6B'!$C$2:$C$542, "Kona")</f>
        <v>2</v>
      </c>
      <c r="BD2" s="9">
        <f>countifs('6B'!$D$2:$D$542, BD$1, '6B'!$C$2:$C$542, "Kona")</f>
        <v>0</v>
      </c>
      <c r="BE2" s="9">
        <f>countifs('6B'!$D$2:$D$542, BE$1, '6B'!$C$2:$C$542, "Kona")</f>
        <v>0</v>
      </c>
      <c r="BF2" s="9">
        <f>countifs('6B'!$D$2:$D$542, BF$1, '6B'!$C$2:$C$542, "Kona")</f>
        <v>0</v>
      </c>
      <c r="BG2" s="9">
        <f>countifs('6B'!$D$2:$D$542, BG$1, '6B'!$C$2:$C$542, "Kona")</f>
        <v>1</v>
      </c>
      <c r="BH2" s="9">
        <f>countifs('6B'!$D$2:$D$542, BH$1, '6B'!$C$2:$C$542, "Kona")</f>
        <v>2</v>
      </c>
      <c r="BI2" s="9">
        <f>countifs('6B'!$D$2:$D$542, BI$1, '6B'!$C$2:$C$542, "Kona")</f>
        <v>6</v>
      </c>
      <c r="BJ2" s="9">
        <f t="shared" ref="BJ2:BJ26" si="9">sum(AV2:BB2)</f>
        <v>10</v>
      </c>
      <c r="BK2" s="9">
        <f t="shared" ref="BK2:BK26" si="10">sum(BC2:BI2)</f>
        <v>11</v>
      </c>
      <c r="BL2" s="7">
        <f>IFERROR(__xludf.DUMMYFUNCTION("AVERAGE.WEIGHTED($AV$1:$BB$1,AV2:BB2)"),4.6)</f>
        <v>4.6</v>
      </c>
      <c r="BM2" s="7">
        <f>IFERROR(__xludf.DUMMYFUNCTION("AVERAGE.WEIGHTED($BC$1:$BI$1,BC2:BI2)"),5.545454545454546)</f>
        <v>5.545454545</v>
      </c>
      <c r="BN2" s="7">
        <f t="shared" ref="BN2:BO2" si="3">(BL2-1)*100/6</f>
        <v>60</v>
      </c>
      <c r="BO2" s="7">
        <f t="shared" si="3"/>
        <v>75.75757576</v>
      </c>
      <c r="BP2" s="8">
        <f t="shared" ref="BP2:BP26" si="12">AVERAGE(BN2:BO2)</f>
        <v>67.87878788</v>
      </c>
      <c r="BQ2" s="8">
        <f t="shared" ref="BQ2:BQ26" si="13">AVERAGE(BN2:BO2)</f>
        <v>67.87878788</v>
      </c>
      <c r="BR2" s="8">
        <f t="shared" ref="BR2:BR26" si="14">_xlfn.CHISQ.TEST(BN2:BO2,BP2:BQ2)</f>
        <v>0.1762451945</v>
      </c>
    </row>
    <row r="3">
      <c r="A3" s="3">
        <v>2.0</v>
      </c>
      <c r="B3" s="1" t="s">
        <v>31</v>
      </c>
      <c r="C3" s="6">
        <f>countif('6B'!$E$2:$E$627, C$1)</f>
        <v>1</v>
      </c>
      <c r="D3" s="6">
        <f>countif('6B'!$E$2:$E$627, D$1)</f>
        <v>1</v>
      </c>
      <c r="E3" s="6">
        <f>countif('6B'!$E$2:$E$627, E$1)</f>
        <v>0</v>
      </c>
      <c r="F3" s="6">
        <f>countif('6B'!$E$2:$E$627, F$1)</f>
        <v>3</v>
      </c>
      <c r="G3" s="6">
        <f>countif('6B'!$E$2:$E$627, G$1)</f>
        <v>4</v>
      </c>
      <c r="H3" s="6">
        <f>countif('6B'!$E$2:$E$627, H$1)</f>
        <v>0</v>
      </c>
      <c r="I3" s="6">
        <f>countif('6B'!$E$2:$E$627, I$1)</f>
        <v>12</v>
      </c>
      <c r="J3" s="6">
        <f t="shared" si="4"/>
        <v>21</v>
      </c>
      <c r="K3" s="7">
        <f t="shared" si="5"/>
        <v>5.666666667</v>
      </c>
      <c r="L3" s="4" t="str">
        <f>'General average A'!L3</f>
        <v>#REF!</v>
      </c>
      <c r="M3" s="4" t="str">
        <f>'General average A'!M3</f>
        <v>#REF!</v>
      </c>
      <c r="N3" s="6">
        <f>countifs('6B'!$E$2:$E$627, N$1, '6B'!$B$2:$B$627, "&gt;"&amp;$L$2, '6B'!$B$2:$B$627, "&lt;"&amp;$M$2)</f>
        <v>0</v>
      </c>
      <c r="O3" s="6">
        <f>countifs('6B'!$E$2:$E$627, O$1, '6B'!$B$2:$B$627, "&gt;"&amp;$L$2, '6B'!$B$2:$B$627, "&lt;"&amp;$M$2)</f>
        <v>0</v>
      </c>
      <c r="P3" s="6">
        <f>countifs('6B'!$E$2:$E$627, P$1, '6B'!$B$2:$B$627, "&gt;"&amp;$L$2, '6B'!$B$2:$B$627, "&lt;"&amp;$M$2)</f>
        <v>0</v>
      </c>
      <c r="Q3" s="6">
        <f>countifs('6B'!$E$2:$E$627, Q$1, '6B'!$B$2:$B$627, "&gt;"&amp;$L$2, '6B'!$B$2:$B$627, "&lt;"&amp;$M$2)</f>
        <v>0</v>
      </c>
      <c r="R3" s="6">
        <f>countifs('6B'!$E$2:$E$627, R$1, '6B'!$B$2:$B$627, "&gt;"&amp;$L$2, '6B'!$B$2:$B$627, "&lt;"&amp;$M$2)</f>
        <v>0</v>
      </c>
      <c r="S3" s="6">
        <f>countifs('6B'!$E$2:$E$627, S$1, '6B'!$B$2:$B$627, "&gt;"&amp;$L$2, '6B'!$B$2:$B$627, "&lt;"&amp;$M$2)</f>
        <v>0</v>
      </c>
      <c r="T3" s="6">
        <f>countifs('6B'!$E$2:$E$627, T$1, '6B'!$B$2:$B$627, "&gt;"&amp;$L$2, '6B'!$B$2:$B$627, "&lt;"&amp;$M$2)</f>
        <v>0</v>
      </c>
      <c r="U3" s="6">
        <f>countifs('6B'!$E$2:$E$627, U$1, '6B'!$B$2:$B$627, "&gt;"&amp;$L$3, '6B'!$B$2:$B$627, "&lt;"&amp;$M$3)</f>
        <v>0</v>
      </c>
      <c r="V3" s="6">
        <f>countifs('6B'!$E$2:$E$627, V$1, '6B'!$B$2:$B$627, "&gt;"&amp;$L$3, '6B'!$B$2:$B$627, "&lt;"&amp;$M$3)</f>
        <v>0</v>
      </c>
      <c r="W3" s="6">
        <f>countifs('6B'!$E$2:$E$627, W$1, '6B'!$B$2:$B$627, "&gt;"&amp;$L$3, '6B'!$B$2:$B$627, "&lt;"&amp;$M$3)</f>
        <v>0</v>
      </c>
      <c r="X3" s="6">
        <f>countifs('6B'!$E$2:$E$627, X$1, '6B'!$B$2:$B$627, "&gt;"&amp;$L$3, '6B'!$B$2:$B$627, "&lt;"&amp;$M$3)</f>
        <v>0</v>
      </c>
      <c r="Y3" s="6">
        <f>countifs('6B'!$E$2:$E$627, Y$1, '6B'!$B$2:$B$627, "&gt;"&amp;$L$3, '6B'!$B$2:$B$627, "&lt;"&amp;$M$3)</f>
        <v>0</v>
      </c>
      <c r="Z3" s="6">
        <f>countifs('6B'!$E$2:$E$627, Z$1, '6B'!$B$2:$B$627, "&gt;"&amp;$L$3, '6B'!$B$2:$B$627, "&lt;"&amp;$M$3)</f>
        <v>0</v>
      </c>
      <c r="AA3" s="6">
        <f>countifs('6B'!$E$2:$E$627, AA$1, '6B'!$B$2:$B$627, "&gt;"&amp;$L$3, '6B'!$B$2:$B$627, "&lt;"&amp;$M$3)</f>
        <v>0</v>
      </c>
      <c r="AB3" s="6">
        <f>countifs('6B'!$E$2:$E$627, AB$1, '6B'!$B$2:$B$627, "&gt;"&amp;$L$4, '6B'!$B$2:$B$627, "&lt;"&amp;$M$4)</f>
        <v>0</v>
      </c>
      <c r="AC3" s="6">
        <f>countifs('6B'!$E$2:$E$627, AC$1, '6B'!$B$2:$B$627, "&gt;"&amp;$L$4, '6B'!$B$2:$B$627, "&lt;"&amp;$M$4)</f>
        <v>0</v>
      </c>
      <c r="AD3" s="6">
        <f>countifs('6B'!$E$2:$E$627, AD$1, '6B'!$B$2:$B$627, "&gt;"&amp;$L$4, '6B'!$B$2:$B$627, "&lt;"&amp;$M$4)</f>
        <v>0</v>
      </c>
      <c r="AE3" s="6">
        <f>countifs('6B'!$E$2:$E$627, AE$1, '6B'!$B$2:$B$627, "&gt;"&amp;$L$4, '6B'!$B$2:$B$627, "&lt;"&amp;$M$4)</f>
        <v>0</v>
      </c>
      <c r="AF3" s="6">
        <f>countifs('6B'!$E$2:$E$627, AF$1, '6B'!$B$2:$B$627, "&gt;"&amp;$L$4, '6B'!$B$2:$B$627, "&lt;"&amp;$M$4)</f>
        <v>0</v>
      </c>
      <c r="AG3" s="6">
        <f>countifs('6B'!$E$2:$E$627, AG$1, '6B'!$B$2:$B$627, "&gt;"&amp;$L$4, '6B'!$B$2:$B$627, "&lt;"&amp;$M$4)</f>
        <v>0</v>
      </c>
      <c r="AH3" s="6">
        <f>countifs('6B'!$E$2:$E$627, AH$1, '6B'!$B$2:$B$627, "&gt;"&amp;$L$4, '6B'!$B$2:$B$627, "&lt;"&amp;$M$4)</f>
        <v>0</v>
      </c>
      <c r="AI3" s="3">
        <v>5.0</v>
      </c>
      <c r="AJ3" s="3">
        <v>2.0</v>
      </c>
      <c r="AK3" s="3">
        <v>1.0</v>
      </c>
      <c r="AL3" s="7" t="str">
        <f>IFERROR(__xludf.DUMMYFUNCTION("AVERAGE.WEIGHTED($N$1:$T$1, N3:T3)"),"#DIV/0!")</f>
        <v>#DIV/0!</v>
      </c>
      <c r="AM3" s="7" t="str">
        <f>IFERROR(__xludf.DUMMYFUNCTION("AVERAGE.WEIGHTED($U$1:$AA$1, U3:AA3)"),"#DIV/0!")</f>
        <v>#DIV/0!</v>
      </c>
      <c r="AN3" s="13" t="str">
        <f>IFERROR(__xludf.DUMMYFUNCTION("AVERAGE.WEIGHTED($AB$1:$AH$1, AB3:AH3)"),"#DIV/0!")</f>
        <v>#DIV/0!</v>
      </c>
      <c r="AO3" s="7" t="str">
        <f t="shared" ref="AO3:AQ3" si="6">(AL3-1)*100/6</f>
        <v>#DIV/0!</v>
      </c>
      <c r="AP3" s="7" t="str">
        <f t="shared" si="6"/>
        <v>#DIV/0!</v>
      </c>
      <c r="AQ3" s="7" t="str">
        <f t="shared" si="6"/>
        <v>#DIV/0!</v>
      </c>
      <c r="AR3" s="6" t="str">
        <f t="shared" ref="AR3:AT3" si="7">Average($AO3:$AQ3)</f>
        <v>#DIV/0!</v>
      </c>
      <c r="AS3" s="6" t="str">
        <f t="shared" si="7"/>
        <v>#DIV/0!</v>
      </c>
      <c r="AT3" s="6" t="str">
        <f t="shared" si="7"/>
        <v>#DIV/0!</v>
      </c>
      <c r="AU3" s="8" t="str">
        <f t="shared" si="8"/>
        <v>#DIV/0!</v>
      </c>
      <c r="AV3" s="9">
        <f>countifs('6B'!$E$2:$E$542, AV$1, '6B'!$C$2:$C$542, "Karl")</f>
        <v>1</v>
      </c>
      <c r="AW3" s="9">
        <f>countifs('6B'!$E$2:$E$542, AW$1, '6B'!$C$2:$C$542, "Karl")</f>
        <v>1</v>
      </c>
      <c r="AX3" s="9">
        <f>countifs('6B'!$E$2:$E$542, AX$1, '6B'!$C$2:$C$542, "Karl")</f>
        <v>0</v>
      </c>
      <c r="AY3" s="9">
        <f>countifs('6B'!$E$2:$E$542, AY$1, '6B'!$C$2:$C$542, "Karl")</f>
        <v>1</v>
      </c>
      <c r="AZ3" s="9">
        <f>countifs('6B'!$E$2:$E$542, AZ$1, '6B'!$C$2:$C$542, "Karl")</f>
        <v>3</v>
      </c>
      <c r="BA3" s="9">
        <f>countifs('6B'!$E$2:$E$542, BA$1, '6B'!$C$2:$C$542, "Karl")</f>
        <v>0</v>
      </c>
      <c r="BB3" s="9">
        <f>countifs('6B'!$E$2:$E$542, BB$1, '6B'!$C$2:$C$542, "Karl")</f>
        <v>4</v>
      </c>
      <c r="BC3" s="9">
        <f>countifs('6B'!$E$2:$E$542, BC$1, '6B'!$C$2:$C$542, "Kona")</f>
        <v>0</v>
      </c>
      <c r="BD3" s="9">
        <f>countifs('6B'!$E$2:$E$542, BD$1, '6B'!$C$2:$C$542, "Kona")</f>
        <v>0</v>
      </c>
      <c r="BE3" s="9">
        <f>countifs('6B'!$E$2:$E$542, BE$1, '6B'!$C$2:$C$542, "Kona")</f>
        <v>0</v>
      </c>
      <c r="BF3" s="9">
        <f>countifs('6B'!$E$2:$E$542, BF$1, '6B'!$C$2:$C$542, "Kona")</f>
        <v>2</v>
      </c>
      <c r="BG3" s="9">
        <f>countifs('6B'!$E$2:$E$542, BG$1, '6B'!$C$2:$C$542, "Kona")</f>
        <v>1</v>
      </c>
      <c r="BH3" s="9">
        <f>countifs('6B'!$E$2:$E$542, BH$1, '6B'!$C$2:$C$542, "Kona")</f>
        <v>0</v>
      </c>
      <c r="BI3" s="9">
        <f>countifs('6B'!$E$2:$E$542, BI$1, '6B'!$C$2:$C$542, "Kona")</f>
        <v>8</v>
      </c>
      <c r="BJ3" s="9">
        <f t="shared" si="9"/>
        <v>10</v>
      </c>
      <c r="BK3" s="9">
        <f t="shared" si="10"/>
        <v>11</v>
      </c>
      <c r="BL3" s="7">
        <f>IFERROR(__xludf.DUMMYFUNCTION("AVERAGE.WEIGHTED($AV$1:$BB$1,AV3:BB3)"),5.0)</f>
        <v>5</v>
      </c>
      <c r="BM3" s="7">
        <f>IFERROR(__xludf.DUMMYFUNCTION("AVERAGE.WEIGHTED($BC$1:$BI$1,BC3:BI3)"),6.2727272727272725)</f>
        <v>6.272727273</v>
      </c>
      <c r="BN3" s="7">
        <f t="shared" ref="BN3:BO3" si="11">(BL3-1)*100/6</f>
        <v>66.66666667</v>
      </c>
      <c r="BO3" s="7">
        <f t="shared" si="11"/>
        <v>87.87878788</v>
      </c>
      <c r="BP3" s="8">
        <f t="shared" si="12"/>
        <v>77.27272727</v>
      </c>
      <c r="BQ3" s="8">
        <f t="shared" si="13"/>
        <v>77.27272727</v>
      </c>
      <c r="BR3" s="8">
        <f t="shared" si="14"/>
        <v>0.08795180582</v>
      </c>
    </row>
    <row r="4">
      <c r="A4" s="3">
        <v>3.0</v>
      </c>
      <c r="B4" s="1" t="s">
        <v>32</v>
      </c>
      <c r="C4" s="6">
        <f>countif('6B'!$F$2:$F$627, C$1)</f>
        <v>10</v>
      </c>
      <c r="D4" s="6">
        <f>countif('6B'!$F$2:$F$627, D$1)</f>
        <v>1</v>
      </c>
      <c r="E4" s="6">
        <f>countif('6B'!$F$2:$F$627, E$1)</f>
        <v>1</v>
      </c>
      <c r="F4" s="6">
        <f>countif('6B'!$F$2:$F$627, F$1)</f>
        <v>0</v>
      </c>
      <c r="G4" s="6">
        <f>countif('6B'!$F$2:$F$627, G$1)</f>
        <v>5</v>
      </c>
      <c r="H4" s="6">
        <f>countif('6B'!$F$2:$F$627, H$1)</f>
        <v>2</v>
      </c>
      <c r="I4" s="6">
        <f>countif('6B'!$F$2:$F$627, I$1)</f>
        <v>2</v>
      </c>
      <c r="J4" s="6">
        <f t="shared" si="4"/>
        <v>21</v>
      </c>
      <c r="K4" s="7">
        <f t="shared" si="5"/>
        <v>3.142857143</v>
      </c>
      <c r="L4" s="4" t="str">
        <f>'General average A'!L4</f>
        <v>#REF!</v>
      </c>
      <c r="M4" s="4" t="str">
        <f>'General average A'!M4</f>
        <v>#REF!</v>
      </c>
      <c r="N4" s="6">
        <f>countifs('6B'!$F$2:$F$627, N$1, '6B'!$B$2:$B$627, "&gt;"&amp;$L$2, '6B'!$B$2:$B$627, "&lt;"&amp;$M$2)</f>
        <v>0</v>
      </c>
      <c r="O4" s="6">
        <f>countifs('6B'!$F$2:$F$627, O$1, '6B'!$B$2:$B$627, "&gt;"&amp;$L$2, '6B'!$B$2:$B$627, "&lt;"&amp;$M$2)</f>
        <v>0</v>
      </c>
      <c r="P4" s="6">
        <f>countifs('6B'!$F$2:$F$627, P$1, '6B'!$B$2:$B$627, "&gt;"&amp;$L$2, '6B'!$B$2:$B$627, "&lt;"&amp;$M$2)</f>
        <v>0</v>
      </c>
      <c r="Q4" s="6">
        <f>countifs('6B'!$F$2:$F$627, Q$1, '6B'!$B$2:$B$627, "&gt;"&amp;$L$2, '6B'!$B$2:$B$627, "&lt;"&amp;$M$2)</f>
        <v>0</v>
      </c>
      <c r="R4" s="6">
        <f>countifs('6B'!$F$2:$F$627, R$1, '6B'!$B$2:$B$627, "&gt;"&amp;$L$2, '6B'!$B$2:$B$627, "&lt;"&amp;$M$2)</f>
        <v>0</v>
      </c>
      <c r="S4" s="6">
        <f>countifs('6B'!$F$2:$F$627, S$1, '6B'!$B$2:$B$627, "&gt;"&amp;$L$2, '6B'!$B$2:$B$627, "&lt;"&amp;$M$2)</f>
        <v>0</v>
      </c>
      <c r="T4" s="6">
        <f>countifs('6B'!$F$2:$F$627, T$1, '6B'!$B$2:$B$627, "&gt;"&amp;$L$2, '6B'!$B$2:$B$627, "&lt;"&amp;$M$2)</f>
        <v>0</v>
      </c>
      <c r="U4" s="6">
        <f>countifs('6B'!$F$2:$F$627, U$1, '6B'!$B$2:$B$627, "&gt;"&amp;$L$3, '6B'!$B$2:$B$627, "&lt;"&amp;$M$3)</f>
        <v>0</v>
      </c>
      <c r="V4" s="6">
        <f>countifs('6B'!$F$2:$F$627, V$1, '6B'!$B$2:$B$627, "&gt;"&amp;$L$3, '6B'!$B$2:$B$627, "&lt;"&amp;$M$3)</f>
        <v>0</v>
      </c>
      <c r="W4" s="6">
        <f>countifs('6B'!$F$2:$F$627, W$1, '6B'!$B$2:$B$627, "&gt;"&amp;$L$3, '6B'!$B$2:$B$627, "&lt;"&amp;$M$3)</f>
        <v>0</v>
      </c>
      <c r="X4" s="6">
        <f>countifs('6B'!$F$2:$F$627, X$1, '6B'!$B$2:$B$627, "&gt;"&amp;$L$3, '6B'!$B$2:$B$627, "&lt;"&amp;$M$3)</f>
        <v>0</v>
      </c>
      <c r="Y4" s="6">
        <f>countifs('6B'!$F$2:$F$627, Y$1, '6B'!$B$2:$B$627, "&gt;"&amp;$L$3, '6B'!$B$2:$B$627, "&lt;"&amp;$M$3)</f>
        <v>0</v>
      </c>
      <c r="Z4" s="6">
        <f>countifs('6B'!$F$2:$F$627, Z$1, '6B'!$B$2:$B$627, "&gt;"&amp;$L$3, '6B'!$B$2:$B$627, "&lt;"&amp;$M$3)</f>
        <v>0</v>
      </c>
      <c r="AA4" s="6">
        <f>countifs('6B'!$F$2:$F$627, AA$1, '6B'!$B$2:$B$627, "&gt;"&amp;$L$3, '6B'!$B$2:$B$627, "&lt;"&amp;$M$3)</f>
        <v>0</v>
      </c>
      <c r="AB4" s="6">
        <f>countifs('6B'!$F$2:$F$627, AB$1, '6B'!$B$2:$B$627, "&gt;"&amp;$L$4, '6B'!$B$2:$B$627, "&lt;"&amp;$M$4)</f>
        <v>0</v>
      </c>
      <c r="AC4" s="6">
        <f>countifs('6B'!$F$2:$F$627, AC$1, '6B'!$B$2:$B$627, "&gt;"&amp;$L$4, '6B'!$B$2:$B$627, "&lt;"&amp;$M$4)</f>
        <v>0</v>
      </c>
      <c r="AD4" s="6">
        <f>countifs('6B'!$F$2:$F$627, AD$1, '6B'!$B$2:$B$627, "&gt;"&amp;$L$4, '6B'!$B$2:$B$627, "&lt;"&amp;$M$4)</f>
        <v>0</v>
      </c>
      <c r="AE4" s="6">
        <f>countifs('6B'!$F$2:$F$627, AE$1, '6B'!$B$2:$B$627, "&gt;"&amp;$L$4, '6B'!$B$2:$B$627, "&lt;"&amp;$M$4)</f>
        <v>0</v>
      </c>
      <c r="AF4" s="6">
        <f>countifs('6B'!$F$2:$F$627, AF$1, '6B'!$B$2:$B$627, "&gt;"&amp;$L$4, '6B'!$B$2:$B$627, "&lt;"&amp;$M$4)</f>
        <v>0</v>
      </c>
      <c r="AG4" s="6">
        <f>countifs('6B'!$F$2:$F$627, AG$1, '6B'!$B$2:$B$627, "&gt;"&amp;$L$4, '6B'!$B$2:$B$627, "&lt;"&amp;$M$4)</f>
        <v>0</v>
      </c>
      <c r="AH4" s="6">
        <f>countifs('6B'!$F$2:$F$627, AH$1, '6B'!$B$2:$B$627, "&gt;"&amp;$L$4, '6B'!$B$2:$B$627, "&lt;"&amp;$M$4)</f>
        <v>0</v>
      </c>
      <c r="AI4" s="3">
        <v>5.0</v>
      </c>
      <c r="AJ4" s="3">
        <v>2.0</v>
      </c>
      <c r="AK4" s="3">
        <v>1.0</v>
      </c>
      <c r="AL4" s="7" t="str">
        <f>IFERROR(__xludf.DUMMYFUNCTION("AVERAGE.WEIGHTED($N$1:$T$1, N4:T4)"),"#DIV/0!")</f>
        <v>#DIV/0!</v>
      </c>
      <c r="AM4" s="7" t="str">
        <f>IFERROR(__xludf.DUMMYFUNCTION("AVERAGE.WEIGHTED($U$1:$AA$1, U4:AA4)"),"#DIV/0!")</f>
        <v>#DIV/0!</v>
      </c>
      <c r="AN4" s="13" t="str">
        <f>IFERROR(__xludf.DUMMYFUNCTION("AVERAGE.WEIGHTED($AB$1:$AH$1, AB4:AH4)"),"#DIV/0!")</f>
        <v>#DIV/0!</v>
      </c>
      <c r="AO4" s="7" t="str">
        <f t="shared" ref="AO4:AQ4" si="15">(AL4-1)*100/6</f>
        <v>#DIV/0!</v>
      </c>
      <c r="AP4" s="7" t="str">
        <f t="shared" si="15"/>
        <v>#DIV/0!</v>
      </c>
      <c r="AQ4" s="7" t="str">
        <f t="shared" si="15"/>
        <v>#DIV/0!</v>
      </c>
      <c r="AR4" s="6" t="str">
        <f t="shared" ref="AR4:AT4" si="16">Average($AO4:$AQ4)</f>
        <v>#DIV/0!</v>
      </c>
      <c r="AS4" s="6" t="str">
        <f t="shared" si="16"/>
        <v>#DIV/0!</v>
      </c>
      <c r="AT4" s="6" t="str">
        <f t="shared" si="16"/>
        <v>#DIV/0!</v>
      </c>
      <c r="AU4" s="8" t="str">
        <f t="shared" si="8"/>
        <v>#DIV/0!</v>
      </c>
      <c r="AV4" s="9">
        <f>countifs('6B'!$F$2:$F$542, AV$1, '6B'!$C$2:$C$542, "Karl")</f>
        <v>5</v>
      </c>
      <c r="AW4" s="9">
        <f>countifs('6B'!$F$2:$F$542, AW$1, '6B'!$C$2:$C$542, "Karl")</f>
        <v>0</v>
      </c>
      <c r="AX4" s="9">
        <f>countifs('6B'!$F$2:$F$542, AX$1, '6B'!$C$2:$C$542, "Karl")</f>
        <v>1</v>
      </c>
      <c r="AY4" s="9">
        <f>countifs('6B'!$F$2:$F$542, AY$1, '6B'!$C$2:$C$542, "Karl")</f>
        <v>0</v>
      </c>
      <c r="AZ4" s="9">
        <f>countifs('6B'!$F$2:$F$542, AZ$1, '6B'!$C$2:$C$542, "Karl")</f>
        <v>2</v>
      </c>
      <c r="BA4" s="9">
        <f>countifs('6B'!$F$2:$F$542, BA$1, '6B'!$C$2:$C$542, "Karl")</f>
        <v>2</v>
      </c>
      <c r="BB4" s="9">
        <f>countifs('6B'!$F$2:$F$542, BB$1, '6B'!$C$2:$C$542, "Karl")</f>
        <v>0</v>
      </c>
      <c r="BC4" s="9">
        <f>countifs('6B'!$F$2:$F$542, BC$1, '6B'!$C$2:$C$542, "Kona")</f>
        <v>5</v>
      </c>
      <c r="BD4" s="9">
        <f>countifs('6B'!$F$2:$F$542, BD$1, '6B'!$C$2:$C$542, "Kona")</f>
        <v>1</v>
      </c>
      <c r="BE4" s="9">
        <f>countifs('6B'!$F$2:$F$542, BE$1, '6B'!$C$2:$C$542, "Kona")</f>
        <v>0</v>
      </c>
      <c r="BF4" s="9">
        <f>countifs('6B'!$F$2:$F$542, BF$1, '6B'!$C$2:$C$542, "Kona")</f>
        <v>0</v>
      </c>
      <c r="BG4" s="9">
        <f>countifs('6B'!$F$2:$F$542, BG$1, '6B'!$C$2:$C$542, "Kona")</f>
        <v>3</v>
      </c>
      <c r="BH4" s="9">
        <f>countifs('6B'!$F$2:$F$542, BH$1, '6B'!$C$2:$C$542, "Kona")</f>
        <v>0</v>
      </c>
      <c r="BI4" s="9">
        <f>countifs('6B'!$F$2:$F$542, BI$1, '6B'!$C$2:$C$542, "Kona")</f>
        <v>2</v>
      </c>
      <c r="BJ4" s="9">
        <f t="shared" si="9"/>
        <v>10</v>
      </c>
      <c r="BK4" s="9">
        <f t="shared" si="10"/>
        <v>11</v>
      </c>
      <c r="BL4" s="7">
        <f>IFERROR(__xludf.DUMMYFUNCTION("AVERAGE.WEIGHTED($AV$1:$BB$1,AV4:BB4)"),3.0)</f>
        <v>3</v>
      </c>
      <c r="BM4" s="7">
        <f>IFERROR(__xludf.DUMMYFUNCTION("AVERAGE.WEIGHTED($BC$1:$BI$1,BC4:BI4)"),3.2727272727272725)</f>
        <v>3.272727273</v>
      </c>
      <c r="BN4" s="7">
        <f t="shared" ref="BN4:BO4" si="17">(BL4-1)*100/6</f>
        <v>33.33333333</v>
      </c>
      <c r="BO4" s="7">
        <f t="shared" si="17"/>
        <v>37.87878788</v>
      </c>
      <c r="BP4" s="8">
        <f t="shared" si="12"/>
        <v>35.60606061</v>
      </c>
      <c r="BQ4" s="8">
        <f t="shared" si="13"/>
        <v>35.60606061</v>
      </c>
      <c r="BR4" s="8">
        <f t="shared" si="14"/>
        <v>0.5901337781</v>
      </c>
    </row>
    <row r="5">
      <c r="A5" s="3">
        <v>4.0</v>
      </c>
      <c r="B5" s="1" t="s">
        <v>33</v>
      </c>
      <c r="C5" s="6">
        <f>countif('6B'!$G$2:$G$627, C$1)</f>
        <v>19</v>
      </c>
      <c r="D5" s="6">
        <f>countif('6B'!$G$2:$G$627, D$1)</f>
        <v>0</v>
      </c>
      <c r="E5" s="6">
        <f>countif('6B'!$G$2:$G$627, E$1)</f>
        <v>1</v>
      </c>
      <c r="F5" s="6">
        <f>countif('6B'!$G$2:$G$627, F$1)</f>
        <v>1</v>
      </c>
      <c r="G5" s="6">
        <f>countif('6B'!$G$2:$G$627, G$1)</f>
        <v>0</v>
      </c>
      <c r="H5" s="6">
        <f>countif('6B'!$G$2:$G$627, H$1)</f>
        <v>0</v>
      </c>
      <c r="I5" s="6">
        <f>countif('6B'!$G$2:$G$627, I$1)</f>
        <v>0</v>
      </c>
      <c r="J5" s="6">
        <f t="shared" si="4"/>
        <v>21</v>
      </c>
      <c r="K5" s="7">
        <f t="shared" si="5"/>
        <v>1.238095238</v>
      </c>
      <c r="N5" s="6">
        <f>countifs('6B'!$G$2:$G$627, N$1, '6B'!$B$2:$B$627, "&gt;"&amp;$L$2, '6B'!$B$2:$B$627, "&lt;"&amp;$M$2)</f>
        <v>0</v>
      </c>
      <c r="O5" s="6">
        <f>countifs('6B'!$G$2:$G$627, O$1, '6B'!$B$2:$B$627, "&gt;"&amp;$L$2, '6B'!$B$2:$B$627, "&lt;"&amp;$M$2)</f>
        <v>0</v>
      </c>
      <c r="P5" s="6">
        <f>countifs('6B'!$G$2:$G$627, P$1, '6B'!$B$2:$B$627, "&gt;"&amp;$L$2, '6B'!$B$2:$B$627, "&lt;"&amp;$M$2)</f>
        <v>0</v>
      </c>
      <c r="Q5" s="6">
        <f>countifs('6B'!$G$2:$G$627, Q$1, '6B'!$B$2:$B$627, "&gt;"&amp;$L$2, '6B'!$B$2:$B$627, "&lt;"&amp;$M$2)</f>
        <v>0</v>
      </c>
      <c r="R5" s="6">
        <f>countifs('6B'!$G$2:$G$627, R$1, '6B'!$B$2:$B$627, "&gt;"&amp;$L$2, '6B'!$B$2:$B$627, "&lt;"&amp;$M$2)</f>
        <v>0</v>
      </c>
      <c r="S5" s="6">
        <f>countifs('6B'!$G$2:$G$627, S$1, '6B'!$B$2:$B$627, "&gt;"&amp;$L$2, '6B'!$B$2:$B$627, "&lt;"&amp;$M$2)</f>
        <v>0</v>
      </c>
      <c r="T5" s="6">
        <f>countifs('6B'!$G$2:$G$627, T$1, '6B'!$B$2:$B$627, "&gt;"&amp;$L$2, '6B'!$B$2:$B$627, "&lt;"&amp;$M$2)</f>
        <v>0</v>
      </c>
      <c r="U5" s="6">
        <f>countifs('6B'!$G$2:$G$627, U$1, '6B'!$B$2:$B$627, "&gt;"&amp;$L$3, '6B'!$B$2:$B$627, "&lt;"&amp;$M$3)</f>
        <v>0</v>
      </c>
      <c r="V5" s="6">
        <f>countifs('6B'!$G$2:$G$627, V$1, '6B'!$B$2:$B$627, "&gt;"&amp;$L$3, '6B'!$B$2:$B$627, "&lt;"&amp;$M$3)</f>
        <v>0</v>
      </c>
      <c r="W5" s="6">
        <f>countifs('6B'!$G$2:$G$627, W$1, '6B'!$B$2:$B$627, "&gt;"&amp;$L$3, '6B'!$B$2:$B$627, "&lt;"&amp;$M$3)</f>
        <v>0</v>
      </c>
      <c r="X5" s="6">
        <f>countifs('6B'!$G$2:$G$627, X$1, '6B'!$B$2:$B$627, "&gt;"&amp;$L$3, '6B'!$B$2:$B$627, "&lt;"&amp;$M$3)</f>
        <v>0</v>
      </c>
      <c r="Y5" s="6">
        <f>countifs('6B'!$G$2:$G$627, Y$1, '6B'!$B$2:$B$627, "&gt;"&amp;$L$3, '6B'!$B$2:$B$627, "&lt;"&amp;$M$3)</f>
        <v>0</v>
      </c>
      <c r="Z5" s="6">
        <f>countifs('6B'!$G$2:$G$627, Z$1, '6B'!$B$2:$B$627, "&gt;"&amp;$L$3, '6B'!$B$2:$B$627, "&lt;"&amp;$M$3)</f>
        <v>0</v>
      </c>
      <c r="AA5" s="6">
        <f>countifs('6B'!$G$2:$G$627, AA$1, '6B'!$B$2:$B$627, "&gt;"&amp;$L$3, '6B'!$B$2:$B$627, "&lt;"&amp;$M$3)</f>
        <v>0</v>
      </c>
      <c r="AB5" s="6">
        <f>countifs('6B'!$G$2:$G$627, AB$1, '6B'!$B$2:$B$627, "&gt;"&amp;$L$4, '6B'!$B$2:$B$627, "&lt;"&amp;$M$4)</f>
        <v>0</v>
      </c>
      <c r="AC5" s="6">
        <f>countifs('6B'!$G$2:$G$627, AC$1, '6B'!$B$2:$B$627, "&gt;"&amp;$L$4, '6B'!$B$2:$B$627, "&lt;"&amp;$M$4)</f>
        <v>0</v>
      </c>
      <c r="AD5" s="6">
        <f>countifs('6B'!$G$2:$G$627, AD$1, '6B'!$B$2:$B$627, "&gt;"&amp;$L$4, '6B'!$B$2:$B$627, "&lt;"&amp;$M$4)</f>
        <v>0</v>
      </c>
      <c r="AE5" s="6">
        <f>countifs('6B'!$G$2:$G$627, AE$1, '6B'!$B$2:$B$627, "&gt;"&amp;$L$4, '6B'!$B$2:$B$627, "&lt;"&amp;$M$4)</f>
        <v>0</v>
      </c>
      <c r="AF5" s="6">
        <f>countifs('6B'!$G$2:$G$627, AF$1, '6B'!$B$2:$B$627, "&gt;"&amp;$L$4, '6B'!$B$2:$B$627, "&lt;"&amp;$M$4)</f>
        <v>0</v>
      </c>
      <c r="AG5" s="6">
        <f>countifs('6B'!$G$2:$G$627, AG$1, '6B'!$B$2:$B$627, "&gt;"&amp;$L$4, '6B'!$B$2:$B$627, "&lt;"&amp;$M$4)</f>
        <v>0</v>
      </c>
      <c r="AH5" s="6">
        <f>countifs('6B'!$G$2:$G$627, AH$1, '6B'!$B$2:$B$627, "&gt;"&amp;$L$4, '6B'!$B$2:$B$627, "&lt;"&amp;$M$4)</f>
        <v>0</v>
      </c>
      <c r="AI5" s="3">
        <v>5.0</v>
      </c>
      <c r="AJ5" s="3">
        <v>2.0</v>
      </c>
      <c r="AK5" s="3">
        <v>1.0</v>
      </c>
      <c r="AL5" s="7" t="str">
        <f>IFERROR(__xludf.DUMMYFUNCTION("AVERAGE.WEIGHTED($N$1:$T$1, N5:T5)"),"#DIV/0!")</f>
        <v>#DIV/0!</v>
      </c>
      <c r="AM5" s="7" t="str">
        <f>IFERROR(__xludf.DUMMYFUNCTION("AVERAGE.WEIGHTED($U$1:$AA$1, U5:AA5)"),"#DIV/0!")</f>
        <v>#DIV/0!</v>
      </c>
      <c r="AN5" s="13" t="str">
        <f>IFERROR(__xludf.DUMMYFUNCTION("AVERAGE.WEIGHTED($AB$1:$AH$1, AB5:AH5)"),"#DIV/0!")</f>
        <v>#DIV/0!</v>
      </c>
      <c r="AO5" s="7" t="str">
        <f t="shared" ref="AO5:AQ5" si="18">(AL5-1)*100/6</f>
        <v>#DIV/0!</v>
      </c>
      <c r="AP5" s="7" t="str">
        <f t="shared" si="18"/>
        <v>#DIV/0!</v>
      </c>
      <c r="AQ5" s="7" t="str">
        <f t="shared" si="18"/>
        <v>#DIV/0!</v>
      </c>
      <c r="AR5" s="6" t="str">
        <f t="shared" ref="AR5:AT5" si="19">Average($AO5:$AQ5)</f>
        <v>#DIV/0!</v>
      </c>
      <c r="AS5" s="6" t="str">
        <f t="shared" si="19"/>
        <v>#DIV/0!</v>
      </c>
      <c r="AT5" s="6" t="str">
        <f t="shared" si="19"/>
        <v>#DIV/0!</v>
      </c>
      <c r="AU5" s="8" t="str">
        <f t="shared" si="8"/>
        <v>#DIV/0!</v>
      </c>
      <c r="AV5" s="9">
        <f>countifs('6B'!$G$2:$G$542, AV$1, '6B'!$C$2:$C$542, "Karl")</f>
        <v>9</v>
      </c>
      <c r="AW5" s="9">
        <f>countifs('6B'!$G$2:$G$542, AW$1, '6B'!$C$2:$C$542, "Karl")</f>
        <v>0</v>
      </c>
      <c r="AX5" s="9">
        <f>countifs('6B'!$G$2:$G$542, AX$1, '6B'!$C$2:$C$542, "Karl")</f>
        <v>0</v>
      </c>
      <c r="AY5" s="9">
        <f>countifs('6B'!$G$2:$G$542, AY$1, '6B'!$C$2:$C$542, "Karl")</f>
        <v>1</v>
      </c>
      <c r="AZ5" s="9">
        <f>countifs('6B'!$G$2:$G$542, AZ$1, '6B'!$C$2:$C$542, "Karl")</f>
        <v>0</v>
      </c>
      <c r="BA5" s="9">
        <f>countifs('6B'!$G$2:$G$542, BA$1, '6B'!$C$2:$C$542, "Karl")</f>
        <v>0</v>
      </c>
      <c r="BB5" s="9">
        <f>countifs('6B'!$G$2:$G$542, BB$1, '6B'!$C$2:$C$542, "Karl")</f>
        <v>0</v>
      </c>
      <c r="BC5" s="9">
        <f>countifs('6B'!$G$2:$G$542, BC$1, '6B'!$C$2:$C$542, "Kona")</f>
        <v>10</v>
      </c>
      <c r="BD5" s="9">
        <f>countifs('6B'!$G$2:$G$542, BD$1, '6B'!$C$2:$C$542, "Kona")</f>
        <v>0</v>
      </c>
      <c r="BE5" s="9">
        <f>countifs('6B'!$G$2:$G$542, BE$1, '6B'!$C$2:$C$542, "Kona")</f>
        <v>1</v>
      </c>
      <c r="BF5" s="9">
        <f>countifs('6B'!$G$2:$G$542, BF$1, '6B'!$C$2:$C$542, "Kona")</f>
        <v>0</v>
      </c>
      <c r="BG5" s="9">
        <f>countifs('6B'!$G$2:$G$542, BG$1, '6B'!$C$2:$C$542, "Kona")</f>
        <v>0</v>
      </c>
      <c r="BH5" s="9">
        <f>countifs('6B'!$G$2:$G$542, BH$1, '6B'!$C$2:$C$542, "Kona")</f>
        <v>0</v>
      </c>
      <c r="BI5" s="9">
        <f>countifs('6B'!$G$2:$G$542, BI$1, '6B'!$C$2:$C$542, "Kona")</f>
        <v>0</v>
      </c>
      <c r="BJ5" s="9">
        <f t="shared" si="9"/>
        <v>10</v>
      </c>
      <c r="BK5" s="9">
        <f t="shared" si="10"/>
        <v>11</v>
      </c>
      <c r="BL5" s="7">
        <f>IFERROR(__xludf.DUMMYFUNCTION("AVERAGE.WEIGHTED($AV$1:$BB$1,AV5:BB5)"),1.3)</f>
        <v>1.3</v>
      </c>
      <c r="BM5" s="7">
        <f>IFERROR(__xludf.DUMMYFUNCTION("AVERAGE.WEIGHTED($BC$1:$BI$1,BC5:BI5)"),1.1818181818181819)</f>
        <v>1.181818182</v>
      </c>
      <c r="BN5" s="7">
        <f t="shared" ref="BN5:BO5" si="20">(BL5-1)*100/6</f>
        <v>5</v>
      </c>
      <c r="BO5" s="7">
        <f t="shared" si="20"/>
        <v>3.03030303</v>
      </c>
      <c r="BP5" s="8">
        <f t="shared" si="12"/>
        <v>4.015151515</v>
      </c>
      <c r="BQ5" s="8">
        <f t="shared" si="13"/>
        <v>4.015151515</v>
      </c>
      <c r="BR5" s="8">
        <f t="shared" si="14"/>
        <v>0.4870065145</v>
      </c>
    </row>
    <row r="6">
      <c r="A6" s="3">
        <v>5.0</v>
      </c>
      <c r="B6" s="1" t="s">
        <v>34</v>
      </c>
      <c r="C6" s="6">
        <f>countif('6B'!$H$2:$H$627, C$1)</f>
        <v>10</v>
      </c>
      <c r="D6" s="6">
        <f>countif('6B'!$H$2:$H$627, D$1)</f>
        <v>2</v>
      </c>
      <c r="E6" s="6">
        <f>countif('6B'!$H$2:$H$627, E$1)</f>
        <v>2</v>
      </c>
      <c r="F6" s="6">
        <f>countif('6B'!$H$2:$H$627, F$1)</f>
        <v>0</v>
      </c>
      <c r="G6" s="6">
        <f>countif('6B'!$H$2:$H$627, G$1)</f>
        <v>2</v>
      </c>
      <c r="H6" s="6">
        <f>countif('6B'!$H$2:$H$627, H$1)</f>
        <v>3</v>
      </c>
      <c r="I6" s="6">
        <f>countif('6B'!$H$2:$H$627, I$1)</f>
        <v>2</v>
      </c>
      <c r="J6" s="6">
        <f t="shared" si="4"/>
        <v>21</v>
      </c>
      <c r="K6" s="7">
        <f t="shared" si="5"/>
        <v>2.952380952</v>
      </c>
      <c r="N6" s="6">
        <f>countifs('6B'!$H$2:$H$627, N$1, '6B'!$B$2:$B$627, "&gt;"&amp;$L$2, '6B'!$B$2:$B$627, "&lt;"&amp;$M$2)</f>
        <v>0</v>
      </c>
      <c r="O6" s="6">
        <f>countifs('6B'!$H$2:$H$627, O$1, '6B'!$B$2:$B$627, "&gt;"&amp;$L$2, '6B'!$B$2:$B$627, "&lt;"&amp;$M$2)</f>
        <v>0</v>
      </c>
      <c r="P6" s="6">
        <f>countifs('6B'!$H$2:$H$627, P$1, '6B'!$B$2:$B$627, "&gt;"&amp;$L$2, '6B'!$B$2:$B$627, "&lt;"&amp;$M$2)</f>
        <v>0</v>
      </c>
      <c r="Q6" s="6">
        <f>countifs('6B'!$H$2:$H$627, Q$1, '6B'!$B$2:$B$627, "&gt;"&amp;$L$2, '6B'!$B$2:$B$627, "&lt;"&amp;$M$2)</f>
        <v>0</v>
      </c>
      <c r="R6" s="6">
        <f>countifs('6B'!$H$2:$H$627, R$1, '6B'!$B$2:$B$627, "&gt;"&amp;$L$2, '6B'!$B$2:$B$627, "&lt;"&amp;$M$2)</f>
        <v>0</v>
      </c>
      <c r="S6" s="6">
        <f>countifs('6B'!$H$2:$H$627, S$1, '6B'!$B$2:$B$627, "&gt;"&amp;$L$2, '6B'!$B$2:$B$627, "&lt;"&amp;$M$2)</f>
        <v>0</v>
      </c>
      <c r="T6" s="6">
        <f>countifs('6B'!$H$2:$H$627, T$1, '6B'!$B$2:$B$627, "&gt;"&amp;$L$2, '6B'!$B$2:$B$627, "&lt;"&amp;$M$2)</f>
        <v>0</v>
      </c>
      <c r="U6" s="6">
        <f>countifs('6B'!$H$2:$H$627, U$1, '6B'!$B$2:$B$627, "&gt;"&amp;$L$3, '6B'!$B$2:$B$627, "&lt;"&amp;$M$3)</f>
        <v>0</v>
      </c>
      <c r="V6" s="6">
        <f>countifs('6B'!$H$2:$H$627, V$1, '6B'!$B$2:$B$627, "&gt;"&amp;$L$3, '6B'!$B$2:$B$627, "&lt;"&amp;$M$3)</f>
        <v>0</v>
      </c>
      <c r="W6" s="6">
        <f>countifs('6B'!$H$2:$H$627, W$1, '6B'!$B$2:$B$627, "&gt;"&amp;$L$3, '6B'!$B$2:$B$627, "&lt;"&amp;$M$3)</f>
        <v>0</v>
      </c>
      <c r="X6" s="6">
        <f>countifs('6B'!$H$2:$H$627, X$1, '6B'!$B$2:$B$627, "&gt;"&amp;$L$3, '6B'!$B$2:$B$627, "&lt;"&amp;$M$3)</f>
        <v>0</v>
      </c>
      <c r="Y6" s="6">
        <f>countifs('6B'!$H$2:$H$627, Y$1, '6B'!$B$2:$B$627, "&gt;"&amp;$L$3, '6B'!$B$2:$B$627, "&lt;"&amp;$M$3)</f>
        <v>0</v>
      </c>
      <c r="Z6" s="6">
        <f>countifs('6B'!$H$2:$H$627, Z$1, '6B'!$B$2:$B$627, "&gt;"&amp;$L$3, '6B'!$B$2:$B$627, "&lt;"&amp;$M$3)</f>
        <v>0</v>
      </c>
      <c r="AA6" s="6">
        <f>countifs('6B'!$H$2:$H$627, AA$1, '6B'!$B$2:$B$627, "&gt;"&amp;$L$3, '6B'!$B$2:$B$627, "&lt;"&amp;$M$3)</f>
        <v>0</v>
      </c>
      <c r="AB6" s="6">
        <f>countifs('6B'!$H$2:$H$627, AB$1, '6B'!$B$2:$B$627, "&gt;"&amp;$L$4, '6B'!$B$2:$B$627, "&lt;"&amp;$M$4)</f>
        <v>0</v>
      </c>
      <c r="AC6" s="6">
        <f>countifs('6B'!$H$2:$H$627, AC$1, '6B'!$B$2:$B$627, "&gt;"&amp;$L$4, '6B'!$B$2:$B$627, "&lt;"&amp;$M$4)</f>
        <v>0</v>
      </c>
      <c r="AD6" s="6">
        <f>countifs('6B'!$H$2:$H$627, AD$1, '6B'!$B$2:$B$627, "&gt;"&amp;$L$4, '6B'!$B$2:$B$627, "&lt;"&amp;$M$4)</f>
        <v>0</v>
      </c>
      <c r="AE6" s="6">
        <f>countifs('6B'!$H$2:$H$627, AE$1, '6B'!$B$2:$B$627, "&gt;"&amp;$L$4, '6B'!$B$2:$B$627, "&lt;"&amp;$M$4)</f>
        <v>0</v>
      </c>
      <c r="AF6" s="6">
        <f>countifs('6B'!$H$2:$H$627, AF$1, '6B'!$B$2:$B$627, "&gt;"&amp;$L$4, '6B'!$B$2:$B$627, "&lt;"&amp;$M$4)</f>
        <v>0</v>
      </c>
      <c r="AG6" s="6">
        <f>countifs('6B'!$H$2:$H$627, AG$1, '6B'!$B$2:$B$627, "&gt;"&amp;$L$4, '6B'!$B$2:$B$627, "&lt;"&amp;$M$4)</f>
        <v>0</v>
      </c>
      <c r="AH6" s="6">
        <f>countifs('6B'!$H$2:$H$627, AH$1, '6B'!$B$2:$B$627, "&gt;"&amp;$L$4, '6B'!$B$2:$B$627, "&lt;"&amp;$M$4)</f>
        <v>0</v>
      </c>
      <c r="AI6" s="3">
        <v>5.0</v>
      </c>
      <c r="AJ6" s="3">
        <v>2.0</v>
      </c>
      <c r="AK6" s="3">
        <v>1.0</v>
      </c>
      <c r="AL6" s="7" t="str">
        <f>IFERROR(__xludf.DUMMYFUNCTION("AVERAGE.WEIGHTED($N$1:$T$1, N6:T6)"),"#DIV/0!")</f>
        <v>#DIV/0!</v>
      </c>
      <c r="AM6" s="7" t="str">
        <f>IFERROR(__xludf.DUMMYFUNCTION("AVERAGE.WEIGHTED($U$1:$AA$1, U6:AA6)"),"#DIV/0!")</f>
        <v>#DIV/0!</v>
      </c>
      <c r="AN6" s="13" t="str">
        <f>IFERROR(__xludf.DUMMYFUNCTION("AVERAGE.WEIGHTED($AB$1:$AH$1, AB6:AH6)"),"#DIV/0!")</f>
        <v>#DIV/0!</v>
      </c>
      <c r="AO6" s="7" t="str">
        <f t="shared" ref="AO6:AQ6" si="21">(AL6-1)*100/6</f>
        <v>#DIV/0!</v>
      </c>
      <c r="AP6" s="7" t="str">
        <f t="shared" si="21"/>
        <v>#DIV/0!</v>
      </c>
      <c r="AQ6" s="7" t="str">
        <f t="shared" si="21"/>
        <v>#DIV/0!</v>
      </c>
      <c r="AR6" s="6" t="str">
        <f t="shared" ref="AR6:AT6" si="22">Average($AO6:$AQ6)</f>
        <v>#DIV/0!</v>
      </c>
      <c r="AS6" s="6" t="str">
        <f t="shared" si="22"/>
        <v>#DIV/0!</v>
      </c>
      <c r="AT6" s="6" t="str">
        <f t="shared" si="22"/>
        <v>#DIV/0!</v>
      </c>
      <c r="AU6" s="8" t="str">
        <f t="shared" si="8"/>
        <v>#DIV/0!</v>
      </c>
      <c r="AV6" s="9">
        <f>countifs('6B'!$H$2:$H$542, AV$1, '6B'!$C$2:$C$542, "Karl")</f>
        <v>5</v>
      </c>
      <c r="AW6" s="9">
        <f>countifs('6B'!$H$2:$H$542, AW$1, '6B'!$C$2:$C$542, "Karl")</f>
        <v>2</v>
      </c>
      <c r="AX6" s="9">
        <f>countifs('6B'!$H$2:$H$542, AX$1, '6B'!$C$2:$C$542, "Karl")</f>
        <v>1</v>
      </c>
      <c r="AY6" s="9">
        <f>countifs('6B'!$H$2:$H$542, AY$1, '6B'!$C$2:$C$542, "Karl")</f>
        <v>0</v>
      </c>
      <c r="AZ6" s="9">
        <f>countifs('6B'!$H$2:$H$542, AZ$1, '6B'!$C$2:$C$542, "Karl")</f>
        <v>2</v>
      </c>
      <c r="BA6" s="9">
        <f>countifs('6B'!$H$2:$H$542, BA$1, '6B'!$C$2:$C$542, "Karl")</f>
        <v>0</v>
      </c>
      <c r="BB6" s="9">
        <f>countifs('6B'!$H$2:$H$542, BB$1, '6B'!$C$2:$C$542, "Karl")</f>
        <v>0</v>
      </c>
      <c r="BC6" s="9">
        <f>countifs('6B'!$H$2:$H$542, BC$1, '6B'!$C$2:$C$542, "Kona")</f>
        <v>5</v>
      </c>
      <c r="BD6" s="9">
        <f>countifs('6B'!$H$2:$H$542, BD$1, '6B'!$C$2:$C$542, "Kona")</f>
        <v>0</v>
      </c>
      <c r="BE6" s="9">
        <f>countifs('6B'!$H$2:$H$542, BE$1, '6B'!$C$2:$C$542, "Kona")</f>
        <v>1</v>
      </c>
      <c r="BF6" s="9">
        <f>countifs('6B'!$H$2:$H$542, BF$1, '6B'!$C$2:$C$542, "Kona")</f>
        <v>0</v>
      </c>
      <c r="BG6" s="9">
        <f>countifs('6B'!$H$2:$H$542, BG$1, '6B'!$C$2:$C$542, "Kona")</f>
        <v>0</v>
      </c>
      <c r="BH6" s="9">
        <f>countifs('6B'!$H$2:$H$542, BH$1, '6B'!$C$2:$C$542, "Kona")</f>
        <v>3</v>
      </c>
      <c r="BI6" s="9">
        <f>countifs('6B'!$H$2:$H$542, BI$1, '6B'!$C$2:$C$542, "Kona")</f>
        <v>2</v>
      </c>
      <c r="BJ6" s="9">
        <f t="shared" si="9"/>
        <v>10</v>
      </c>
      <c r="BK6" s="9">
        <f t="shared" si="10"/>
        <v>11</v>
      </c>
      <c r="BL6" s="7">
        <f>IFERROR(__xludf.DUMMYFUNCTION("AVERAGE.WEIGHTED($AV$1:$BB$1,AV6:BB6)"),2.2)</f>
        <v>2.2</v>
      </c>
      <c r="BM6" s="7">
        <f>IFERROR(__xludf.DUMMYFUNCTION("AVERAGE.WEIGHTED($BC$1:$BI$1,BC6:BI6)"),3.6363636363636362)</f>
        <v>3.636363636</v>
      </c>
      <c r="BN6" s="7">
        <f t="shared" ref="BN6:BO6" si="23">(BL6-1)*100/6</f>
        <v>20</v>
      </c>
      <c r="BO6" s="7">
        <f t="shared" si="23"/>
        <v>43.93939394</v>
      </c>
      <c r="BP6" s="8">
        <f t="shared" si="12"/>
        <v>31.96969697</v>
      </c>
      <c r="BQ6" s="8">
        <f t="shared" si="13"/>
        <v>31.96969697</v>
      </c>
      <c r="BR6" s="8">
        <f t="shared" si="14"/>
        <v>0.002754884601</v>
      </c>
    </row>
    <row r="7">
      <c r="A7" s="3">
        <v>6.0</v>
      </c>
      <c r="B7" s="1" t="s">
        <v>35</v>
      </c>
      <c r="C7" s="6">
        <f>countif('6B'!$I$2:$I$627, C$1)</f>
        <v>15</v>
      </c>
      <c r="D7" s="6">
        <f>countif('6B'!$I$2:$I$627, D$1)</f>
        <v>2</v>
      </c>
      <c r="E7" s="6">
        <f>countif('6B'!$I$2:$I$627, E$1)</f>
        <v>0</v>
      </c>
      <c r="F7" s="6">
        <f>countif('6B'!$I$2:$I$627, F$1)</f>
        <v>1</v>
      </c>
      <c r="G7" s="6">
        <f>countif('6B'!$I$2:$I$627, G$1)</f>
        <v>0</v>
      </c>
      <c r="H7" s="6">
        <f>countif('6B'!$I$2:$I$627, H$1)</f>
        <v>2</v>
      </c>
      <c r="I7" s="6">
        <f>countif('6B'!$I$2:$I$627, I$1)</f>
        <v>1</v>
      </c>
      <c r="J7" s="6">
        <f t="shared" si="4"/>
        <v>21</v>
      </c>
      <c r="K7" s="7">
        <f t="shared" si="5"/>
        <v>2</v>
      </c>
      <c r="N7" s="6">
        <f>countifs('6B'!$I$2:$I$627, N$1, '6B'!$B$2:$B$627, "&gt;"&amp;$L$2, '6B'!$B$2:$B$627, "&lt;"&amp;$M$2)</f>
        <v>0</v>
      </c>
      <c r="O7" s="6">
        <f>countifs('6B'!$I$2:$I$627, O$1, '6B'!$B$2:$B$627, "&gt;"&amp;$L$2, '6B'!$B$2:$B$627, "&lt;"&amp;$M$2)</f>
        <v>0</v>
      </c>
      <c r="P7" s="6">
        <f>countifs('6B'!$I$2:$I$627, P$1, '6B'!$B$2:$B$627, "&gt;"&amp;$L$2, '6B'!$B$2:$B$627, "&lt;"&amp;$M$2)</f>
        <v>0</v>
      </c>
      <c r="Q7" s="6">
        <f>countifs('6B'!$I$2:$I$627, Q$1, '6B'!$B$2:$B$627, "&gt;"&amp;$L$2, '6B'!$B$2:$B$627, "&lt;"&amp;$M$2)</f>
        <v>0</v>
      </c>
      <c r="R7" s="6">
        <f>countifs('6B'!$I$2:$I$627, R$1, '6B'!$B$2:$B$627, "&gt;"&amp;$L$2, '6B'!$B$2:$B$627, "&lt;"&amp;$M$2)</f>
        <v>0</v>
      </c>
      <c r="S7" s="6">
        <f>countifs('6B'!$I$2:$I$627, S$1, '6B'!$B$2:$B$627, "&gt;"&amp;$L$2, '6B'!$B$2:$B$627, "&lt;"&amp;$M$2)</f>
        <v>0</v>
      </c>
      <c r="T7" s="6">
        <f>countifs('6B'!$I$2:$I$627, T$1, '6B'!$B$2:$B$627, "&gt;"&amp;$L$2, '6B'!$B$2:$B$627, "&lt;"&amp;$M$2)</f>
        <v>0</v>
      </c>
      <c r="U7" s="6">
        <f>countifs('6B'!$I$2:$I$627, U$1, '6B'!$B$2:$B$627, "&gt;"&amp;$L$3, '6B'!$B$2:$B$627, "&lt;"&amp;$M$3)</f>
        <v>0</v>
      </c>
      <c r="V7" s="6">
        <f>countifs('6B'!$I$2:$I$627, V$1, '6B'!$B$2:$B$627, "&gt;"&amp;$L$3, '6B'!$B$2:$B$627, "&lt;"&amp;$M$3)</f>
        <v>0</v>
      </c>
      <c r="W7" s="6">
        <f>countifs('6B'!$I$2:$I$627, W$1, '6B'!$B$2:$B$627, "&gt;"&amp;$L$3, '6B'!$B$2:$B$627, "&lt;"&amp;$M$3)</f>
        <v>0</v>
      </c>
      <c r="X7" s="6">
        <f>countifs('6B'!$I$2:$I$627, X$1, '6B'!$B$2:$B$627, "&gt;"&amp;$L$3, '6B'!$B$2:$B$627, "&lt;"&amp;$M$3)</f>
        <v>0</v>
      </c>
      <c r="Y7" s="6">
        <f>countifs('6B'!$I$2:$I$627, Y$1, '6B'!$B$2:$B$627, "&gt;"&amp;$L$3, '6B'!$B$2:$B$627, "&lt;"&amp;$M$3)</f>
        <v>0</v>
      </c>
      <c r="Z7" s="6">
        <f>countifs('6B'!$I$2:$I$627, Z$1, '6B'!$B$2:$B$627, "&gt;"&amp;$L$3, '6B'!$B$2:$B$627, "&lt;"&amp;$M$3)</f>
        <v>0</v>
      </c>
      <c r="AA7" s="6">
        <f>countifs('6B'!$I$2:$I$627, AA$1, '6B'!$B$2:$B$627, "&gt;"&amp;$L$3, '6B'!$B$2:$B$627, "&lt;"&amp;$M$3)</f>
        <v>0</v>
      </c>
      <c r="AB7" s="6">
        <f>countifs('6B'!$I$2:$I$627, AB$1, '6B'!$B$2:$B$627, "&gt;"&amp;$L$4, '6B'!$B$2:$B$627, "&lt;"&amp;$M$4)</f>
        <v>0</v>
      </c>
      <c r="AC7" s="6">
        <f>countifs('6B'!$I$2:$I$627, AC$1, '6B'!$B$2:$B$627, "&gt;"&amp;$L$4, '6B'!$B$2:$B$627, "&lt;"&amp;$M$4)</f>
        <v>0</v>
      </c>
      <c r="AD7" s="6">
        <f>countifs('6B'!$I$2:$I$627, AD$1, '6B'!$B$2:$B$627, "&gt;"&amp;$L$4, '6B'!$B$2:$B$627, "&lt;"&amp;$M$4)</f>
        <v>0</v>
      </c>
      <c r="AE7" s="6">
        <f>countifs('6B'!$I$2:$I$627, AE$1, '6B'!$B$2:$B$627, "&gt;"&amp;$L$4, '6B'!$B$2:$B$627, "&lt;"&amp;$M$4)</f>
        <v>0</v>
      </c>
      <c r="AF7" s="6">
        <f>countifs('6B'!$I$2:$I$627, AF$1, '6B'!$B$2:$B$627, "&gt;"&amp;$L$4, '6B'!$B$2:$B$627, "&lt;"&amp;$M$4)</f>
        <v>0</v>
      </c>
      <c r="AG7" s="6">
        <f>countifs('6B'!$I$2:$I$627, AG$1, '6B'!$B$2:$B$627, "&gt;"&amp;$L$4, '6B'!$B$2:$B$627, "&lt;"&amp;$M$4)</f>
        <v>0</v>
      </c>
      <c r="AH7" s="6">
        <f>countifs('6B'!$I$2:$I$627, AH$1, '6B'!$B$2:$B$627, "&gt;"&amp;$L$4, '6B'!$B$2:$B$627, "&lt;"&amp;$M$4)</f>
        <v>0</v>
      </c>
      <c r="AI7" s="3">
        <v>5.0</v>
      </c>
      <c r="AJ7" s="3">
        <v>2.0</v>
      </c>
      <c r="AK7" s="3">
        <v>1.0</v>
      </c>
      <c r="AL7" s="7" t="str">
        <f>IFERROR(__xludf.DUMMYFUNCTION("AVERAGE.WEIGHTED($N$1:$T$1, N7:T7)"),"#DIV/0!")</f>
        <v>#DIV/0!</v>
      </c>
      <c r="AM7" s="7" t="str">
        <f>IFERROR(__xludf.DUMMYFUNCTION("AVERAGE.WEIGHTED($U$1:$AA$1, U7:AA7)"),"#DIV/0!")</f>
        <v>#DIV/0!</v>
      </c>
      <c r="AN7" s="13" t="str">
        <f>IFERROR(__xludf.DUMMYFUNCTION("AVERAGE.WEIGHTED($AB$1:$AH$1, AB7:AH7)"),"#DIV/0!")</f>
        <v>#DIV/0!</v>
      </c>
      <c r="AO7" s="7" t="str">
        <f t="shared" ref="AO7:AQ7" si="24">(AL7-1)*100/6</f>
        <v>#DIV/0!</v>
      </c>
      <c r="AP7" s="7" t="str">
        <f t="shared" si="24"/>
        <v>#DIV/0!</v>
      </c>
      <c r="AQ7" s="7" t="str">
        <f t="shared" si="24"/>
        <v>#DIV/0!</v>
      </c>
      <c r="AR7" s="6" t="str">
        <f t="shared" ref="AR7:AT7" si="25">Average($AO7:$AQ7)</f>
        <v>#DIV/0!</v>
      </c>
      <c r="AS7" s="6" t="str">
        <f t="shared" si="25"/>
        <v>#DIV/0!</v>
      </c>
      <c r="AT7" s="6" t="str">
        <f t="shared" si="25"/>
        <v>#DIV/0!</v>
      </c>
      <c r="AU7" s="8" t="str">
        <f t="shared" si="8"/>
        <v>#DIV/0!</v>
      </c>
      <c r="AV7" s="9">
        <f>countifs('6B'!$I$2:$I$542, AV$1, '6B'!$C$2:$C$542, "Karl")</f>
        <v>6</v>
      </c>
      <c r="AW7" s="9">
        <f>countifs('6B'!$I$2:$I$542, AW$1, '6B'!$C$2:$C$542, "Karl")</f>
        <v>2</v>
      </c>
      <c r="AX7" s="9">
        <f>countifs('6B'!$I$2:$I$542, AX$1, '6B'!$C$2:$C$542, "Karl")</f>
        <v>0</v>
      </c>
      <c r="AY7" s="9">
        <f>countifs('6B'!$I$2:$I$542, AY$1, '6B'!$C$2:$C$542, "Karl")</f>
        <v>0</v>
      </c>
      <c r="AZ7" s="9">
        <f>countifs('6B'!$I$2:$I$542, AZ$1, '6B'!$C$2:$C$542, "Karl")</f>
        <v>0</v>
      </c>
      <c r="BA7" s="9">
        <f>countifs('6B'!$I$2:$I$542, BA$1, '6B'!$C$2:$C$542, "Karl")</f>
        <v>1</v>
      </c>
      <c r="BB7" s="9">
        <f>countifs('6B'!$I$2:$I$542, BB$1, '6B'!$C$2:$C$542, "Karl")</f>
        <v>1</v>
      </c>
      <c r="BC7" s="9">
        <f>countifs('6B'!$I$2:$I$542, BC$1, '6B'!$C$2:$C$542, "Kona")</f>
        <v>9</v>
      </c>
      <c r="BD7" s="9">
        <f>countifs('6B'!$I$2:$I$542, BD$1, '6B'!$C$2:$C$542, "Kona")</f>
        <v>0</v>
      </c>
      <c r="BE7" s="9">
        <f>countifs('6B'!$I$2:$I$542, BE$1, '6B'!$C$2:$C$542, "Kona")</f>
        <v>0</v>
      </c>
      <c r="BF7" s="9">
        <f>countifs('6B'!$I$2:$I$542, BF$1, '6B'!$C$2:$C$542, "Kona")</f>
        <v>1</v>
      </c>
      <c r="BG7" s="9">
        <f>countifs('6B'!$I$2:$I$542, BG$1, '6B'!$C$2:$C$542, "Kona")</f>
        <v>0</v>
      </c>
      <c r="BH7" s="9">
        <f>countifs('6B'!$I$2:$I$542, BH$1, '6B'!$C$2:$C$542, "Kona")</f>
        <v>1</v>
      </c>
      <c r="BI7" s="9">
        <f>countifs('6B'!$I$2:$I$542, BI$1, '6B'!$C$2:$C$542, "Kona")</f>
        <v>0</v>
      </c>
      <c r="BJ7" s="9">
        <f t="shared" si="9"/>
        <v>10</v>
      </c>
      <c r="BK7" s="9">
        <f t="shared" si="10"/>
        <v>11</v>
      </c>
      <c r="BL7" s="7">
        <f>IFERROR(__xludf.DUMMYFUNCTION("AVERAGE.WEIGHTED($AV$1:$BB$1,AV7:BB7)"),2.3)</f>
        <v>2.3</v>
      </c>
      <c r="BM7" s="7">
        <f>IFERROR(__xludf.DUMMYFUNCTION("AVERAGE.WEIGHTED($BC$1:$BI$1,BC7:BI7)"),1.7272727272727273)</f>
        <v>1.727272727</v>
      </c>
      <c r="BN7" s="7">
        <f t="shared" ref="BN7:BO7" si="26">(BL7-1)*100/6</f>
        <v>21.66666667</v>
      </c>
      <c r="BO7" s="7">
        <f t="shared" si="26"/>
        <v>12.12121212</v>
      </c>
      <c r="BP7" s="8">
        <f t="shared" si="12"/>
        <v>16.89393939</v>
      </c>
      <c r="BQ7" s="8">
        <f t="shared" si="13"/>
        <v>16.89393939</v>
      </c>
      <c r="BR7" s="8">
        <f t="shared" si="14"/>
        <v>0.1005563165</v>
      </c>
    </row>
    <row r="8">
      <c r="A8" s="3">
        <v>7.0</v>
      </c>
      <c r="B8" s="1" t="s">
        <v>36</v>
      </c>
      <c r="C8" s="6">
        <f>countif('6B'!$J$2:$J$627, C$1)</f>
        <v>12</v>
      </c>
      <c r="D8" s="6">
        <f>countif('6B'!$J$2:$J$627, D$1)</f>
        <v>0</v>
      </c>
      <c r="E8" s="6">
        <f>countif('6B'!$J$2:$J$627, E$1)</f>
        <v>1</v>
      </c>
      <c r="F8" s="6">
        <f>countif('6B'!$J$2:$J$627, F$1)</f>
        <v>2</v>
      </c>
      <c r="G8" s="6">
        <f>countif('6B'!$J$2:$J$627, G$1)</f>
        <v>1</v>
      </c>
      <c r="H8" s="6">
        <f>countif('6B'!$J$2:$J$627, H$1)</f>
        <v>2</v>
      </c>
      <c r="I8" s="6">
        <f>countif('6B'!$J$2:$J$627, I$1)</f>
        <v>3</v>
      </c>
      <c r="J8" s="6">
        <f t="shared" si="4"/>
        <v>21</v>
      </c>
      <c r="K8" s="7">
        <f t="shared" si="5"/>
        <v>2.904761905</v>
      </c>
      <c r="N8" s="6">
        <f>countifs('6B'!$J$2:$J$627, N$1, '6B'!$B$2:$B$627, "&gt;"&amp;$L$2, '6B'!$B$2:$B$627, "&lt;"&amp;$M$2)</f>
        <v>0</v>
      </c>
      <c r="O8" s="6">
        <f>countifs('6B'!$J$2:$J$627, O$1, '6B'!$B$2:$B$627, "&gt;"&amp;$L$2, '6B'!$B$2:$B$627, "&lt;"&amp;$M$2)</f>
        <v>0</v>
      </c>
      <c r="P8" s="6">
        <f>countifs('6B'!$J$2:$J$627, P$1, '6B'!$B$2:$B$627, "&gt;"&amp;$L$2, '6B'!$B$2:$B$627, "&lt;"&amp;$M$2)</f>
        <v>0</v>
      </c>
      <c r="Q8" s="6">
        <f>countifs('6B'!$J$2:$J$627, Q$1, '6B'!$B$2:$B$627, "&gt;"&amp;$L$2, '6B'!$B$2:$B$627, "&lt;"&amp;$M$2)</f>
        <v>0</v>
      </c>
      <c r="R8" s="6">
        <f>countifs('6B'!$J$2:$J$627, R$1, '6B'!$B$2:$B$627, "&gt;"&amp;$L$2, '6B'!$B$2:$B$627, "&lt;"&amp;$M$2)</f>
        <v>0</v>
      </c>
      <c r="S8" s="6">
        <f>countifs('6B'!$J$2:$J$627, S$1, '6B'!$B$2:$B$627, "&gt;"&amp;$L$2, '6B'!$B$2:$B$627, "&lt;"&amp;$M$2)</f>
        <v>0</v>
      </c>
      <c r="T8" s="6">
        <f>countifs('6B'!$J$2:$J$627, T$1, '6B'!$B$2:$B$627, "&gt;"&amp;$L$2, '6B'!$B$2:$B$627, "&lt;"&amp;$M$2)</f>
        <v>0</v>
      </c>
      <c r="U8" s="6">
        <f>countifs('6B'!$J$2:$J$627, U$1, '6B'!$B$2:$B$627, "&gt;"&amp;$L$3, '6B'!$B$2:$B$627, "&lt;"&amp;$M$3)</f>
        <v>0</v>
      </c>
      <c r="V8" s="6">
        <f>countifs('6B'!$J$2:$J$627, V$1, '6B'!$B$2:$B$627, "&gt;"&amp;$L$3, '6B'!$B$2:$B$627, "&lt;"&amp;$M$3)</f>
        <v>0</v>
      </c>
      <c r="W8" s="6">
        <f>countifs('6B'!$J$2:$J$627, W$1, '6B'!$B$2:$B$627, "&gt;"&amp;$L$3, '6B'!$B$2:$B$627, "&lt;"&amp;$M$3)</f>
        <v>0</v>
      </c>
      <c r="X8" s="6">
        <f>countifs('6B'!$J$2:$J$627, X$1, '6B'!$B$2:$B$627, "&gt;"&amp;$L$3, '6B'!$B$2:$B$627, "&lt;"&amp;$M$3)</f>
        <v>0</v>
      </c>
      <c r="Y8" s="6">
        <f>countifs('6B'!$J$2:$J$627, Y$1, '6B'!$B$2:$B$627, "&gt;"&amp;$L$3, '6B'!$B$2:$B$627, "&lt;"&amp;$M$3)</f>
        <v>0</v>
      </c>
      <c r="Z8" s="6">
        <f>countifs('6B'!$J$2:$J$627, Z$1, '6B'!$B$2:$B$627, "&gt;"&amp;$L$3, '6B'!$B$2:$B$627, "&lt;"&amp;$M$3)</f>
        <v>0</v>
      </c>
      <c r="AA8" s="6">
        <f>countifs('6B'!$J$2:$J$627, AA$1, '6B'!$B$2:$B$627, "&gt;"&amp;$L$3, '6B'!$B$2:$B$627, "&lt;"&amp;$M$3)</f>
        <v>0</v>
      </c>
      <c r="AB8" s="6">
        <f>countifs('6B'!$J$2:$J$627, AB$1, '6B'!$B$2:$B$627, "&gt;"&amp;$L$4, '6B'!$B$2:$B$627, "&lt;"&amp;$M$4)</f>
        <v>0</v>
      </c>
      <c r="AC8" s="6">
        <f>countifs('6B'!$J$2:$J$627, AC$1, '6B'!$B$2:$B$627, "&gt;"&amp;$L$4, '6B'!$B$2:$B$627, "&lt;"&amp;$M$4)</f>
        <v>0</v>
      </c>
      <c r="AD8" s="6">
        <f>countifs('6B'!$J$2:$J$627, AD$1, '6B'!$B$2:$B$627, "&gt;"&amp;$L$4, '6B'!$B$2:$B$627, "&lt;"&amp;$M$4)</f>
        <v>0</v>
      </c>
      <c r="AE8" s="6">
        <f>countifs('6B'!$J$2:$J$627, AE$1, '6B'!$B$2:$B$627, "&gt;"&amp;$L$4, '6B'!$B$2:$B$627, "&lt;"&amp;$M$4)</f>
        <v>0</v>
      </c>
      <c r="AF8" s="6">
        <f>countifs('6B'!$J$2:$J$627, AF$1, '6B'!$B$2:$B$627, "&gt;"&amp;$L$4, '6B'!$B$2:$B$627, "&lt;"&amp;$M$4)</f>
        <v>0</v>
      </c>
      <c r="AG8" s="6">
        <f>countifs('6B'!$J$2:$J$627, AG$1, '6B'!$B$2:$B$627, "&gt;"&amp;$L$4, '6B'!$B$2:$B$627, "&lt;"&amp;$M$4)</f>
        <v>0</v>
      </c>
      <c r="AH8" s="6">
        <f>countifs('6B'!$J$2:$J$627, AH$1, '6B'!$B$2:$B$627, "&gt;"&amp;$L$4, '6B'!$B$2:$B$627, "&lt;"&amp;$M$4)</f>
        <v>0</v>
      </c>
      <c r="AI8" s="3">
        <v>5.0</v>
      </c>
      <c r="AJ8" s="3">
        <v>2.0</v>
      </c>
      <c r="AK8" s="3">
        <v>1.0</v>
      </c>
      <c r="AL8" s="7" t="str">
        <f>IFERROR(__xludf.DUMMYFUNCTION("AVERAGE.WEIGHTED($N$1:$T$1, N8:T8)"),"#DIV/0!")</f>
        <v>#DIV/0!</v>
      </c>
      <c r="AM8" s="7" t="str">
        <f>IFERROR(__xludf.DUMMYFUNCTION("AVERAGE.WEIGHTED($U$1:$AA$1, U8:AA8)"),"#DIV/0!")</f>
        <v>#DIV/0!</v>
      </c>
      <c r="AN8" s="13" t="str">
        <f>IFERROR(__xludf.DUMMYFUNCTION("AVERAGE.WEIGHTED($AB$1:$AH$1, AB8:AH8)"),"#DIV/0!")</f>
        <v>#DIV/0!</v>
      </c>
      <c r="AO8" s="7" t="str">
        <f t="shared" ref="AO8:AQ8" si="27">(AL8-1)*100/6</f>
        <v>#DIV/0!</v>
      </c>
      <c r="AP8" s="7" t="str">
        <f t="shared" si="27"/>
        <v>#DIV/0!</v>
      </c>
      <c r="AQ8" s="7" t="str">
        <f t="shared" si="27"/>
        <v>#DIV/0!</v>
      </c>
      <c r="AR8" s="6" t="str">
        <f t="shared" ref="AR8:AT8" si="28">Average($AO8:$AQ8)</f>
        <v>#DIV/0!</v>
      </c>
      <c r="AS8" s="6" t="str">
        <f t="shared" si="28"/>
        <v>#DIV/0!</v>
      </c>
      <c r="AT8" s="6" t="str">
        <f t="shared" si="28"/>
        <v>#DIV/0!</v>
      </c>
      <c r="AU8" s="8" t="str">
        <f t="shared" si="8"/>
        <v>#DIV/0!</v>
      </c>
      <c r="AV8" s="9">
        <f>countifs('6B'!$J$2:$J$542, AV$1, '6B'!$C$2:$C$542, "Karl")</f>
        <v>5</v>
      </c>
      <c r="AW8" s="9">
        <f>countifs('6B'!$J$2:$J$542, AW$1, '6B'!$C$2:$C$542, "Karl")</f>
        <v>0</v>
      </c>
      <c r="AX8" s="9">
        <f>countifs('6B'!$J$2:$J$542, AX$1, '6B'!$C$2:$C$542, "Karl")</f>
        <v>1</v>
      </c>
      <c r="AY8" s="9">
        <f>countifs('6B'!$J$2:$J$542, AY$1, '6B'!$C$2:$C$542, "Karl")</f>
        <v>1</v>
      </c>
      <c r="AZ8" s="9">
        <f>countifs('6B'!$J$2:$J$542, AZ$1, '6B'!$C$2:$C$542, "Karl")</f>
        <v>0</v>
      </c>
      <c r="BA8" s="9">
        <f>countifs('6B'!$J$2:$J$542, BA$1, '6B'!$C$2:$C$542, "Karl")</f>
        <v>2</v>
      </c>
      <c r="BB8" s="9">
        <f>countifs('6B'!$J$2:$J$542, BB$1, '6B'!$C$2:$C$542, "Karl")</f>
        <v>1</v>
      </c>
      <c r="BC8" s="9">
        <f>countifs('6B'!$J$2:$J$542, BC$1, '6B'!$C$2:$C$542, "Kona")</f>
        <v>7</v>
      </c>
      <c r="BD8" s="9">
        <f>countifs('6B'!$J$2:$J$542, BD$1, '6B'!$C$2:$C$542, "Kona")</f>
        <v>0</v>
      </c>
      <c r="BE8" s="9">
        <f>countifs('6B'!$J$2:$J$542, BE$1, '6B'!$C$2:$C$542, "Kona")</f>
        <v>0</v>
      </c>
      <c r="BF8" s="9">
        <f>countifs('6B'!$J$2:$J$542, BF$1, '6B'!$C$2:$C$542, "Kona")</f>
        <v>1</v>
      </c>
      <c r="BG8" s="9">
        <f>countifs('6B'!$J$2:$J$542, BG$1, '6B'!$C$2:$C$542, "Kona")</f>
        <v>1</v>
      </c>
      <c r="BH8" s="9">
        <f>countifs('6B'!$J$2:$J$542, BH$1, '6B'!$C$2:$C$542, "Kona")</f>
        <v>0</v>
      </c>
      <c r="BI8" s="9">
        <f>countifs('6B'!$J$2:$J$542, BI$1, '6B'!$C$2:$C$542, "Kona")</f>
        <v>2</v>
      </c>
      <c r="BJ8" s="9">
        <f t="shared" si="9"/>
        <v>10</v>
      </c>
      <c r="BK8" s="9">
        <f t="shared" si="10"/>
        <v>11</v>
      </c>
      <c r="BL8" s="7">
        <f>IFERROR(__xludf.DUMMYFUNCTION("AVERAGE.WEIGHTED($AV$1:$BB$1,AV8:BB8)"),3.1)</f>
        <v>3.1</v>
      </c>
      <c r="BM8" s="7">
        <f>IFERROR(__xludf.DUMMYFUNCTION("AVERAGE.WEIGHTED($BC$1:$BI$1,BC8:BI8)"),2.7272727272727275)</f>
        <v>2.727272727</v>
      </c>
      <c r="BN8" s="7">
        <f t="shared" ref="BN8:BO8" si="29">(BL8-1)*100/6</f>
        <v>35</v>
      </c>
      <c r="BO8" s="7">
        <f t="shared" si="29"/>
        <v>28.78787879</v>
      </c>
      <c r="BP8" s="8">
        <f t="shared" si="12"/>
        <v>31.89393939</v>
      </c>
      <c r="BQ8" s="8">
        <f t="shared" si="13"/>
        <v>31.89393939</v>
      </c>
      <c r="BR8" s="8">
        <f t="shared" si="14"/>
        <v>0.4366838633</v>
      </c>
    </row>
    <row r="9">
      <c r="A9" s="3">
        <v>8.0</v>
      </c>
      <c r="B9" s="1" t="s">
        <v>37</v>
      </c>
      <c r="C9" s="6">
        <f>countif('6B'!$K$2:$K$627, C$1)</f>
        <v>4</v>
      </c>
      <c r="D9" s="6">
        <f>countif('6B'!$K$2:$K$627, D$1)</f>
        <v>4</v>
      </c>
      <c r="E9" s="6">
        <f>countif('6B'!$K$2:$K$627, E$1)</f>
        <v>0</v>
      </c>
      <c r="F9" s="6">
        <f>countif('6B'!$K$2:$K$627, F$1)</f>
        <v>0</v>
      </c>
      <c r="G9" s="6">
        <f>countif('6B'!$K$2:$K$627, G$1)</f>
        <v>3</v>
      </c>
      <c r="H9" s="6">
        <f>countif('6B'!$K$2:$K$627, H$1)</f>
        <v>1</v>
      </c>
      <c r="I9" s="6">
        <f>countif('6B'!$K$2:$K$627, I$1)</f>
        <v>9</v>
      </c>
      <c r="J9" s="6">
        <f t="shared" si="4"/>
        <v>21</v>
      </c>
      <c r="K9" s="7">
        <f t="shared" si="5"/>
        <v>4.571428571</v>
      </c>
      <c r="N9" s="6">
        <f>countifs('6B'!$K$2:$K$627, N$1, '6B'!$B$2:$B$627, "&gt;"&amp;$L$2, '6B'!$B$2:$B$627, "&lt;"&amp;$M$2)</f>
        <v>0</v>
      </c>
      <c r="O9" s="6">
        <f>countifs('6B'!$K$2:$K$627, O$1, '6B'!$B$2:$B$627, "&gt;"&amp;$L$2, '6B'!$B$2:$B$627, "&lt;"&amp;$M$2)</f>
        <v>0</v>
      </c>
      <c r="P9" s="6">
        <f>countifs('6B'!$K$2:$K$627, P$1, '6B'!$B$2:$B$627, "&gt;"&amp;$L$2, '6B'!$B$2:$B$627, "&lt;"&amp;$M$2)</f>
        <v>0</v>
      </c>
      <c r="Q9" s="6">
        <f>countifs('6B'!$K$2:$K$627, Q$1, '6B'!$B$2:$B$627, "&gt;"&amp;$L$2, '6B'!$B$2:$B$627, "&lt;"&amp;$M$2)</f>
        <v>0</v>
      </c>
      <c r="R9" s="6">
        <f>countifs('6B'!$K$2:$K$627, R$1, '6B'!$B$2:$B$627, "&gt;"&amp;$L$2, '6B'!$B$2:$B$627, "&lt;"&amp;$M$2)</f>
        <v>0</v>
      </c>
      <c r="S9" s="6">
        <f>countifs('6B'!$K$2:$K$627, S$1, '6B'!$B$2:$B$627, "&gt;"&amp;$L$2, '6B'!$B$2:$B$627, "&lt;"&amp;$M$2)</f>
        <v>0</v>
      </c>
      <c r="T9" s="6">
        <f>countifs('6B'!$K$2:$K$627, T$1, '6B'!$B$2:$B$627, "&gt;"&amp;$L$2, '6B'!$B$2:$B$627, "&lt;"&amp;$M$2)</f>
        <v>0</v>
      </c>
      <c r="U9" s="6">
        <f>countifs('6B'!$K$2:$K$627, U$1, '6B'!$B$2:$B$627, "&gt;"&amp;$L$3, '6B'!$B$2:$B$627, "&lt;"&amp;$M$3)</f>
        <v>0</v>
      </c>
      <c r="V9" s="6">
        <f>countifs('6B'!$K$2:$K$627, V$1, '6B'!$B$2:$B$627, "&gt;"&amp;$L$3, '6B'!$B$2:$B$627, "&lt;"&amp;$M$3)</f>
        <v>0</v>
      </c>
      <c r="W9" s="6">
        <f>countifs('6B'!$K$2:$K$627, W$1, '6B'!$B$2:$B$627, "&gt;"&amp;$L$3, '6B'!$B$2:$B$627, "&lt;"&amp;$M$3)</f>
        <v>0</v>
      </c>
      <c r="X9" s="6">
        <f>countifs('6B'!$K$2:$K$627, X$1, '6B'!$B$2:$B$627, "&gt;"&amp;$L$3, '6B'!$B$2:$B$627, "&lt;"&amp;$M$3)</f>
        <v>0</v>
      </c>
      <c r="Y9" s="6">
        <f>countifs('6B'!$K$2:$K$627, Y$1, '6B'!$B$2:$B$627, "&gt;"&amp;$L$3, '6B'!$B$2:$B$627, "&lt;"&amp;$M$3)</f>
        <v>0</v>
      </c>
      <c r="Z9" s="6">
        <f>countifs('6B'!$K$2:$K$627, Z$1, '6B'!$B$2:$B$627, "&gt;"&amp;$L$3, '6B'!$B$2:$B$627, "&lt;"&amp;$M$3)</f>
        <v>0</v>
      </c>
      <c r="AA9" s="6">
        <f>countifs('6B'!$K$2:$K$627, AA$1, '6B'!$B$2:$B$627, "&gt;"&amp;$L$3, '6B'!$B$2:$B$627, "&lt;"&amp;$M$3)</f>
        <v>0</v>
      </c>
      <c r="AB9" s="6">
        <f>countifs('6B'!$K$2:$K$627, AB$1, '6B'!$B$2:$B$627, "&gt;"&amp;$L$4, '6B'!$B$2:$B$627, "&lt;"&amp;$M$4)</f>
        <v>0</v>
      </c>
      <c r="AC9" s="6">
        <f>countifs('6B'!$K$2:$K$627, AC$1, '6B'!$B$2:$B$627, "&gt;"&amp;$L$4, '6B'!$B$2:$B$627, "&lt;"&amp;$M$4)</f>
        <v>0</v>
      </c>
      <c r="AD9" s="6">
        <f>countifs('6B'!$K$2:$K$627, AD$1, '6B'!$B$2:$B$627, "&gt;"&amp;$L$4, '6B'!$B$2:$B$627, "&lt;"&amp;$M$4)</f>
        <v>0</v>
      </c>
      <c r="AE9" s="6">
        <f>countifs('6B'!$K$2:$K$627, AE$1, '6B'!$B$2:$B$627, "&gt;"&amp;$L$4, '6B'!$B$2:$B$627, "&lt;"&amp;$M$4)</f>
        <v>0</v>
      </c>
      <c r="AF9" s="6">
        <f>countifs('6B'!$K$2:$K$627, AF$1, '6B'!$B$2:$B$627, "&gt;"&amp;$L$4, '6B'!$B$2:$B$627, "&lt;"&amp;$M$4)</f>
        <v>0</v>
      </c>
      <c r="AG9" s="6">
        <f>countifs('6B'!$K$2:$K$627, AG$1, '6B'!$B$2:$B$627, "&gt;"&amp;$L$4, '6B'!$B$2:$B$627, "&lt;"&amp;$M$4)</f>
        <v>0</v>
      </c>
      <c r="AH9" s="6">
        <f>countifs('6B'!$K$2:$K$627, AH$1, '6B'!$B$2:$B$627, "&gt;"&amp;$L$4, '6B'!$B$2:$B$627, "&lt;"&amp;$M$4)</f>
        <v>0</v>
      </c>
      <c r="AI9" s="3">
        <v>5.0</v>
      </c>
      <c r="AJ9" s="3">
        <v>2.0</v>
      </c>
      <c r="AK9" s="3">
        <v>1.0</v>
      </c>
      <c r="AL9" s="7" t="str">
        <f>IFERROR(__xludf.DUMMYFUNCTION("AVERAGE.WEIGHTED($N$1:$T$1, N9:T9)"),"#DIV/0!")</f>
        <v>#DIV/0!</v>
      </c>
      <c r="AM9" s="7" t="str">
        <f>IFERROR(__xludf.DUMMYFUNCTION("AVERAGE.WEIGHTED($U$1:$AA$1, U9:AA9)"),"#DIV/0!")</f>
        <v>#DIV/0!</v>
      </c>
      <c r="AN9" s="13" t="str">
        <f>IFERROR(__xludf.DUMMYFUNCTION("AVERAGE.WEIGHTED($AB$1:$AH$1, AB9:AH9)"),"#DIV/0!")</f>
        <v>#DIV/0!</v>
      </c>
      <c r="AO9" s="7" t="str">
        <f t="shared" ref="AO9:AQ9" si="30">(AL9-1)*100/6</f>
        <v>#DIV/0!</v>
      </c>
      <c r="AP9" s="7" t="str">
        <f t="shared" si="30"/>
        <v>#DIV/0!</v>
      </c>
      <c r="AQ9" s="7" t="str">
        <f t="shared" si="30"/>
        <v>#DIV/0!</v>
      </c>
      <c r="AR9" s="6" t="str">
        <f t="shared" ref="AR9:AT9" si="31">Average($AO9:$AQ9)</f>
        <v>#DIV/0!</v>
      </c>
      <c r="AS9" s="6" t="str">
        <f t="shared" si="31"/>
        <v>#DIV/0!</v>
      </c>
      <c r="AT9" s="6" t="str">
        <f t="shared" si="31"/>
        <v>#DIV/0!</v>
      </c>
      <c r="AU9" s="8" t="str">
        <f t="shared" si="8"/>
        <v>#DIV/0!</v>
      </c>
      <c r="AV9" s="9">
        <f>countifs('6B'!$K$2:$K$542, AV$1, '6B'!$C$2:$C$542, "Karl")</f>
        <v>3</v>
      </c>
      <c r="AW9" s="9">
        <f>countifs('6B'!$K$2:$K$542, AW$1, '6B'!$C$2:$C$542, "Karl")</f>
        <v>1</v>
      </c>
      <c r="AX9" s="9">
        <f>countifs('6B'!$K$2:$K$542, AX$1, '6B'!$C$2:$C$542, "Karl")</f>
        <v>0</v>
      </c>
      <c r="AY9" s="9">
        <f>countifs('6B'!$K$2:$K$542, AY$1, '6B'!$C$2:$C$542, "Karl")</f>
        <v>0</v>
      </c>
      <c r="AZ9" s="9">
        <f>countifs('6B'!$K$2:$K$542, AZ$1, '6B'!$C$2:$C$542, "Karl")</f>
        <v>2</v>
      </c>
      <c r="BA9" s="9">
        <f>countifs('6B'!$K$2:$K$542, BA$1, '6B'!$C$2:$C$542, "Karl")</f>
        <v>1</v>
      </c>
      <c r="BB9" s="9">
        <f>countifs('6B'!$K$2:$K$542, BB$1, '6B'!$C$2:$C$542, "Karl")</f>
        <v>3</v>
      </c>
      <c r="BC9" s="9">
        <f>countifs('6B'!$K$2:$K$542, BC$1, '6B'!$C$2:$C$542, "Kona")</f>
        <v>1</v>
      </c>
      <c r="BD9" s="9">
        <f>countifs('6B'!$K$2:$K$542, BD$1, '6B'!$C$2:$C$542, "Kona")</f>
        <v>3</v>
      </c>
      <c r="BE9" s="9">
        <f>countifs('6B'!$K$2:$K$542, BE$1, '6B'!$C$2:$C$542, "Kona")</f>
        <v>0</v>
      </c>
      <c r="BF9" s="9">
        <f>countifs('6B'!$K$2:$K$542, BF$1, '6B'!$C$2:$C$542, "Kona")</f>
        <v>0</v>
      </c>
      <c r="BG9" s="9">
        <f>countifs('6B'!$K$2:$K$542, BG$1, '6B'!$C$2:$C$542, "Kona")</f>
        <v>1</v>
      </c>
      <c r="BH9" s="9">
        <f>countifs('6B'!$K$2:$K$542, BH$1, '6B'!$C$2:$C$542, "Kona")</f>
        <v>0</v>
      </c>
      <c r="BI9" s="9">
        <f>countifs('6B'!$K$2:$K$542, BI$1, '6B'!$C$2:$C$542, "Kona")</f>
        <v>6</v>
      </c>
      <c r="BJ9" s="9">
        <f t="shared" si="9"/>
        <v>10</v>
      </c>
      <c r="BK9" s="9">
        <f t="shared" si="10"/>
        <v>11</v>
      </c>
      <c r="BL9" s="7">
        <f>IFERROR(__xludf.DUMMYFUNCTION("AVERAGE.WEIGHTED($AV$1:$BB$1,AV9:BB9)"),4.2)</f>
        <v>4.2</v>
      </c>
      <c r="BM9" s="7">
        <f>IFERROR(__xludf.DUMMYFUNCTION("AVERAGE.WEIGHTED($BC$1:$BI$1,BC9:BI9)"),4.909090909090909)</f>
        <v>4.909090909</v>
      </c>
      <c r="BN9" s="7">
        <f t="shared" ref="BN9:BO9" si="32">(BL9-1)*100/6</f>
        <v>53.33333333</v>
      </c>
      <c r="BO9" s="7">
        <f t="shared" si="32"/>
        <v>65.15151515</v>
      </c>
      <c r="BP9" s="8">
        <f t="shared" si="12"/>
        <v>59.24242424</v>
      </c>
      <c r="BQ9" s="8">
        <f t="shared" si="13"/>
        <v>59.24242424</v>
      </c>
      <c r="BR9" s="8">
        <f t="shared" si="14"/>
        <v>0.277601318</v>
      </c>
    </row>
    <row r="10">
      <c r="A10" s="3">
        <v>9.0</v>
      </c>
      <c r="B10" s="1" t="s">
        <v>38</v>
      </c>
      <c r="C10" s="6">
        <f>countif('6B'!$L$2:$L$627, C$1)</f>
        <v>7</v>
      </c>
      <c r="D10" s="6">
        <f>countif('6B'!$L$2:$L$627, D$1)</f>
        <v>3</v>
      </c>
      <c r="E10" s="6">
        <f>countif('6B'!$L$2:$L$627, E$1)</f>
        <v>2</v>
      </c>
      <c r="F10" s="6">
        <f>countif('6B'!$L$2:$L$627, F$1)</f>
        <v>2</v>
      </c>
      <c r="G10" s="6">
        <f>countif('6B'!$L$2:$L$627, G$1)</f>
        <v>0</v>
      </c>
      <c r="H10" s="6">
        <f>countif('6B'!$L$2:$L$627, H$1)</f>
        <v>0</v>
      </c>
      <c r="I10" s="6">
        <f>countif('6B'!$L$2:$L$627, I$1)</f>
        <v>7</v>
      </c>
      <c r="J10" s="6">
        <f t="shared" si="4"/>
        <v>21</v>
      </c>
      <c r="K10" s="7">
        <f t="shared" si="5"/>
        <v>3.619047619</v>
      </c>
      <c r="N10" s="6">
        <f>countifs('6B'!$L$2:$L$627, N$1, '6B'!$B$2:$B$627, "&gt;"&amp;$L$2, '6B'!$B$2:$B$627, "&lt;"&amp;$M$2)</f>
        <v>0</v>
      </c>
      <c r="O10" s="6">
        <f>countifs('6B'!$L$2:$L$627, O$1, '6B'!$B$2:$B$627, "&gt;"&amp;$L$2, '6B'!$B$2:$B$627, "&lt;"&amp;$M$2)</f>
        <v>0</v>
      </c>
      <c r="P10" s="6">
        <f>countifs('6B'!$L$2:$L$627, P$1, '6B'!$B$2:$B$627, "&gt;"&amp;$L$2, '6B'!$B$2:$B$627, "&lt;"&amp;$M$2)</f>
        <v>0</v>
      </c>
      <c r="Q10" s="6">
        <f>countifs('6B'!$L$2:$L$627, Q$1, '6B'!$B$2:$B$627, "&gt;"&amp;$L$2, '6B'!$B$2:$B$627, "&lt;"&amp;$M$2)</f>
        <v>0</v>
      </c>
      <c r="R10" s="6">
        <f>countifs('6B'!$L$2:$L$627, R$1, '6B'!$B$2:$B$627, "&gt;"&amp;$L$2, '6B'!$B$2:$B$627, "&lt;"&amp;$M$2)</f>
        <v>0</v>
      </c>
      <c r="S10" s="6">
        <f>countifs('6B'!$L$2:$L$627, S$1, '6B'!$B$2:$B$627, "&gt;"&amp;$L$2, '6B'!$B$2:$B$627, "&lt;"&amp;$M$2)</f>
        <v>0</v>
      </c>
      <c r="T10" s="6">
        <f>countifs('6B'!$L$2:$L$627, T$1, '6B'!$B$2:$B$627, "&gt;"&amp;$L$2, '6B'!$B$2:$B$627, "&lt;"&amp;$M$2)</f>
        <v>0</v>
      </c>
      <c r="U10" s="6">
        <f>countifs('6B'!$L$2:$L$627, U$1, '6B'!$B$2:$B$627, "&gt;"&amp;$L$3, '6B'!$B$2:$B$627, "&lt;"&amp;$M$3)</f>
        <v>0</v>
      </c>
      <c r="V10" s="6">
        <f>countifs('6B'!$L$2:$L$627, V$1, '6B'!$B$2:$B$627, "&gt;"&amp;$L$3, '6B'!$B$2:$B$627, "&lt;"&amp;$M$3)</f>
        <v>0</v>
      </c>
      <c r="W10" s="6">
        <f>countifs('6B'!$L$2:$L$627, W$1, '6B'!$B$2:$B$627, "&gt;"&amp;$L$3, '6B'!$B$2:$B$627, "&lt;"&amp;$M$3)</f>
        <v>0</v>
      </c>
      <c r="X10" s="6">
        <f>countifs('6B'!$L$2:$L$627, X$1, '6B'!$B$2:$B$627, "&gt;"&amp;$L$3, '6B'!$B$2:$B$627, "&lt;"&amp;$M$3)</f>
        <v>0</v>
      </c>
      <c r="Y10" s="6">
        <f>countifs('6B'!$L$2:$L$627, Y$1, '6B'!$B$2:$B$627, "&gt;"&amp;$L$3, '6B'!$B$2:$B$627, "&lt;"&amp;$M$3)</f>
        <v>0</v>
      </c>
      <c r="Z10" s="6">
        <f>countifs('6B'!$L$2:$L$627, Z$1, '6B'!$B$2:$B$627, "&gt;"&amp;$L$3, '6B'!$B$2:$B$627, "&lt;"&amp;$M$3)</f>
        <v>0</v>
      </c>
      <c r="AA10" s="6">
        <f>countifs('6B'!$L$2:$L$627, AA$1, '6B'!$B$2:$B$627, "&gt;"&amp;$L$3, '6B'!$B$2:$B$627, "&lt;"&amp;$M$3)</f>
        <v>0</v>
      </c>
      <c r="AB10" s="6">
        <f>countifs('6B'!$L$2:$L$627, AB$1, '6B'!$B$2:$B$627, "&gt;"&amp;$L$4, '6B'!$B$2:$B$627, "&lt;"&amp;$M$4)</f>
        <v>0</v>
      </c>
      <c r="AC10" s="6">
        <f>countifs('6B'!$L$2:$L$627, AC$1, '6B'!$B$2:$B$627, "&gt;"&amp;$L$4, '6B'!$B$2:$B$627, "&lt;"&amp;$M$4)</f>
        <v>0</v>
      </c>
      <c r="AD10" s="6">
        <f>countifs('6B'!$L$2:$L$627, AD$1, '6B'!$B$2:$B$627, "&gt;"&amp;$L$4, '6B'!$B$2:$B$627, "&lt;"&amp;$M$4)</f>
        <v>0</v>
      </c>
      <c r="AE10" s="6">
        <f>countifs('6B'!$L$2:$L$627, AE$1, '6B'!$B$2:$B$627, "&gt;"&amp;$L$4, '6B'!$B$2:$B$627, "&lt;"&amp;$M$4)</f>
        <v>0</v>
      </c>
      <c r="AF10" s="6">
        <f>countifs('6B'!$L$2:$L$627, AF$1, '6B'!$B$2:$B$627, "&gt;"&amp;$L$4, '6B'!$B$2:$B$627, "&lt;"&amp;$M$4)</f>
        <v>0</v>
      </c>
      <c r="AG10" s="6">
        <f>countifs('6B'!$L$2:$L$627, AG$1, '6B'!$B$2:$B$627, "&gt;"&amp;$L$4, '6B'!$B$2:$B$627, "&lt;"&amp;$M$4)</f>
        <v>0</v>
      </c>
      <c r="AH10" s="6">
        <f>countifs('6B'!$L$2:$L$627, AH$1, '6B'!$B$2:$B$627, "&gt;"&amp;$L$4, '6B'!$B$2:$B$627, "&lt;"&amp;$M$4)</f>
        <v>0</v>
      </c>
      <c r="AI10" s="3">
        <v>5.0</v>
      </c>
      <c r="AJ10" s="3">
        <v>2.0</v>
      </c>
      <c r="AK10" s="3">
        <v>1.0</v>
      </c>
      <c r="AL10" s="7" t="str">
        <f>IFERROR(__xludf.DUMMYFUNCTION("AVERAGE.WEIGHTED($N$1:$T$1, N10:T10)"),"#DIV/0!")</f>
        <v>#DIV/0!</v>
      </c>
      <c r="AM10" s="7" t="str">
        <f>IFERROR(__xludf.DUMMYFUNCTION("AVERAGE.WEIGHTED($U$1:$AA$1, U10:AA10)"),"#DIV/0!")</f>
        <v>#DIV/0!</v>
      </c>
      <c r="AN10" s="13" t="str">
        <f>IFERROR(__xludf.DUMMYFUNCTION("AVERAGE.WEIGHTED($AB$1:$AH$1, AB10:AH10)"),"#DIV/0!")</f>
        <v>#DIV/0!</v>
      </c>
      <c r="AO10" s="7" t="str">
        <f t="shared" ref="AO10:AQ10" si="33">(AL10-1)*100/6</f>
        <v>#DIV/0!</v>
      </c>
      <c r="AP10" s="7" t="str">
        <f t="shared" si="33"/>
        <v>#DIV/0!</v>
      </c>
      <c r="AQ10" s="7" t="str">
        <f t="shared" si="33"/>
        <v>#DIV/0!</v>
      </c>
      <c r="AR10" s="6" t="str">
        <f t="shared" ref="AR10:AT10" si="34">Average($AO10:$AQ10)</f>
        <v>#DIV/0!</v>
      </c>
      <c r="AS10" s="6" t="str">
        <f t="shared" si="34"/>
        <v>#DIV/0!</v>
      </c>
      <c r="AT10" s="6" t="str">
        <f t="shared" si="34"/>
        <v>#DIV/0!</v>
      </c>
      <c r="AU10" s="8" t="str">
        <f t="shared" si="8"/>
        <v>#DIV/0!</v>
      </c>
      <c r="AV10" s="9">
        <f>countifs('6B'!$L$2:$L$542, AV$1, '6B'!$C$2:$C$542, "Karl")</f>
        <v>3</v>
      </c>
      <c r="AW10" s="9">
        <f>countifs('6B'!$L$2:$L$542, AW$1, '6B'!$C$2:$C$542, "Karl")</f>
        <v>2</v>
      </c>
      <c r="AX10" s="9">
        <f>countifs('6B'!$L$2:$L$542, AX$1, '6B'!$C$2:$C$542, "Karl")</f>
        <v>1</v>
      </c>
      <c r="AY10" s="9">
        <f>countifs('6B'!$L$2:$L$542, AY$1, '6B'!$C$2:$C$542, "Karl")</f>
        <v>2</v>
      </c>
      <c r="AZ10" s="9">
        <f>countifs('6B'!$L$2:$L$542, AZ$1, '6B'!$C$2:$C$542, "Karl")</f>
        <v>0</v>
      </c>
      <c r="BA10" s="9">
        <f>countifs('6B'!$L$2:$L$542, BA$1, '6B'!$C$2:$C$542, "Karl")</f>
        <v>0</v>
      </c>
      <c r="BB10" s="9">
        <f>countifs('6B'!$L$2:$L$542, BB$1, '6B'!$C$2:$C$542, "Karl")</f>
        <v>2</v>
      </c>
      <c r="BC10" s="9">
        <f>countifs('6B'!$L$2:$L$542, BC$1, '6B'!$C$2:$C$542, "Kona")</f>
        <v>4</v>
      </c>
      <c r="BD10" s="9">
        <f>countifs('6B'!$L$2:$L$542, BD$1, '6B'!$C$2:$C$542, "Kona")</f>
        <v>1</v>
      </c>
      <c r="BE10" s="9">
        <f>countifs('6B'!$L$2:$L$542, BE$1, '6B'!$C$2:$C$542, "Kona")</f>
        <v>1</v>
      </c>
      <c r="BF10" s="9">
        <f>countifs('6B'!$L$2:$L$542, BF$1, '6B'!$C$2:$C$542, "Kona")</f>
        <v>0</v>
      </c>
      <c r="BG10" s="9">
        <f>countifs('6B'!$L$2:$L$542, BG$1, '6B'!$C$2:$C$542, "Kona")</f>
        <v>0</v>
      </c>
      <c r="BH10" s="9">
        <f>countifs('6B'!$L$2:$L$542, BH$1, '6B'!$C$2:$C$542, "Kona")</f>
        <v>0</v>
      </c>
      <c r="BI10" s="9">
        <f>countifs('6B'!$L$2:$L$542, BI$1, '6B'!$C$2:$C$542, "Kona")</f>
        <v>5</v>
      </c>
      <c r="BJ10" s="9">
        <f t="shared" si="9"/>
        <v>10</v>
      </c>
      <c r="BK10" s="9">
        <f t="shared" si="10"/>
        <v>11</v>
      </c>
      <c r="BL10" s="7">
        <f>IFERROR(__xludf.DUMMYFUNCTION("AVERAGE.WEIGHTED($AV$1:$BB$1,AV10:BB10)"),3.2)</f>
        <v>3.2</v>
      </c>
      <c r="BM10" s="7">
        <f>IFERROR(__xludf.DUMMYFUNCTION("AVERAGE.WEIGHTED($BC$1:$BI$1,BC10:BI10)"),4.0)</f>
        <v>4</v>
      </c>
      <c r="BN10" s="7">
        <f t="shared" ref="BN10:BO10" si="35">(BL10-1)*100/6</f>
        <v>36.66666667</v>
      </c>
      <c r="BO10" s="7">
        <f t="shared" si="35"/>
        <v>50</v>
      </c>
      <c r="BP10" s="8">
        <f t="shared" si="12"/>
        <v>43.33333333</v>
      </c>
      <c r="BQ10" s="8">
        <f t="shared" si="13"/>
        <v>43.33333333</v>
      </c>
      <c r="BR10" s="8">
        <f t="shared" si="14"/>
        <v>0.1520780808</v>
      </c>
    </row>
    <row r="11">
      <c r="A11" s="3">
        <v>10.0</v>
      </c>
      <c r="B11" s="1" t="s">
        <v>39</v>
      </c>
      <c r="C11" s="6">
        <f>countif('6B'!$M$2:$M$627, C$1)</f>
        <v>6</v>
      </c>
      <c r="D11" s="6">
        <f>countif('6B'!$M$2:$M$627, D$1)</f>
        <v>4</v>
      </c>
      <c r="E11" s="6">
        <f>countif('6B'!$M$2:$M$627, E$1)</f>
        <v>2</v>
      </c>
      <c r="F11" s="6">
        <f>countif('6B'!$M$2:$M$627, F$1)</f>
        <v>1</v>
      </c>
      <c r="G11" s="6">
        <f>countif('6B'!$M$2:$M$627, G$1)</f>
        <v>1</v>
      </c>
      <c r="H11" s="6">
        <f>countif('6B'!$M$2:$M$627, H$1)</f>
        <v>3</v>
      </c>
      <c r="I11" s="6">
        <f>countif('6B'!$M$2:$M$627, I$1)</f>
        <v>4</v>
      </c>
      <c r="J11" s="6">
        <f t="shared" si="4"/>
        <v>21</v>
      </c>
      <c r="K11" s="7">
        <f t="shared" si="5"/>
        <v>3.571428571</v>
      </c>
      <c r="N11" s="6">
        <f>countifs('6B'!$M$2:$M$627, N$1, '6B'!$B$2:$B$627, "&gt;"&amp;$L$2, '6B'!$B$2:$B$627, "&lt;"&amp;$M$2)</f>
        <v>0</v>
      </c>
      <c r="O11" s="6">
        <f>countifs('6B'!$M$2:$M$627, O$1, '6B'!$B$2:$B$627, "&gt;"&amp;$L$2, '6B'!$B$2:$B$627, "&lt;"&amp;$M$2)</f>
        <v>0</v>
      </c>
      <c r="P11" s="6">
        <f>countifs('6B'!$M$2:$M$627, P$1, '6B'!$B$2:$B$627, "&gt;"&amp;$L$2, '6B'!$B$2:$B$627, "&lt;"&amp;$M$2)</f>
        <v>0</v>
      </c>
      <c r="Q11" s="6">
        <f>countifs('6B'!$M$2:$M$627, Q$1, '6B'!$B$2:$B$627, "&gt;"&amp;$L$2, '6B'!$B$2:$B$627, "&lt;"&amp;$M$2)</f>
        <v>0</v>
      </c>
      <c r="R11" s="6">
        <f>countifs('6B'!$M$2:$M$627, R$1, '6B'!$B$2:$B$627, "&gt;"&amp;$L$2, '6B'!$B$2:$B$627, "&lt;"&amp;$M$2)</f>
        <v>0</v>
      </c>
      <c r="S11" s="6">
        <f>countifs('6B'!$M$2:$M$627, S$1, '6B'!$B$2:$B$627, "&gt;"&amp;$L$2, '6B'!$B$2:$B$627, "&lt;"&amp;$M$2)</f>
        <v>0</v>
      </c>
      <c r="T11" s="6">
        <f>countifs('6B'!$M$2:$M$627, T$1, '6B'!$B$2:$B$627, "&gt;"&amp;$L$2, '6B'!$B$2:$B$627, "&lt;"&amp;$M$2)</f>
        <v>0</v>
      </c>
      <c r="U11" s="6">
        <f>countifs('6B'!$M$2:$M$627, U$1, '6B'!$B$2:$B$627, "&gt;"&amp;$L$3, '6B'!$B$2:$B$627, "&lt;"&amp;$M$3)</f>
        <v>0</v>
      </c>
      <c r="V11" s="6">
        <f>countifs('6B'!$M$2:$M$627, V$1, '6B'!$B$2:$B$627, "&gt;"&amp;$L$3, '6B'!$B$2:$B$627, "&lt;"&amp;$M$3)</f>
        <v>0</v>
      </c>
      <c r="W11" s="6">
        <f>countifs('6B'!$M$2:$M$627, W$1, '6B'!$B$2:$B$627, "&gt;"&amp;$L$3, '6B'!$B$2:$B$627, "&lt;"&amp;$M$3)</f>
        <v>0</v>
      </c>
      <c r="X11" s="6">
        <f>countifs('6B'!$M$2:$M$627, X$1, '6B'!$B$2:$B$627, "&gt;"&amp;$L$3, '6B'!$B$2:$B$627, "&lt;"&amp;$M$3)</f>
        <v>0</v>
      </c>
      <c r="Y11" s="6">
        <f>countifs('6B'!$M$2:$M$627, Y$1, '6B'!$B$2:$B$627, "&gt;"&amp;$L$3, '6B'!$B$2:$B$627, "&lt;"&amp;$M$3)</f>
        <v>0</v>
      </c>
      <c r="Z11" s="6">
        <f>countifs('6B'!$M$2:$M$627, Z$1, '6B'!$B$2:$B$627, "&gt;"&amp;$L$3, '6B'!$B$2:$B$627, "&lt;"&amp;$M$3)</f>
        <v>0</v>
      </c>
      <c r="AA11" s="6">
        <f>countifs('6B'!$M$2:$M$627, AA$1, '6B'!$B$2:$B$627, "&gt;"&amp;$L$3, '6B'!$B$2:$B$627, "&lt;"&amp;$M$3)</f>
        <v>0</v>
      </c>
      <c r="AB11" s="6">
        <f>countifs('6B'!$M$2:$M$627, AB$1, '6B'!$B$2:$B$627, "&gt;"&amp;$L$4, '6B'!$B$2:$B$627, "&lt;"&amp;$M$4)</f>
        <v>0</v>
      </c>
      <c r="AC11" s="6">
        <f>countifs('6B'!$M$2:$M$627, AC$1, '6B'!$B$2:$B$627, "&gt;"&amp;$L$4, '6B'!$B$2:$B$627, "&lt;"&amp;$M$4)</f>
        <v>0</v>
      </c>
      <c r="AD11" s="6">
        <f>countifs('6B'!$M$2:$M$627, AD$1, '6B'!$B$2:$B$627, "&gt;"&amp;$L$4, '6B'!$B$2:$B$627, "&lt;"&amp;$M$4)</f>
        <v>0</v>
      </c>
      <c r="AE11" s="6">
        <f>countifs('6B'!$M$2:$M$627, AE$1, '6B'!$B$2:$B$627, "&gt;"&amp;$L$4, '6B'!$B$2:$B$627, "&lt;"&amp;$M$4)</f>
        <v>0</v>
      </c>
      <c r="AF11" s="6">
        <f>countifs('6B'!$M$2:$M$627, AF$1, '6B'!$B$2:$B$627, "&gt;"&amp;$L$4, '6B'!$B$2:$B$627, "&lt;"&amp;$M$4)</f>
        <v>0</v>
      </c>
      <c r="AG11" s="6">
        <f>countifs('6B'!$M$2:$M$627, AG$1, '6B'!$B$2:$B$627, "&gt;"&amp;$L$4, '6B'!$B$2:$B$627, "&lt;"&amp;$M$4)</f>
        <v>0</v>
      </c>
      <c r="AH11" s="6">
        <f>countifs('6B'!$M$2:$M$627, AH$1, '6B'!$B$2:$B$627, "&gt;"&amp;$L$4, '6B'!$B$2:$B$627, "&lt;"&amp;$M$4)</f>
        <v>0</v>
      </c>
      <c r="AI11" s="3">
        <v>5.0</v>
      </c>
      <c r="AJ11" s="3">
        <v>2.0</v>
      </c>
      <c r="AK11" s="3">
        <v>1.0</v>
      </c>
      <c r="AL11" s="7" t="str">
        <f>IFERROR(__xludf.DUMMYFUNCTION("AVERAGE.WEIGHTED($N$1:$T$1, N11:T11)"),"#DIV/0!")</f>
        <v>#DIV/0!</v>
      </c>
      <c r="AM11" s="7" t="str">
        <f>IFERROR(__xludf.DUMMYFUNCTION("AVERAGE.WEIGHTED($U$1:$AA$1, U11:AA11)"),"#DIV/0!")</f>
        <v>#DIV/0!</v>
      </c>
      <c r="AN11" s="13" t="str">
        <f>IFERROR(__xludf.DUMMYFUNCTION("AVERAGE.WEIGHTED($AB$1:$AH$1, AB11:AH11)"),"#DIV/0!")</f>
        <v>#DIV/0!</v>
      </c>
      <c r="AO11" s="7" t="str">
        <f t="shared" ref="AO11:AQ11" si="36">(AL11-1)*100/6</f>
        <v>#DIV/0!</v>
      </c>
      <c r="AP11" s="7" t="str">
        <f t="shared" si="36"/>
        <v>#DIV/0!</v>
      </c>
      <c r="AQ11" s="7" t="str">
        <f t="shared" si="36"/>
        <v>#DIV/0!</v>
      </c>
      <c r="AR11" s="6" t="str">
        <f t="shared" ref="AR11:AT11" si="37">Average($AO11:$AQ11)</f>
        <v>#DIV/0!</v>
      </c>
      <c r="AS11" s="6" t="str">
        <f t="shared" si="37"/>
        <v>#DIV/0!</v>
      </c>
      <c r="AT11" s="6" t="str">
        <f t="shared" si="37"/>
        <v>#DIV/0!</v>
      </c>
      <c r="AU11" s="8" t="str">
        <f t="shared" si="8"/>
        <v>#DIV/0!</v>
      </c>
      <c r="AV11" s="9">
        <f>countifs('6B'!$M$2:$M$542, AV$1, '6B'!$C$2:$C$542, "Karl")</f>
        <v>2</v>
      </c>
      <c r="AW11" s="9">
        <f>countifs('6B'!$M$2:$M$542, AW$1, '6B'!$C$2:$C$542, "Karl")</f>
        <v>4</v>
      </c>
      <c r="AX11" s="9">
        <f>countifs('6B'!$M$2:$M$542, AX$1, '6B'!$C$2:$C$542, "Karl")</f>
        <v>0</v>
      </c>
      <c r="AY11" s="9">
        <f>countifs('6B'!$M$2:$M$542, AY$1, '6B'!$C$2:$C$542, "Karl")</f>
        <v>1</v>
      </c>
      <c r="AZ11" s="9">
        <f>countifs('6B'!$M$2:$M$542, AZ$1, '6B'!$C$2:$C$542, "Karl")</f>
        <v>1</v>
      </c>
      <c r="BA11" s="9">
        <f>countifs('6B'!$M$2:$M$542, BA$1, '6B'!$C$2:$C$542, "Karl")</f>
        <v>1</v>
      </c>
      <c r="BB11" s="9">
        <f>countifs('6B'!$M$2:$M$542, BB$1, '6B'!$C$2:$C$542, "Karl")</f>
        <v>1</v>
      </c>
      <c r="BC11" s="9">
        <f>countifs('6B'!$M$2:$M$542, BC$1, '6B'!$C$2:$C$542, "Kona")</f>
        <v>4</v>
      </c>
      <c r="BD11" s="9">
        <f>countifs('6B'!$M$2:$M$542, BD$1, '6B'!$C$2:$C$542, "Kona")</f>
        <v>0</v>
      </c>
      <c r="BE11" s="9">
        <f>countifs('6B'!$M$2:$M$542, BE$1, '6B'!$C$2:$C$542, "Kona")</f>
        <v>2</v>
      </c>
      <c r="BF11" s="9">
        <f>countifs('6B'!$M$2:$M$542, BF$1, '6B'!$C$2:$C$542, "Kona")</f>
        <v>0</v>
      </c>
      <c r="BG11" s="9">
        <f>countifs('6B'!$M$2:$M$542, BG$1, '6B'!$C$2:$C$542, "Kona")</f>
        <v>0</v>
      </c>
      <c r="BH11" s="9">
        <f>countifs('6B'!$M$2:$M$542, BH$1, '6B'!$C$2:$C$542, "Kona")</f>
        <v>2</v>
      </c>
      <c r="BI11" s="9">
        <f>countifs('6B'!$M$2:$M$542, BI$1, '6B'!$C$2:$C$542, "Kona")</f>
        <v>3</v>
      </c>
      <c r="BJ11" s="9">
        <f t="shared" si="9"/>
        <v>10</v>
      </c>
      <c r="BK11" s="9">
        <f t="shared" si="10"/>
        <v>11</v>
      </c>
      <c r="BL11" s="7">
        <f>IFERROR(__xludf.DUMMYFUNCTION("AVERAGE.WEIGHTED($AV$1:$BB$1,AV11:BB11)"),3.1999999999999997)</f>
        <v>3.2</v>
      </c>
      <c r="BM11" s="7">
        <f>IFERROR(__xludf.DUMMYFUNCTION("AVERAGE.WEIGHTED($BC$1:$BI$1,BC11:BI11)"),3.909090909090909)</f>
        <v>3.909090909</v>
      </c>
      <c r="BN11" s="7">
        <f t="shared" ref="BN11:BO11" si="38">(BL11-1)*100/6</f>
        <v>36.66666667</v>
      </c>
      <c r="BO11" s="7">
        <f t="shared" si="38"/>
        <v>48.48484848</v>
      </c>
      <c r="BP11" s="8">
        <f t="shared" si="12"/>
        <v>42.57575758</v>
      </c>
      <c r="BQ11" s="8">
        <f t="shared" si="13"/>
        <v>42.57575758</v>
      </c>
      <c r="BR11" s="8">
        <f t="shared" si="14"/>
        <v>0.2002917364</v>
      </c>
    </row>
    <row r="12">
      <c r="A12" s="3">
        <v>11.0</v>
      </c>
      <c r="B12" s="1" t="s">
        <v>40</v>
      </c>
      <c r="C12" s="6">
        <f>countif('6B'!$N$2:$N$627, C$1)</f>
        <v>4</v>
      </c>
      <c r="D12" s="6">
        <f>countif('6B'!$N$2:$N$627, D$1)</f>
        <v>1</v>
      </c>
      <c r="E12" s="6">
        <f>countif('6B'!$N$2:$N$627, E$1)</f>
        <v>1</v>
      </c>
      <c r="F12" s="6">
        <f>countif('6B'!$N$2:$N$627, F$1)</f>
        <v>0</v>
      </c>
      <c r="G12" s="6">
        <f>countif('6B'!$N$2:$N$627, G$1)</f>
        <v>2</v>
      </c>
      <c r="H12" s="6">
        <f>countif('6B'!$N$2:$N$627, H$1)</f>
        <v>4</v>
      </c>
      <c r="I12" s="6">
        <f>countif('6B'!$N$2:$N$627, I$1)</f>
        <v>9</v>
      </c>
      <c r="J12" s="6">
        <f t="shared" si="4"/>
        <v>21</v>
      </c>
      <c r="K12" s="7">
        <f t="shared" si="5"/>
        <v>5.047619048</v>
      </c>
      <c r="N12" s="6">
        <f>countifs('6B'!$N$2:$N$627, N$1, '6B'!$B$2:$B$627, "&gt;"&amp;$L$2, '6B'!$B$2:$B$627, "&lt;"&amp;$M$2)</f>
        <v>0</v>
      </c>
      <c r="O12" s="6">
        <f>countifs('6B'!$N$2:$N$627, O$1, '6B'!$B$2:$B$627, "&gt;"&amp;$L$2, '6B'!$B$2:$B$627, "&lt;"&amp;$M$2)</f>
        <v>0</v>
      </c>
      <c r="P12" s="6">
        <f>countifs('6B'!$N$2:$N$627, P$1, '6B'!$B$2:$B$627, "&gt;"&amp;$L$2, '6B'!$B$2:$B$627, "&lt;"&amp;$M$2)</f>
        <v>0</v>
      </c>
      <c r="Q12" s="6">
        <f>countifs('6B'!$N$2:$N$627, Q$1, '6B'!$B$2:$B$627, "&gt;"&amp;$L$2, '6B'!$B$2:$B$627, "&lt;"&amp;$M$2)</f>
        <v>0</v>
      </c>
      <c r="R12" s="6">
        <f>countifs('6B'!$N$2:$N$627, R$1, '6B'!$B$2:$B$627, "&gt;"&amp;$L$2, '6B'!$B$2:$B$627, "&lt;"&amp;$M$2)</f>
        <v>0</v>
      </c>
      <c r="S12" s="6">
        <f>countifs('6B'!$N$2:$N$627, S$1, '6B'!$B$2:$B$627, "&gt;"&amp;$L$2, '6B'!$B$2:$B$627, "&lt;"&amp;$M$2)</f>
        <v>0</v>
      </c>
      <c r="T12" s="6">
        <f>countifs('6B'!$N$2:$N$627, T$1, '6B'!$B$2:$B$627, "&gt;"&amp;$L$2, '6B'!$B$2:$B$627, "&lt;"&amp;$M$2)</f>
        <v>0</v>
      </c>
      <c r="U12" s="6">
        <f>countifs('6B'!$N$2:$N$627, U$1, '6B'!$B$2:$B$627, "&gt;"&amp;$L$3, '6B'!$B$2:$B$627, "&lt;"&amp;$M$3)</f>
        <v>0</v>
      </c>
      <c r="V12" s="6">
        <f>countifs('6B'!$N$2:$N$627, V$1, '6B'!$B$2:$B$627, "&gt;"&amp;$L$3, '6B'!$B$2:$B$627, "&lt;"&amp;$M$3)</f>
        <v>0</v>
      </c>
      <c r="W12" s="6">
        <f>countifs('6B'!$N$2:$N$627, W$1, '6B'!$B$2:$B$627, "&gt;"&amp;$L$3, '6B'!$B$2:$B$627, "&lt;"&amp;$M$3)</f>
        <v>0</v>
      </c>
      <c r="X12" s="6">
        <f>countifs('6B'!$N$2:$N$627, X$1, '6B'!$B$2:$B$627, "&gt;"&amp;$L$3, '6B'!$B$2:$B$627, "&lt;"&amp;$M$3)</f>
        <v>0</v>
      </c>
      <c r="Y12" s="6">
        <f>countifs('6B'!$N$2:$N$627, Y$1, '6B'!$B$2:$B$627, "&gt;"&amp;$L$3, '6B'!$B$2:$B$627, "&lt;"&amp;$M$3)</f>
        <v>0</v>
      </c>
      <c r="Z12" s="6">
        <f>countifs('6B'!$N$2:$N$627, Z$1, '6B'!$B$2:$B$627, "&gt;"&amp;$L$3, '6B'!$B$2:$B$627, "&lt;"&amp;$M$3)</f>
        <v>0</v>
      </c>
      <c r="AA12" s="6">
        <f>countifs('6B'!$N$2:$N$627, AA$1, '6B'!$B$2:$B$627, "&gt;"&amp;$L$3, '6B'!$B$2:$B$627, "&lt;"&amp;$M$3)</f>
        <v>0</v>
      </c>
      <c r="AB12" s="6">
        <f>countifs('6B'!$N$2:$N$627, AB$1, '6B'!$B$2:$B$627, "&gt;"&amp;$L$4, '6B'!$B$2:$B$627, "&lt;"&amp;$M$4)</f>
        <v>0</v>
      </c>
      <c r="AC12" s="6">
        <f>countifs('6B'!$N$2:$N$627, AC$1, '6B'!$B$2:$B$627, "&gt;"&amp;$L$4, '6B'!$B$2:$B$627, "&lt;"&amp;$M$4)</f>
        <v>0</v>
      </c>
      <c r="AD12" s="6">
        <f>countifs('6B'!$N$2:$N$627, AD$1, '6B'!$B$2:$B$627, "&gt;"&amp;$L$4, '6B'!$B$2:$B$627, "&lt;"&amp;$M$4)</f>
        <v>0</v>
      </c>
      <c r="AE12" s="6">
        <f>countifs('6B'!$N$2:$N$627, AE$1, '6B'!$B$2:$B$627, "&gt;"&amp;$L$4, '6B'!$B$2:$B$627, "&lt;"&amp;$M$4)</f>
        <v>0</v>
      </c>
      <c r="AF12" s="6">
        <f>countifs('6B'!$N$2:$N$627, AF$1, '6B'!$B$2:$B$627, "&gt;"&amp;$L$4, '6B'!$B$2:$B$627, "&lt;"&amp;$M$4)</f>
        <v>0</v>
      </c>
      <c r="AG12" s="6">
        <f>countifs('6B'!$N$2:$N$627, AG$1, '6B'!$B$2:$B$627, "&gt;"&amp;$L$4, '6B'!$B$2:$B$627, "&lt;"&amp;$M$4)</f>
        <v>0</v>
      </c>
      <c r="AH12" s="6">
        <f>countifs('6B'!$N$2:$N$627, AH$1, '6B'!$B$2:$B$627, "&gt;"&amp;$L$4, '6B'!$B$2:$B$627, "&lt;"&amp;$M$4)</f>
        <v>0</v>
      </c>
      <c r="AI12" s="3">
        <v>5.0</v>
      </c>
      <c r="AJ12" s="3">
        <v>2.0</v>
      </c>
      <c r="AK12" s="3">
        <v>1.0</v>
      </c>
      <c r="AL12" s="7" t="str">
        <f>IFERROR(__xludf.DUMMYFUNCTION("AVERAGE.WEIGHTED($N$1:$T$1, N12:T12)"),"#DIV/0!")</f>
        <v>#DIV/0!</v>
      </c>
      <c r="AM12" s="7" t="str">
        <f>IFERROR(__xludf.DUMMYFUNCTION("AVERAGE.WEIGHTED($U$1:$AA$1, U12:AA12)"),"#DIV/0!")</f>
        <v>#DIV/0!</v>
      </c>
      <c r="AN12" s="13" t="str">
        <f>IFERROR(__xludf.DUMMYFUNCTION("AVERAGE.WEIGHTED($AB$1:$AH$1, AB12:AH12)"),"#DIV/0!")</f>
        <v>#DIV/0!</v>
      </c>
      <c r="AO12" s="7" t="str">
        <f t="shared" ref="AO12:AQ12" si="39">(AL12-1)*100/6</f>
        <v>#DIV/0!</v>
      </c>
      <c r="AP12" s="7" t="str">
        <f t="shared" si="39"/>
        <v>#DIV/0!</v>
      </c>
      <c r="AQ12" s="7" t="str">
        <f t="shared" si="39"/>
        <v>#DIV/0!</v>
      </c>
      <c r="AR12" s="6" t="str">
        <f t="shared" ref="AR12:AT12" si="40">Average($AO12:$AQ12)</f>
        <v>#DIV/0!</v>
      </c>
      <c r="AS12" s="6" t="str">
        <f t="shared" si="40"/>
        <v>#DIV/0!</v>
      </c>
      <c r="AT12" s="6" t="str">
        <f t="shared" si="40"/>
        <v>#DIV/0!</v>
      </c>
      <c r="AU12" s="8" t="str">
        <f t="shared" si="8"/>
        <v>#DIV/0!</v>
      </c>
      <c r="AV12" s="9">
        <f>countifs('6B'!$N$2:$N$542, AV$1, '6B'!$C$2:$C$542, "Karl")</f>
        <v>4</v>
      </c>
      <c r="AW12" s="9">
        <f>countifs('6B'!$N$2:$N$542, AW$1, '6B'!$C$2:$C$542, "Karl")</f>
        <v>0</v>
      </c>
      <c r="AX12" s="9">
        <f>countifs('6B'!$N$2:$N$542, AX$1, '6B'!$C$2:$C$542, "Karl")</f>
        <v>0</v>
      </c>
      <c r="AY12" s="9">
        <f>countifs('6B'!$N$2:$N$542, AY$1, '6B'!$C$2:$C$542, "Karl")</f>
        <v>0</v>
      </c>
      <c r="AZ12" s="9">
        <f>countifs('6B'!$N$2:$N$542, AZ$1, '6B'!$C$2:$C$542, "Karl")</f>
        <v>1</v>
      </c>
      <c r="BA12" s="9">
        <f>countifs('6B'!$N$2:$N$542, BA$1, '6B'!$C$2:$C$542, "Karl")</f>
        <v>2</v>
      </c>
      <c r="BB12" s="9">
        <f>countifs('6B'!$N$2:$N$542, BB$1, '6B'!$C$2:$C$542, "Karl")</f>
        <v>3</v>
      </c>
      <c r="BC12" s="9">
        <f>countifs('6B'!$N$2:$N$542, BC$1, '6B'!$C$2:$C$542, "Kona")</f>
        <v>0</v>
      </c>
      <c r="BD12" s="9">
        <f>countifs('6B'!$N$2:$N$542, BD$1, '6B'!$C$2:$C$542, "Kona")</f>
        <v>1</v>
      </c>
      <c r="BE12" s="9">
        <f>countifs('6B'!$N$2:$N$542, BE$1, '6B'!$C$2:$C$542, "Kona")</f>
        <v>1</v>
      </c>
      <c r="BF12" s="9">
        <f>countifs('6B'!$N$2:$N$542, BF$1, '6B'!$C$2:$C$542, "Kona")</f>
        <v>0</v>
      </c>
      <c r="BG12" s="9">
        <f>countifs('6B'!$N$2:$N$542, BG$1, '6B'!$C$2:$C$542, "Kona")</f>
        <v>1</v>
      </c>
      <c r="BH12" s="9">
        <f>countifs('6B'!$N$2:$N$542, BH$1, '6B'!$C$2:$C$542, "Kona")</f>
        <v>2</v>
      </c>
      <c r="BI12" s="9">
        <f>countifs('6B'!$N$2:$N$542, BI$1, '6B'!$C$2:$C$542, "Kona")</f>
        <v>6</v>
      </c>
      <c r="BJ12" s="9">
        <f t="shared" si="9"/>
        <v>10</v>
      </c>
      <c r="BK12" s="9">
        <f t="shared" si="10"/>
        <v>11</v>
      </c>
      <c r="BL12" s="7">
        <f>IFERROR(__xludf.DUMMYFUNCTION("AVERAGE.WEIGHTED($AV$1:$BB$1,AV12:BB12)"),4.2)</f>
        <v>4.2</v>
      </c>
      <c r="BM12" s="7">
        <f>IFERROR(__xludf.DUMMYFUNCTION("AVERAGE.WEIGHTED($BC$1:$BI$1,BC12:BI12)"),5.818181818181818)</f>
        <v>5.818181818</v>
      </c>
      <c r="BN12" s="7">
        <f t="shared" ref="BN12:BO12" si="41">(BL12-1)*100/6</f>
        <v>53.33333333</v>
      </c>
      <c r="BO12" s="7">
        <f t="shared" si="41"/>
        <v>80.3030303</v>
      </c>
      <c r="BP12" s="8">
        <f t="shared" si="12"/>
        <v>66.81818182</v>
      </c>
      <c r="BQ12" s="8">
        <f t="shared" si="13"/>
        <v>66.81818182</v>
      </c>
      <c r="BR12" s="8">
        <f t="shared" si="14"/>
        <v>0.01964842637</v>
      </c>
    </row>
    <row r="13">
      <c r="A13" s="3">
        <v>12.0</v>
      </c>
      <c r="B13" s="1" t="s">
        <v>41</v>
      </c>
      <c r="C13" s="6">
        <f>countif('6B'!$O$2:$O$627, C$1)</f>
        <v>18</v>
      </c>
      <c r="D13" s="6">
        <f>countif('6B'!$O$2:$O$627, D$1)</f>
        <v>1</v>
      </c>
      <c r="E13" s="6">
        <f>countif('6B'!$O$2:$O$627, E$1)</f>
        <v>1</v>
      </c>
      <c r="F13" s="6">
        <f>countif('6B'!$O$2:$O$627, F$1)</f>
        <v>0</v>
      </c>
      <c r="G13" s="6">
        <f>countif('6B'!$O$2:$O$627, G$1)</f>
        <v>0</v>
      </c>
      <c r="H13" s="6">
        <f>countif('6B'!$O$2:$O$627, H$1)</f>
        <v>1</v>
      </c>
      <c r="I13" s="6">
        <f>countif('6B'!$O$2:$O$627, I$1)</f>
        <v>0</v>
      </c>
      <c r="J13" s="6">
        <f t="shared" si="4"/>
        <v>21</v>
      </c>
      <c r="K13" s="7">
        <f t="shared" si="5"/>
        <v>1.380952381</v>
      </c>
      <c r="N13" s="6">
        <f>countifs('6B'!$O$2:$O$627, N$1, '6B'!$B$2:$B$627, "&gt;"&amp;$L$2, '6B'!$B$2:$B$627, "&lt;"&amp;$M$2)</f>
        <v>0</v>
      </c>
      <c r="O13" s="6">
        <f>countifs('6B'!$O$2:$O$627, O$1, '6B'!$B$2:$B$627, "&gt;"&amp;$L$2, '6B'!$B$2:$B$627, "&lt;"&amp;$M$2)</f>
        <v>0</v>
      </c>
      <c r="P13" s="6">
        <f>countifs('6B'!$O$2:$O$627, P$1, '6B'!$B$2:$B$627, "&gt;"&amp;$L$2, '6B'!$B$2:$B$627, "&lt;"&amp;$M$2)</f>
        <v>0</v>
      </c>
      <c r="Q13" s="6">
        <f>countifs('6B'!$O$2:$O$627, Q$1, '6B'!$B$2:$B$627, "&gt;"&amp;$L$2, '6B'!$B$2:$B$627, "&lt;"&amp;$M$2)</f>
        <v>0</v>
      </c>
      <c r="R13" s="6">
        <f>countifs('6B'!$O$2:$O$627, R$1, '6B'!$B$2:$B$627, "&gt;"&amp;$L$2, '6B'!$B$2:$B$627, "&lt;"&amp;$M$2)</f>
        <v>0</v>
      </c>
      <c r="S13" s="6">
        <f>countifs('6B'!$O$2:$O$627, S$1, '6B'!$B$2:$B$627, "&gt;"&amp;$L$2, '6B'!$B$2:$B$627, "&lt;"&amp;$M$2)</f>
        <v>0</v>
      </c>
      <c r="T13" s="6">
        <f>countifs('6B'!$O$2:$O$627, T$1, '6B'!$B$2:$B$627, "&gt;"&amp;$L$2, '6B'!$B$2:$B$627, "&lt;"&amp;$M$2)</f>
        <v>0</v>
      </c>
      <c r="U13" s="6">
        <f>countifs('6B'!$O$2:$O$627, U$1, '6B'!$B$2:$B$627, "&gt;"&amp;$L$3, '6B'!$B$2:$B$627, "&lt;"&amp;$M$3)</f>
        <v>0</v>
      </c>
      <c r="V13" s="6">
        <f>countifs('6B'!$O$2:$O$627, V$1, '6B'!$B$2:$B$627, "&gt;"&amp;$L$3, '6B'!$B$2:$B$627, "&lt;"&amp;$M$3)</f>
        <v>0</v>
      </c>
      <c r="W13" s="6">
        <f>countifs('6B'!$O$2:$O$627, W$1, '6B'!$B$2:$B$627, "&gt;"&amp;$L$3, '6B'!$B$2:$B$627, "&lt;"&amp;$M$3)</f>
        <v>0</v>
      </c>
      <c r="X13" s="6">
        <f>countifs('6B'!$O$2:$O$627, X$1, '6B'!$B$2:$B$627, "&gt;"&amp;$L$3, '6B'!$B$2:$B$627, "&lt;"&amp;$M$3)</f>
        <v>0</v>
      </c>
      <c r="Y13" s="6">
        <f>countifs('6B'!$O$2:$O$627, Y$1, '6B'!$B$2:$B$627, "&gt;"&amp;$L$3, '6B'!$B$2:$B$627, "&lt;"&amp;$M$3)</f>
        <v>0</v>
      </c>
      <c r="Z13" s="6">
        <f>countifs('6B'!$O$2:$O$627, Z$1, '6B'!$B$2:$B$627, "&gt;"&amp;$L$3, '6B'!$B$2:$B$627, "&lt;"&amp;$M$3)</f>
        <v>0</v>
      </c>
      <c r="AA13" s="6">
        <f>countifs('6B'!$O$2:$O$627, AA$1, '6B'!$B$2:$B$627, "&gt;"&amp;$L$3, '6B'!$B$2:$B$627, "&lt;"&amp;$M$3)</f>
        <v>0</v>
      </c>
      <c r="AB13" s="6">
        <f>countifs('6B'!$O$2:$O$627, AB$1, '6B'!$B$2:$B$627, "&gt;"&amp;$L$4, '6B'!$B$2:$B$627, "&lt;"&amp;$M$4)</f>
        <v>0</v>
      </c>
      <c r="AC13" s="6">
        <f>countifs('6B'!$O$2:$O$627, AC$1, '6B'!$B$2:$B$627, "&gt;"&amp;$L$4, '6B'!$B$2:$B$627, "&lt;"&amp;$M$4)</f>
        <v>0</v>
      </c>
      <c r="AD13" s="6">
        <f>countifs('6B'!$O$2:$O$627, AD$1, '6B'!$B$2:$B$627, "&gt;"&amp;$L$4, '6B'!$B$2:$B$627, "&lt;"&amp;$M$4)</f>
        <v>0</v>
      </c>
      <c r="AE13" s="6">
        <f>countifs('6B'!$O$2:$O$627, AE$1, '6B'!$B$2:$B$627, "&gt;"&amp;$L$4, '6B'!$B$2:$B$627, "&lt;"&amp;$M$4)</f>
        <v>0</v>
      </c>
      <c r="AF13" s="6">
        <f>countifs('6B'!$O$2:$O$627, AF$1, '6B'!$B$2:$B$627, "&gt;"&amp;$L$4, '6B'!$B$2:$B$627, "&lt;"&amp;$M$4)</f>
        <v>0</v>
      </c>
      <c r="AG13" s="6">
        <f>countifs('6B'!$O$2:$O$627, AG$1, '6B'!$B$2:$B$627, "&gt;"&amp;$L$4, '6B'!$B$2:$B$627, "&lt;"&amp;$M$4)</f>
        <v>0</v>
      </c>
      <c r="AH13" s="6">
        <f>countifs('6B'!$O$2:$O$627, AH$1, '6B'!$B$2:$B$627, "&gt;"&amp;$L$4, '6B'!$B$2:$B$627, "&lt;"&amp;$M$4)</f>
        <v>0</v>
      </c>
      <c r="AI13" s="3">
        <v>5.0</v>
      </c>
      <c r="AJ13" s="3">
        <v>2.0</v>
      </c>
      <c r="AK13" s="3">
        <v>1.0</v>
      </c>
      <c r="AL13" s="7" t="str">
        <f>IFERROR(__xludf.DUMMYFUNCTION("AVERAGE.WEIGHTED($N$1:$T$1, N13:T13)"),"#DIV/0!")</f>
        <v>#DIV/0!</v>
      </c>
      <c r="AM13" s="7" t="str">
        <f>IFERROR(__xludf.DUMMYFUNCTION("AVERAGE.WEIGHTED($U$1:$AA$1, U13:AA13)"),"#DIV/0!")</f>
        <v>#DIV/0!</v>
      </c>
      <c r="AN13" s="13" t="str">
        <f>IFERROR(__xludf.DUMMYFUNCTION("AVERAGE.WEIGHTED($AB$1:$AH$1, AB13:AH13)"),"#DIV/0!")</f>
        <v>#DIV/0!</v>
      </c>
      <c r="AO13" s="7" t="str">
        <f t="shared" ref="AO13:AQ13" si="42">(AL13-1)*100/6</f>
        <v>#DIV/0!</v>
      </c>
      <c r="AP13" s="7" t="str">
        <f t="shared" si="42"/>
        <v>#DIV/0!</v>
      </c>
      <c r="AQ13" s="7" t="str">
        <f t="shared" si="42"/>
        <v>#DIV/0!</v>
      </c>
      <c r="AR13" s="6" t="str">
        <f t="shared" ref="AR13:AT13" si="43">Average($AO13:$AQ13)</f>
        <v>#DIV/0!</v>
      </c>
      <c r="AS13" s="6" t="str">
        <f t="shared" si="43"/>
        <v>#DIV/0!</v>
      </c>
      <c r="AT13" s="6" t="str">
        <f t="shared" si="43"/>
        <v>#DIV/0!</v>
      </c>
      <c r="AU13" s="8" t="str">
        <f t="shared" si="8"/>
        <v>#DIV/0!</v>
      </c>
      <c r="AV13" s="9">
        <f>countifs('6B'!$O$2:$O$542, AV$1, '6B'!$C$2:$C$542, "Karl")</f>
        <v>7</v>
      </c>
      <c r="AW13" s="9">
        <f>countifs('6B'!$O$2:$O$542, AW$1, '6B'!$C$2:$C$542, "Karl")</f>
        <v>1</v>
      </c>
      <c r="AX13" s="9">
        <f>countifs('6B'!$O$2:$O$542, AX$1, '6B'!$C$2:$C$542, "Karl")</f>
        <v>1</v>
      </c>
      <c r="AY13" s="9">
        <f>countifs('6B'!$O$2:$O$542, AY$1, '6B'!$C$2:$C$542, "Karl")</f>
        <v>0</v>
      </c>
      <c r="AZ13" s="9">
        <f>countifs('6B'!$O$2:$O$542, AZ$1, '6B'!$C$2:$C$542, "Karl")</f>
        <v>0</v>
      </c>
      <c r="BA13" s="9">
        <f>countifs('6B'!$O$2:$O$542, BA$1, '6B'!$C$2:$C$542, "Karl")</f>
        <v>1</v>
      </c>
      <c r="BB13" s="9">
        <f>countifs('6B'!$O$2:$O$542, BB$1, '6B'!$C$2:$C$542, "Karl")</f>
        <v>0</v>
      </c>
      <c r="BC13" s="9">
        <f>countifs('6B'!$O$2:$O$542, BC$1, '6B'!$C$2:$C$542, "Kona")</f>
        <v>11</v>
      </c>
      <c r="BD13" s="9">
        <f>countifs('6B'!$O$2:$O$542, BD$1, '6B'!$C$2:$C$542, "Kona")</f>
        <v>0</v>
      </c>
      <c r="BE13" s="9">
        <f>countifs('6B'!$O$2:$O$542, BE$1, '6B'!$C$2:$C$542, "Kona")</f>
        <v>0</v>
      </c>
      <c r="BF13" s="9">
        <f>countifs('6B'!$O$2:$O$542, BF$1, '6B'!$C$2:$C$542, "Kona")</f>
        <v>0</v>
      </c>
      <c r="BG13" s="9">
        <f>countifs('6B'!$O$2:$O$542, BG$1, '6B'!$C$2:$C$542, "Kona")</f>
        <v>0</v>
      </c>
      <c r="BH13" s="9">
        <f>countifs('6B'!$O$2:$O$542, BH$1, '6B'!$C$2:$C$542, "Kona")</f>
        <v>0</v>
      </c>
      <c r="BI13" s="9">
        <f>countifs('6B'!$O$2:$O$542, BI$1, '6B'!$C$2:$C$542, "Kona")</f>
        <v>0</v>
      </c>
      <c r="BJ13" s="9">
        <f t="shared" si="9"/>
        <v>10</v>
      </c>
      <c r="BK13" s="9">
        <f t="shared" si="10"/>
        <v>11</v>
      </c>
      <c r="BL13" s="7">
        <f>IFERROR(__xludf.DUMMYFUNCTION("AVERAGE.WEIGHTED($AV$1:$BB$1,AV13:BB13)"),1.8)</f>
        <v>1.8</v>
      </c>
      <c r="BM13" s="7">
        <f>IFERROR(__xludf.DUMMYFUNCTION("AVERAGE.WEIGHTED($BC$1:$BI$1,BC13:BI13)"),1.0)</f>
        <v>1</v>
      </c>
      <c r="BN13" s="7">
        <f t="shared" ref="BN13:BO13" si="44">(BL13-1)*100/6</f>
        <v>13.33333333</v>
      </c>
      <c r="BO13" s="7">
        <f t="shared" si="44"/>
        <v>0</v>
      </c>
      <c r="BP13" s="8">
        <f t="shared" si="12"/>
        <v>6.666666667</v>
      </c>
      <c r="BQ13" s="8">
        <f t="shared" si="13"/>
        <v>6.666666667</v>
      </c>
      <c r="BR13" s="8">
        <f t="shared" si="14"/>
        <v>0.0002607296329</v>
      </c>
    </row>
    <row r="14">
      <c r="A14" s="3">
        <v>13.0</v>
      </c>
      <c r="B14" s="1" t="s">
        <v>15</v>
      </c>
      <c r="C14" s="6">
        <f>countif('6B'!$P$2:$P$627, C$1)</f>
        <v>9</v>
      </c>
      <c r="D14" s="6">
        <f>countif('6B'!$P$2:$P$627, D$1)</f>
        <v>2</v>
      </c>
      <c r="E14" s="6">
        <f>countif('6B'!$P$2:$P$627, E$1)</f>
        <v>1</v>
      </c>
      <c r="F14" s="6">
        <f>countif('6B'!$P$2:$P$627, F$1)</f>
        <v>0</v>
      </c>
      <c r="G14" s="6">
        <f>countif('6B'!$P$2:$P$627, G$1)</f>
        <v>2</v>
      </c>
      <c r="H14" s="6">
        <f>countif('6B'!$P$2:$P$627, H$1)</f>
        <v>4</v>
      </c>
      <c r="I14" s="6">
        <f>countif('6B'!$P$2:$P$627, I$1)</f>
        <v>3</v>
      </c>
      <c r="J14" s="6">
        <f t="shared" si="4"/>
        <v>21</v>
      </c>
      <c r="K14" s="7">
        <f t="shared" si="5"/>
        <v>3.380952381</v>
      </c>
      <c r="N14" s="6">
        <f>countifs('6B'!$P$2:$P$627, N$1, '6B'!$B$2:$B$627, "&gt;"&amp;$L$2, '6B'!$B$2:$B$627, "&lt;"&amp;$M$2)</f>
        <v>0</v>
      </c>
      <c r="O14" s="6">
        <f>countifs('6B'!$P$2:$P$627, O$1, '6B'!$B$2:$B$627, "&gt;"&amp;$L$2, '6B'!$B$2:$B$627, "&lt;"&amp;$M$2)</f>
        <v>0</v>
      </c>
      <c r="P14" s="6">
        <f>countifs('6B'!$P$2:$P$627, P$1, '6B'!$B$2:$B$627, "&gt;"&amp;$L$2, '6B'!$B$2:$B$627, "&lt;"&amp;$M$2)</f>
        <v>0</v>
      </c>
      <c r="Q14" s="6">
        <f>countifs('6B'!$P$2:$P$627, Q$1, '6B'!$B$2:$B$627, "&gt;"&amp;$L$2, '6B'!$B$2:$B$627, "&lt;"&amp;$M$2)</f>
        <v>0</v>
      </c>
      <c r="R14" s="6">
        <f>countifs('6B'!$P$2:$P$627, R$1, '6B'!$B$2:$B$627, "&gt;"&amp;$L$2, '6B'!$B$2:$B$627, "&lt;"&amp;$M$2)</f>
        <v>0</v>
      </c>
      <c r="S14" s="6">
        <f>countifs('6B'!$P$2:$P$627, S$1, '6B'!$B$2:$B$627, "&gt;"&amp;$L$2, '6B'!$B$2:$B$627, "&lt;"&amp;$M$2)</f>
        <v>0</v>
      </c>
      <c r="T14" s="6">
        <f>countifs('6B'!$P$2:$P$627, T$1, '6B'!$B$2:$B$627, "&gt;"&amp;$L$2, '6B'!$B$2:$B$627, "&lt;"&amp;$M$2)</f>
        <v>0</v>
      </c>
      <c r="U14" s="6">
        <f>countifs('6B'!$P$2:$P$627, U$1, '6B'!$B$2:$B$627, "&gt;"&amp;$L$3, '6B'!$B$2:$B$627, "&lt;"&amp;$M$3)</f>
        <v>0</v>
      </c>
      <c r="V14" s="6">
        <f>countifs('6B'!$P$2:$P$627, V$1, '6B'!$B$2:$B$627, "&gt;"&amp;$L$3, '6B'!$B$2:$B$627, "&lt;"&amp;$M$3)</f>
        <v>0</v>
      </c>
      <c r="W14" s="6">
        <f>countifs('6B'!$P$2:$P$627, W$1, '6B'!$B$2:$B$627, "&gt;"&amp;$L$3, '6B'!$B$2:$B$627, "&lt;"&amp;$M$3)</f>
        <v>0</v>
      </c>
      <c r="X14" s="6">
        <f>countifs('6B'!$P$2:$P$627, X$1, '6B'!$B$2:$B$627, "&gt;"&amp;$L$3, '6B'!$B$2:$B$627, "&lt;"&amp;$M$3)</f>
        <v>0</v>
      </c>
      <c r="Y14" s="6">
        <f>countifs('6B'!$P$2:$P$627, Y$1, '6B'!$B$2:$B$627, "&gt;"&amp;$L$3, '6B'!$B$2:$B$627, "&lt;"&amp;$M$3)</f>
        <v>0</v>
      </c>
      <c r="Z14" s="6">
        <f>countifs('6B'!$P$2:$P$627, Z$1, '6B'!$B$2:$B$627, "&gt;"&amp;$L$3, '6B'!$B$2:$B$627, "&lt;"&amp;$M$3)</f>
        <v>0</v>
      </c>
      <c r="AA14" s="6">
        <f>countifs('6B'!$P$2:$P$627, AA$1, '6B'!$B$2:$B$627, "&gt;"&amp;$L$3, '6B'!$B$2:$B$627, "&lt;"&amp;$M$3)</f>
        <v>0</v>
      </c>
      <c r="AB14" s="6">
        <f>countifs('6B'!$P$2:$P$627, AB$1, '6B'!$B$2:$B$627, "&gt;"&amp;$L$4, '6B'!$B$2:$B$627, "&lt;"&amp;$M$4)</f>
        <v>0</v>
      </c>
      <c r="AC14" s="6">
        <f>countifs('6B'!$P$2:$P$627, AC$1, '6B'!$B$2:$B$627, "&gt;"&amp;$L$4, '6B'!$B$2:$B$627, "&lt;"&amp;$M$4)</f>
        <v>0</v>
      </c>
      <c r="AD14" s="6">
        <f>countifs('6B'!$P$2:$P$627, AD$1, '6B'!$B$2:$B$627, "&gt;"&amp;$L$4, '6B'!$B$2:$B$627, "&lt;"&amp;$M$4)</f>
        <v>0</v>
      </c>
      <c r="AE14" s="6">
        <f>countifs('6B'!$P$2:$P$627, AE$1, '6B'!$B$2:$B$627, "&gt;"&amp;$L$4, '6B'!$B$2:$B$627, "&lt;"&amp;$M$4)</f>
        <v>0</v>
      </c>
      <c r="AF14" s="6">
        <f>countifs('6B'!$P$2:$P$627, AF$1, '6B'!$B$2:$B$627, "&gt;"&amp;$L$4, '6B'!$B$2:$B$627, "&lt;"&amp;$M$4)</f>
        <v>0</v>
      </c>
      <c r="AG14" s="6">
        <f>countifs('6B'!$P$2:$P$627, AG$1, '6B'!$B$2:$B$627, "&gt;"&amp;$L$4, '6B'!$B$2:$B$627, "&lt;"&amp;$M$4)</f>
        <v>0</v>
      </c>
      <c r="AH14" s="6">
        <f>countifs('6B'!$P$2:$P$627, AH$1, '6B'!$B$2:$B$627, "&gt;"&amp;$L$4, '6B'!$B$2:$B$627, "&lt;"&amp;$M$4)</f>
        <v>0</v>
      </c>
      <c r="AI14" s="3">
        <v>5.0</v>
      </c>
      <c r="AJ14" s="3">
        <v>2.0</v>
      </c>
      <c r="AK14" s="3">
        <v>1.0</v>
      </c>
      <c r="AL14" s="7" t="str">
        <f>IFERROR(__xludf.DUMMYFUNCTION("AVERAGE.WEIGHTED($N$1:$T$1, N14:T14)"),"#DIV/0!")</f>
        <v>#DIV/0!</v>
      </c>
      <c r="AM14" s="7" t="str">
        <f>IFERROR(__xludf.DUMMYFUNCTION("AVERAGE.WEIGHTED($U$1:$AA$1, U14:AA14)"),"#DIV/0!")</f>
        <v>#DIV/0!</v>
      </c>
      <c r="AN14" s="13" t="str">
        <f>IFERROR(__xludf.DUMMYFUNCTION("AVERAGE.WEIGHTED($AB$1:$AH$1, AB14:AH14)"),"#DIV/0!")</f>
        <v>#DIV/0!</v>
      </c>
      <c r="AO14" s="7" t="str">
        <f t="shared" ref="AO14:AQ14" si="45">(AL14-1)*100/6</f>
        <v>#DIV/0!</v>
      </c>
      <c r="AP14" s="7" t="str">
        <f t="shared" si="45"/>
        <v>#DIV/0!</v>
      </c>
      <c r="AQ14" s="7" t="str">
        <f t="shared" si="45"/>
        <v>#DIV/0!</v>
      </c>
      <c r="AR14" s="6" t="str">
        <f t="shared" ref="AR14:AT14" si="46">Average($AO14:$AQ14)</f>
        <v>#DIV/0!</v>
      </c>
      <c r="AS14" s="6" t="str">
        <f t="shared" si="46"/>
        <v>#DIV/0!</v>
      </c>
      <c r="AT14" s="6" t="str">
        <f t="shared" si="46"/>
        <v>#DIV/0!</v>
      </c>
      <c r="AU14" s="8" t="str">
        <f t="shared" si="8"/>
        <v>#DIV/0!</v>
      </c>
      <c r="AV14" s="9">
        <f>countifs('6B'!$P$2:$P$542, AV$1, '6B'!$C$2:$C$542, "Karl")</f>
        <v>2</v>
      </c>
      <c r="AW14" s="9">
        <f>countifs('6B'!$P$2:$P$542, AW$1, '6B'!$C$2:$C$542, "Karl")</f>
        <v>1</v>
      </c>
      <c r="AX14" s="9">
        <f>countifs('6B'!$P$2:$P$542, AX$1, '6B'!$C$2:$C$542, "Karl")</f>
        <v>1</v>
      </c>
      <c r="AY14" s="9">
        <f>countifs('6B'!$P$2:$P$542, AY$1, '6B'!$C$2:$C$542, "Karl")</f>
        <v>0</v>
      </c>
      <c r="AZ14" s="9">
        <f>countifs('6B'!$P$2:$P$542, AZ$1, '6B'!$C$2:$C$542, "Karl")</f>
        <v>2</v>
      </c>
      <c r="BA14" s="9">
        <f>countifs('6B'!$P$2:$P$542, BA$1, '6B'!$C$2:$C$542, "Karl")</f>
        <v>2</v>
      </c>
      <c r="BB14" s="9">
        <f>countifs('6B'!$P$2:$P$542, BB$1, '6B'!$C$2:$C$542, "Karl")</f>
        <v>2</v>
      </c>
      <c r="BC14" s="9">
        <f>countifs('6B'!$P$2:$P$542, BC$1, '6B'!$C$2:$C$542, "Kona")</f>
        <v>7</v>
      </c>
      <c r="BD14" s="9">
        <f>countifs('6B'!$P$2:$P$542, BD$1, '6B'!$C$2:$C$542, "Kona")</f>
        <v>1</v>
      </c>
      <c r="BE14" s="9">
        <f>countifs('6B'!$P$2:$P$542, BE$1, '6B'!$C$2:$C$542, "Kona")</f>
        <v>0</v>
      </c>
      <c r="BF14" s="9">
        <f>countifs('6B'!$P$2:$P$542, BF$1, '6B'!$C$2:$C$542, "Kona")</f>
        <v>0</v>
      </c>
      <c r="BG14" s="9">
        <f>countifs('6B'!$P$2:$P$542, BG$1, '6B'!$C$2:$C$542, "Kona")</f>
        <v>0</v>
      </c>
      <c r="BH14" s="9">
        <f>countifs('6B'!$P$2:$P$542, BH$1, '6B'!$C$2:$C$542, "Kona")</f>
        <v>2</v>
      </c>
      <c r="BI14" s="9">
        <f>countifs('6B'!$P$2:$P$542, BI$1, '6B'!$C$2:$C$542, "Kona")</f>
        <v>1</v>
      </c>
      <c r="BJ14" s="9">
        <f t="shared" si="9"/>
        <v>10</v>
      </c>
      <c r="BK14" s="9">
        <f t="shared" si="10"/>
        <v>11</v>
      </c>
      <c r="BL14" s="7">
        <f>IFERROR(__xludf.DUMMYFUNCTION("AVERAGE.WEIGHTED($AV$1:$BB$1,AV14:BB14)"),4.3)</f>
        <v>4.3</v>
      </c>
      <c r="BM14" s="7">
        <f>IFERROR(__xludf.DUMMYFUNCTION("AVERAGE.WEIGHTED($BC$1:$BI$1,BC14:BI14)"),2.5454545454545454)</f>
        <v>2.545454545</v>
      </c>
      <c r="BN14" s="7">
        <f t="shared" ref="BN14:BO14" si="47">(BL14-1)*100/6</f>
        <v>55</v>
      </c>
      <c r="BO14" s="7">
        <f t="shared" si="47"/>
        <v>25.75757576</v>
      </c>
      <c r="BP14" s="8">
        <f t="shared" si="12"/>
        <v>40.37878788</v>
      </c>
      <c r="BQ14" s="8">
        <f t="shared" si="13"/>
        <v>40.37878788</v>
      </c>
      <c r="BR14" s="8">
        <f t="shared" si="14"/>
        <v>0.001137797107</v>
      </c>
    </row>
    <row r="15">
      <c r="A15" s="3">
        <v>14.0</v>
      </c>
      <c r="B15" s="1" t="s">
        <v>42</v>
      </c>
      <c r="C15" s="6">
        <f>countif('6B'!$Q$2:$Q$627, C$1)</f>
        <v>10</v>
      </c>
      <c r="D15" s="6">
        <f>countif('6B'!$Q$2:$Q$627, D$1)</f>
        <v>2</v>
      </c>
      <c r="E15" s="6">
        <f>countif('6B'!$Q$2:$Q$627, E$1)</f>
        <v>1</v>
      </c>
      <c r="F15" s="6">
        <f>countif('6B'!$Q$2:$Q$627, F$1)</f>
        <v>2</v>
      </c>
      <c r="G15" s="6">
        <f>countif('6B'!$Q$2:$Q$627, G$1)</f>
        <v>2</v>
      </c>
      <c r="H15" s="6">
        <f>countif('6B'!$Q$2:$Q$627, H$1)</f>
        <v>0</v>
      </c>
      <c r="I15" s="6">
        <f>countif('6B'!$Q$2:$Q$627, I$1)</f>
        <v>4</v>
      </c>
      <c r="J15" s="6">
        <f t="shared" si="4"/>
        <v>21</v>
      </c>
      <c r="K15" s="7">
        <f t="shared" si="5"/>
        <v>3</v>
      </c>
      <c r="N15" s="6">
        <f>countifs('6B'!$Q$2:$Q$627, N$1, '6B'!$B$2:$B$627, "&gt;"&amp;$L$2, '6B'!$B$2:$B$627, "&lt;"&amp;$M$2)</f>
        <v>0</v>
      </c>
      <c r="O15" s="6">
        <f>countifs('6B'!$Q$2:$Q$627, O$1, '6B'!$B$2:$B$627, "&gt;"&amp;$L$2, '6B'!$B$2:$B$627, "&lt;"&amp;$M$2)</f>
        <v>0</v>
      </c>
      <c r="P15" s="6">
        <f>countifs('6B'!$Q$2:$Q$627, P$1, '6B'!$B$2:$B$627, "&gt;"&amp;$L$2, '6B'!$B$2:$B$627, "&lt;"&amp;$M$2)</f>
        <v>0</v>
      </c>
      <c r="Q15" s="6">
        <f>countifs('6B'!$Q$2:$Q$627, Q$1, '6B'!$B$2:$B$627, "&gt;"&amp;$L$2, '6B'!$B$2:$B$627, "&lt;"&amp;$M$2)</f>
        <v>0</v>
      </c>
      <c r="R15" s="6">
        <f>countifs('6B'!$Q$2:$Q$627, R$1, '6B'!$B$2:$B$627, "&gt;"&amp;$L$2, '6B'!$B$2:$B$627, "&lt;"&amp;$M$2)</f>
        <v>0</v>
      </c>
      <c r="S15" s="6">
        <f>countifs('6B'!$Q$2:$Q$627, S$1, '6B'!$B$2:$B$627, "&gt;"&amp;$L$2, '6B'!$B$2:$B$627, "&lt;"&amp;$M$2)</f>
        <v>0</v>
      </c>
      <c r="T15" s="6">
        <f>countifs('6B'!$Q$2:$Q$627, T$1, '6B'!$B$2:$B$627, "&gt;"&amp;$L$2, '6B'!$B$2:$B$627, "&lt;"&amp;$M$2)</f>
        <v>0</v>
      </c>
      <c r="U15" s="6">
        <f>countifs('6B'!$Q$2:$Q$627, U$1, '6B'!$B$2:$B$627, "&gt;"&amp;$L$3, '6B'!$B$2:$B$627, "&lt;"&amp;$M$3)</f>
        <v>0</v>
      </c>
      <c r="V15" s="6">
        <f>countifs('6B'!$Q$2:$Q$627, V$1, '6B'!$B$2:$B$627, "&gt;"&amp;$L$3, '6B'!$B$2:$B$627, "&lt;"&amp;$M$3)</f>
        <v>0</v>
      </c>
      <c r="W15" s="6">
        <f>countifs('6B'!$Q$2:$Q$627, W$1, '6B'!$B$2:$B$627, "&gt;"&amp;$L$3, '6B'!$B$2:$B$627, "&lt;"&amp;$M$3)</f>
        <v>0</v>
      </c>
      <c r="X15" s="6">
        <f>countifs('6B'!$Q$2:$Q$627, X$1, '6B'!$B$2:$B$627, "&gt;"&amp;$L$3, '6B'!$B$2:$B$627, "&lt;"&amp;$M$3)</f>
        <v>0</v>
      </c>
      <c r="Y15" s="6">
        <f>countifs('6B'!$Q$2:$Q$627, Y$1, '6B'!$B$2:$B$627, "&gt;"&amp;$L$3, '6B'!$B$2:$B$627, "&lt;"&amp;$M$3)</f>
        <v>0</v>
      </c>
      <c r="Z15" s="6">
        <f>countifs('6B'!$Q$2:$Q$627, Z$1, '6B'!$B$2:$B$627, "&gt;"&amp;$L$3, '6B'!$B$2:$B$627, "&lt;"&amp;$M$3)</f>
        <v>0</v>
      </c>
      <c r="AA15" s="6">
        <f>countifs('6B'!$Q$2:$Q$627, AA$1, '6B'!$B$2:$B$627, "&gt;"&amp;$L$3, '6B'!$B$2:$B$627, "&lt;"&amp;$M$3)</f>
        <v>0</v>
      </c>
      <c r="AB15" s="6">
        <f>countifs('6B'!$Q$2:$Q$627, AB$1, '6B'!$B$2:$B$627, "&gt;"&amp;$L$4, '6B'!$B$2:$B$627, "&lt;"&amp;$M$4)</f>
        <v>0</v>
      </c>
      <c r="AC15" s="6">
        <f>countifs('6B'!$Q$2:$Q$627, AC$1, '6B'!$B$2:$B$627, "&gt;"&amp;$L$4, '6B'!$B$2:$B$627, "&lt;"&amp;$M$4)</f>
        <v>0</v>
      </c>
      <c r="AD15" s="6">
        <f>countifs('6B'!$Q$2:$Q$627, AD$1, '6B'!$B$2:$B$627, "&gt;"&amp;$L$4, '6B'!$B$2:$B$627, "&lt;"&amp;$M$4)</f>
        <v>0</v>
      </c>
      <c r="AE15" s="6">
        <f>countifs('6B'!$Q$2:$Q$627, AE$1, '6B'!$B$2:$B$627, "&gt;"&amp;$L$4, '6B'!$B$2:$B$627, "&lt;"&amp;$M$4)</f>
        <v>0</v>
      </c>
      <c r="AF15" s="6">
        <f>countifs('6B'!$Q$2:$Q$627, AF$1, '6B'!$B$2:$B$627, "&gt;"&amp;$L$4, '6B'!$B$2:$B$627, "&lt;"&amp;$M$4)</f>
        <v>0</v>
      </c>
      <c r="AG15" s="6">
        <f>countifs('6B'!$Q$2:$Q$627, AG$1, '6B'!$B$2:$B$627, "&gt;"&amp;$L$4, '6B'!$B$2:$B$627, "&lt;"&amp;$M$4)</f>
        <v>0</v>
      </c>
      <c r="AH15" s="6">
        <f>countifs('6B'!$Q$2:$Q$627, AH$1, '6B'!$B$2:$B$627, "&gt;"&amp;$L$4, '6B'!$B$2:$B$627, "&lt;"&amp;$M$4)</f>
        <v>0</v>
      </c>
      <c r="AI15" s="3">
        <v>5.0</v>
      </c>
      <c r="AJ15" s="3">
        <v>2.0</v>
      </c>
      <c r="AK15" s="3">
        <v>1.0</v>
      </c>
      <c r="AL15" s="7" t="str">
        <f>IFERROR(__xludf.DUMMYFUNCTION("AVERAGE.WEIGHTED($N$1:$T$1, N15:T15)"),"#DIV/0!")</f>
        <v>#DIV/0!</v>
      </c>
      <c r="AM15" s="7" t="str">
        <f>IFERROR(__xludf.DUMMYFUNCTION("AVERAGE.WEIGHTED($U$1:$AA$1, U15:AA15)"),"#DIV/0!")</f>
        <v>#DIV/0!</v>
      </c>
      <c r="AN15" s="13" t="str">
        <f>IFERROR(__xludf.DUMMYFUNCTION("AVERAGE.WEIGHTED($AB$1:$AH$1, AB15:AH15)"),"#DIV/0!")</f>
        <v>#DIV/0!</v>
      </c>
      <c r="AO15" s="7" t="str">
        <f t="shared" ref="AO15:AQ15" si="48">(AL15-1)*100/6</f>
        <v>#DIV/0!</v>
      </c>
      <c r="AP15" s="7" t="str">
        <f t="shared" si="48"/>
        <v>#DIV/0!</v>
      </c>
      <c r="AQ15" s="7" t="str">
        <f t="shared" si="48"/>
        <v>#DIV/0!</v>
      </c>
      <c r="AR15" s="6" t="str">
        <f t="shared" ref="AR15:AT15" si="49">Average($AO15:$AQ15)</f>
        <v>#DIV/0!</v>
      </c>
      <c r="AS15" s="6" t="str">
        <f t="shared" si="49"/>
        <v>#DIV/0!</v>
      </c>
      <c r="AT15" s="6" t="str">
        <f t="shared" si="49"/>
        <v>#DIV/0!</v>
      </c>
      <c r="AU15" s="8" t="str">
        <f t="shared" si="8"/>
        <v>#DIV/0!</v>
      </c>
      <c r="AV15" s="9">
        <f>countifs('6B'!$Q$2:$Q$542, AV$1, '6B'!$C$2:$C$542, "Karl")</f>
        <v>2</v>
      </c>
      <c r="AW15" s="9">
        <f>countifs('6B'!$Q$2:$Q$542, AW$1, '6B'!$C$2:$C$542, "Karl")</f>
        <v>1</v>
      </c>
      <c r="AX15" s="9">
        <f>countifs('6B'!$Q$2:$Q$542, AX$1, '6B'!$C$2:$C$542, "Karl")</f>
        <v>1</v>
      </c>
      <c r="AY15" s="9">
        <f>countifs('6B'!$Q$2:$Q$542, AY$1, '6B'!$C$2:$C$542, "Karl")</f>
        <v>2</v>
      </c>
      <c r="AZ15" s="9">
        <f>countifs('6B'!$Q$2:$Q$542, AZ$1, '6B'!$C$2:$C$542, "Karl")</f>
        <v>2</v>
      </c>
      <c r="BA15" s="9">
        <f>countifs('6B'!$Q$2:$Q$542, BA$1, '6B'!$C$2:$C$542, "Karl")</f>
        <v>0</v>
      </c>
      <c r="BB15" s="9">
        <f>countifs('6B'!$Q$2:$Q$542, BB$1, '6B'!$C$2:$C$542, "Karl")</f>
        <v>2</v>
      </c>
      <c r="BC15" s="9">
        <f>countifs('6B'!$Q$2:$Q$542, BC$1, '6B'!$C$2:$C$542, "Kona")</f>
        <v>8</v>
      </c>
      <c r="BD15" s="9">
        <f>countifs('6B'!$Q$2:$Q$542, BD$1, '6B'!$C$2:$C$542, "Kona")</f>
        <v>1</v>
      </c>
      <c r="BE15" s="9">
        <f>countifs('6B'!$Q$2:$Q$542, BE$1, '6B'!$C$2:$C$542, "Kona")</f>
        <v>0</v>
      </c>
      <c r="BF15" s="9">
        <f>countifs('6B'!$Q$2:$Q$542, BF$1, '6B'!$C$2:$C$542, "Kona")</f>
        <v>0</v>
      </c>
      <c r="BG15" s="9">
        <f>countifs('6B'!$Q$2:$Q$542, BG$1, '6B'!$C$2:$C$542, "Kona")</f>
        <v>0</v>
      </c>
      <c r="BH15" s="9">
        <f>countifs('6B'!$Q$2:$Q$542, BH$1, '6B'!$C$2:$C$542, "Kona")</f>
        <v>0</v>
      </c>
      <c r="BI15" s="9">
        <f>countifs('6B'!$Q$2:$Q$542, BI$1, '6B'!$C$2:$C$542, "Kona")</f>
        <v>2</v>
      </c>
      <c r="BJ15" s="9">
        <f t="shared" si="9"/>
        <v>10</v>
      </c>
      <c r="BK15" s="9">
        <f t="shared" si="10"/>
        <v>11</v>
      </c>
      <c r="BL15" s="7">
        <f>IFERROR(__xludf.DUMMYFUNCTION("AVERAGE.WEIGHTED($AV$1:$BB$1,AV15:BB15)"),3.9)</f>
        <v>3.9</v>
      </c>
      <c r="BM15" s="7">
        <f>IFERROR(__xludf.DUMMYFUNCTION("AVERAGE.WEIGHTED($BC$1:$BI$1,BC15:BI15)"),2.1818181818181817)</f>
        <v>2.181818182</v>
      </c>
      <c r="BN15" s="7">
        <f t="shared" ref="BN15:BO15" si="50">(BL15-1)*100/6</f>
        <v>48.33333333</v>
      </c>
      <c r="BO15" s="7">
        <f t="shared" si="50"/>
        <v>19.6969697</v>
      </c>
      <c r="BP15" s="8">
        <f t="shared" si="12"/>
        <v>34.01515152</v>
      </c>
      <c r="BQ15" s="8">
        <f t="shared" si="13"/>
        <v>34.01515152</v>
      </c>
      <c r="BR15" s="8">
        <f t="shared" si="14"/>
        <v>0.0005167971421</v>
      </c>
    </row>
    <row r="16">
      <c r="A16" s="3">
        <v>15.0</v>
      </c>
      <c r="B16" s="1" t="s">
        <v>43</v>
      </c>
      <c r="C16" s="6">
        <f>countif('6B'!$R$2:$R$627, C$1)</f>
        <v>0</v>
      </c>
      <c r="D16" s="6">
        <f>countif('6B'!$R$2:$R$627, D$1)</f>
        <v>1</v>
      </c>
      <c r="E16" s="6">
        <f>countif('6B'!$R$2:$R$627, E$1)</f>
        <v>0</v>
      </c>
      <c r="F16" s="6">
        <f>countif('6B'!$R$2:$R$627, F$1)</f>
        <v>0</v>
      </c>
      <c r="G16" s="6">
        <f>countif('6B'!$R$2:$R$627, G$1)</f>
        <v>1</v>
      </c>
      <c r="H16" s="6">
        <f>countif('6B'!$R$2:$R$627, H$1)</f>
        <v>1</v>
      </c>
      <c r="I16" s="6">
        <f>countif('6B'!$R$2:$R$627, I$1)</f>
        <v>18</v>
      </c>
      <c r="J16" s="6">
        <f t="shared" si="4"/>
        <v>21</v>
      </c>
      <c r="K16" s="7">
        <f t="shared" si="5"/>
        <v>6.619047619</v>
      </c>
      <c r="N16" s="6">
        <f>countifs('6B'!$R$2:$R$627, N$1, '6B'!$B$2:$B$627, "&gt;"&amp;$L$2, '6B'!$B$2:$B$627, "&lt;"&amp;$M$2)</f>
        <v>0</v>
      </c>
      <c r="O16" s="6">
        <f>countifs('6B'!$R$2:$R$627, O$1, '6B'!$B$2:$B$627, "&gt;"&amp;$L$2, '6B'!$B$2:$B$627, "&lt;"&amp;$M$2)</f>
        <v>0</v>
      </c>
      <c r="P16" s="6">
        <f>countifs('6B'!$R$2:$R$627, P$1, '6B'!$B$2:$B$627, "&gt;"&amp;$L$2, '6B'!$B$2:$B$627, "&lt;"&amp;$M$2)</f>
        <v>0</v>
      </c>
      <c r="Q16" s="6">
        <f>countifs('6B'!$R$2:$R$627, Q$1, '6B'!$B$2:$B$627, "&gt;"&amp;$L$2, '6B'!$B$2:$B$627, "&lt;"&amp;$M$2)</f>
        <v>0</v>
      </c>
      <c r="R16" s="6">
        <f>countifs('6B'!$R$2:$R$627, R$1, '6B'!$B$2:$B$627, "&gt;"&amp;$L$2, '6B'!$B$2:$B$627, "&lt;"&amp;$M$2)</f>
        <v>0</v>
      </c>
      <c r="S16" s="6">
        <f>countifs('6B'!$R$2:$R$627, S$1, '6B'!$B$2:$B$627, "&gt;"&amp;$L$2, '6B'!$B$2:$B$627, "&lt;"&amp;$M$2)</f>
        <v>0</v>
      </c>
      <c r="T16" s="6">
        <f>countifs('6B'!$R$2:$R$627, T$1, '6B'!$B$2:$B$627, "&gt;"&amp;$L$2, '6B'!$B$2:$B$627, "&lt;"&amp;$M$2)</f>
        <v>0</v>
      </c>
      <c r="U16" s="6">
        <f>countifs('6B'!$R$2:$R$627, U$1, '6B'!$B$2:$B$627, "&gt;"&amp;$L$3, '6B'!$B$2:$B$627, "&lt;"&amp;$M$3)</f>
        <v>0</v>
      </c>
      <c r="V16" s="6">
        <f>countifs('6B'!$R$2:$R$627, V$1, '6B'!$B$2:$B$627, "&gt;"&amp;$L$3, '6B'!$B$2:$B$627, "&lt;"&amp;$M$3)</f>
        <v>0</v>
      </c>
      <c r="W16" s="6">
        <f>countifs('6B'!$R$2:$R$627, W$1, '6B'!$B$2:$B$627, "&gt;"&amp;$L$3, '6B'!$B$2:$B$627, "&lt;"&amp;$M$3)</f>
        <v>0</v>
      </c>
      <c r="X16" s="6">
        <f>countifs('6B'!$R$2:$R$627, X$1, '6B'!$B$2:$B$627, "&gt;"&amp;$L$3, '6B'!$B$2:$B$627, "&lt;"&amp;$M$3)</f>
        <v>0</v>
      </c>
      <c r="Y16" s="6">
        <f>countifs('6B'!$R$2:$R$627, Y$1, '6B'!$B$2:$B$627, "&gt;"&amp;$L$3, '6B'!$B$2:$B$627, "&lt;"&amp;$M$3)</f>
        <v>0</v>
      </c>
      <c r="Z16" s="6">
        <f>countifs('6B'!$R$2:$R$627, Z$1, '6B'!$B$2:$B$627, "&gt;"&amp;$L$3, '6B'!$B$2:$B$627, "&lt;"&amp;$M$3)</f>
        <v>0</v>
      </c>
      <c r="AA16" s="6">
        <f>countifs('6B'!$R$2:$R$627, AA$1, '6B'!$B$2:$B$627, "&gt;"&amp;$L$3, '6B'!$B$2:$B$627, "&lt;"&amp;$M$3)</f>
        <v>0</v>
      </c>
      <c r="AB16" s="6">
        <f>countifs('6B'!$R$2:$R$627, AB$1, '6B'!$B$2:$B$627, "&gt;"&amp;$L$4, '6B'!$B$2:$B$627, "&lt;"&amp;$M$4)</f>
        <v>0</v>
      </c>
      <c r="AC16" s="6">
        <f>countifs('6B'!$R$2:$R$627, AC$1, '6B'!$B$2:$B$627, "&gt;"&amp;$L$4, '6B'!$B$2:$B$627, "&lt;"&amp;$M$4)</f>
        <v>0</v>
      </c>
      <c r="AD16" s="6">
        <f>countifs('6B'!$R$2:$R$627, AD$1, '6B'!$B$2:$B$627, "&gt;"&amp;$L$4, '6B'!$B$2:$B$627, "&lt;"&amp;$M$4)</f>
        <v>0</v>
      </c>
      <c r="AE16" s="6">
        <f>countifs('6B'!$R$2:$R$627, AE$1, '6B'!$B$2:$B$627, "&gt;"&amp;$L$4, '6B'!$B$2:$B$627, "&lt;"&amp;$M$4)</f>
        <v>0</v>
      </c>
      <c r="AF16" s="6">
        <f>countifs('6B'!$R$2:$R$627, AF$1, '6B'!$B$2:$B$627, "&gt;"&amp;$L$4, '6B'!$B$2:$B$627, "&lt;"&amp;$M$4)</f>
        <v>0</v>
      </c>
      <c r="AG16" s="6">
        <f>countifs('6B'!$R$2:$R$627, AG$1, '6B'!$B$2:$B$627, "&gt;"&amp;$L$4, '6B'!$B$2:$B$627, "&lt;"&amp;$M$4)</f>
        <v>0</v>
      </c>
      <c r="AH16" s="6">
        <f>countifs('6B'!$R$2:$R$627, AH$1, '6B'!$B$2:$B$627, "&gt;"&amp;$L$4, '6B'!$B$2:$B$627, "&lt;"&amp;$M$4)</f>
        <v>0</v>
      </c>
      <c r="AI16" s="3">
        <v>5.0</v>
      </c>
      <c r="AJ16" s="3">
        <v>2.0</v>
      </c>
      <c r="AK16" s="3">
        <v>1.0</v>
      </c>
      <c r="AL16" s="7" t="str">
        <f>IFERROR(__xludf.DUMMYFUNCTION("AVERAGE.WEIGHTED($N$1:$T$1, N16:T16)"),"#DIV/0!")</f>
        <v>#DIV/0!</v>
      </c>
      <c r="AM16" s="7" t="str">
        <f>IFERROR(__xludf.DUMMYFUNCTION("AVERAGE.WEIGHTED($U$1:$AA$1, U16:AA16)"),"#DIV/0!")</f>
        <v>#DIV/0!</v>
      </c>
      <c r="AN16" s="13" t="str">
        <f>IFERROR(__xludf.DUMMYFUNCTION("AVERAGE.WEIGHTED($AB$1:$AH$1, AB16:AH16)"),"#DIV/0!")</f>
        <v>#DIV/0!</v>
      </c>
      <c r="AO16" s="7" t="str">
        <f t="shared" ref="AO16:AQ16" si="51">(AL16-1)*100/6</f>
        <v>#DIV/0!</v>
      </c>
      <c r="AP16" s="7" t="str">
        <f t="shared" si="51"/>
        <v>#DIV/0!</v>
      </c>
      <c r="AQ16" s="7" t="str">
        <f t="shared" si="51"/>
        <v>#DIV/0!</v>
      </c>
      <c r="AR16" s="6" t="str">
        <f t="shared" ref="AR16:AT16" si="52">Average($AO16:$AQ16)</f>
        <v>#DIV/0!</v>
      </c>
      <c r="AS16" s="6" t="str">
        <f t="shared" si="52"/>
        <v>#DIV/0!</v>
      </c>
      <c r="AT16" s="6" t="str">
        <f t="shared" si="52"/>
        <v>#DIV/0!</v>
      </c>
      <c r="AU16" s="8" t="str">
        <f t="shared" si="8"/>
        <v>#DIV/0!</v>
      </c>
      <c r="AV16" s="9">
        <f>countifs('6B'!$R$2:$R$542, AV$1, '6B'!$C$2:$C$542, "Karl")</f>
        <v>0</v>
      </c>
      <c r="AW16" s="9">
        <f>countifs('6B'!$R$2:$R$542, AW$1, '6B'!$C$2:$C$542, "Karl")</f>
        <v>0</v>
      </c>
      <c r="AX16" s="9">
        <f>countifs('6B'!$R$2:$R$542, AX$1, '6B'!$C$2:$C$542, "Karl")</f>
        <v>0</v>
      </c>
      <c r="AY16" s="9">
        <f>countifs('6B'!$R$2:$R$542, AY$1, '6B'!$C$2:$C$542, "Karl")</f>
        <v>0</v>
      </c>
      <c r="AZ16" s="9">
        <f>countifs('6B'!$R$2:$R$542, AZ$1, '6B'!$C$2:$C$542, "Karl")</f>
        <v>1</v>
      </c>
      <c r="BA16" s="9">
        <f>countifs('6B'!$R$2:$R$542, BA$1, '6B'!$C$2:$C$542, "Karl")</f>
        <v>1</v>
      </c>
      <c r="BB16" s="9">
        <f>countifs('6B'!$R$2:$R$542, BB$1, '6B'!$C$2:$C$542, "Karl")</f>
        <v>8</v>
      </c>
      <c r="BC16" s="9">
        <f>countifs('6B'!$R$2:$R$542, BC$1, '6B'!$C$2:$C$542, "Kona")</f>
        <v>0</v>
      </c>
      <c r="BD16" s="9">
        <f>countifs('6B'!$R$2:$R$542, BD$1, '6B'!$C$2:$C$542, "Kona")</f>
        <v>1</v>
      </c>
      <c r="BE16" s="9">
        <f>countifs('6B'!$R$2:$R$542, BE$1, '6B'!$C$2:$C$542, "Kona")</f>
        <v>0</v>
      </c>
      <c r="BF16" s="9">
        <f>countifs('6B'!$R$2:$R$542, BF$1, '6B'!$C$2:$C$542, "Kona")</f>
        <v>0</v>
      </c>
      <c r="BG16" s="9">
        <f>countifs('6B'!$R$2:$R$542, BG$1, '6B'!$C$2:$C$542, "Kona")</f>
        <v>0</v>
      </c>
      <c r="BH16" s="9">
        <f>countifs('6B'!$R$2:$R$542, BH$1, '6B'!$C$2:$C$542, "Kona")</f>
        <v>0</v>
      </c>
      <c r="BI16" s="9">
        <f>countifs('6B'!$R$2:$R$542, BI$1, '6B'!$C$2:$C$542, "Kona")</f>
        <v>10</v>
      </c>
      <c r="BJ16" s="9">
        <f t="shared" si="9"/>
        <v>10</v>
      </c>
      <c r="BK16" s="9">
        <f t="shared" si="10"/>
        <v>11</v>
      </c>
      <c r="BL16" s="7">
        <f>IFERROR(__xludf.DUMMYFUNCTION("AVERAGE.WEIGHTED($AV$1:$BB$1,AV16:BB16)"),6.7)</f>
        <v>6.7</v>
      </c>
      <c r="BM16" s="7">
        <f>IFERROR(__xludf.DUMMYFUNCTION("AVERAGE.WEIGHTED($BC$1:$BI$1,BC16:BI16)"),6.545454545454546)</f>
        <v>6.545454545</v>
      </c>
      <c r="BN16" s="7">
        <f t="shared" ref="BN16:BO16" si="53">(BL16-1)*100/6</f>
        <v>95</v>
      </c>
      <c r="BO16" s="7">
        <f t="shared" si="53"/>
        <v>92.42424242</v>
      </c>
      <c r="BP16" s="8">
        <f t="shared" si="12"/>
        <v>93.71212121</v>
      </c>
      <c r="BQ16" s="8">
        <f t="shared" si="13"/>
        <v>93.71212121</v>
      </c>
      <c r="BR16" s="8">
        <f t="shared" si="14"/>
        <v>0.8507631822</v>
      </c>
    </row>
    <row r="17">
      <c r="A17" s="3">
        <v>16.0</v>
      </c>
      <c r="B17" s="1" t="s">
        <v>44</v>
      </c>
      <c r="C17" s="6">
        <f>countif('6B'!$S$2:$S$627, C$1)</f>
        <v>10</v>
      </c>
      <c r="D17" s="6">
        <f>countif('6B'!$S$2:$S$627, D$1)</f>
        <v>2</v>
      </c>
      <c r="E17" s="6">
        <f>countif('6B'!$S$2:$S$627, E$1)</f>
        <v>3</v>
      </c>
      <c r="F17" s="6">
        <f>countif('6B'!$S$2:$S$627, F$1)</f>
        <v>2</v>
      </c>
      <c r="G17" s="6">
        <f>countif('6B'!$S$2:$S$627, G$1)</f>
        <v>0</v>
      </c>
      <c r="H17" s="6">
        <f>countif('6B'!$S$2:$S$627, H$1)</f>
        <v>1</v>
      </c>
      <c r="I17" s="6">
        <f>countif('6B'!$S$2:$S$627, I$1)</f>
        <v>3</v>
      </c>
      <c r="J17" s="6">
        <f t="shared" si="4"/>
        <v>21</v>
      </c>
      <c r="K17" s="7">
        <f t="shared" si="5"/>
        <v>2.761904762</v>
      </c>
      <c r="N17" s="6">
        <f>countifs('6B'!$S$2:$S$627, N$1, '6B'!$B$2:$B$627, "&gt;"&amp;$L$2, '6B'!$B$2:$B$627, "&lt;"&amp;$M$2)</f>
        <v>0</v>
      </c>
      <c r="O17" s="6">
        <f>countifs('6B'!$S$2:$S$627, O$1, '6B'!$B$2:$B$627, "&gt;"&amp;$L$2, '6B'!$B$2:$B$627, "&lt;"&amp;$M$2)</f>
        <v>0</v>
      </c>
      <c r="P17" s="6">
        <f>countifs('6B'!$S$2:$S$627, P$1, '6B'!$B$2:$B$627, "&gt;"&amp;$L$2, '6B'!$B$2:$B$627, "&lt;"&amp;$M$2)</f>
        <v>0</v>
      </c>
      <c r="Q17" s="6">
        <f>countifs('6B'!$S$2:$S$627, Q$1, '6B'!$B$2:$B$627, "&gt;"&amp;$L$2, '6B'!$B$2:$B$627, "&lt;"&amp;$M$2)</f>
        <v>0</v>
      </c>
      <c r="R17" s="6">
        <f>countifs('6B'!$S$2:$S$627, R$1, '6B'!$B$2:$B$627, "&gt;"&amp;$L$2, '6B'!$B$2:$B$627, "&lt;"&amp;$M$2)</f>
        <v>0</v>
      </c>
      <c r="S17" s="6">
        <f>countifs('6B'!$S$2:$S$627, S$1, '6B'!$B$2:$B$627, "&gt;"&amp;$L$2, '6B'!$B$2:$B$627, "&lt;"&amp;$M$2)</f>
        <v>0</v>
      </c>
      <c r="T17" s="6">
        <f>countifs('6B'!$S$2:$S$627, T$1, '6B'!$B$2:$B$627, "&gt;"&amp;$L$2, '6B'!$B$2:$B$627, "&lt;"&amp;$M$2)</f>
        <v>0</v>
      </c>
      <c r="U17" s="6">
        <f>countifs('6B'!$S$2:$S$627, U$1, '6B'!$B$2:$B$627, "&gt;"&amp;$L$3, '6B'!$B$2:$B$627, "&lt;"&amp;$M$3)</f>
        <v>0</v>
      </c>
      <c r="V17" s="6">
        <f>countifs('6B'!$S$2:$S$627, V$1, '6B'!$B$2:$B$627, "&gt;"&amp;$L$3, '6B'!$B$2:$B$627, "&lt;"&amp;$M$3)</f>
        <v>0</v>
      </c>
      <c r="W17" s="6">
        <f>countifs('6B'!$S$2:$S$627, W$1, '6B'!$B$2:$B$627, "&gt;"&amp;$L$3, '6B'!$B$2:$B$627, "&lt;"&amp;$M$3)</f>
        <v>0</v>
      </c>
      <c r="X17" s="6">
        <f>countifs('6B'!$S$2:$S$627, X$1, '6B'!$B$2:$B$627, "&gt;"&amp;$L$3, '6B'!$B$2:$B$627, "&lt;"&amp;$M$3)</f>
        <v>0</v>
      </c>
      <c r="Y17" s="6">
        <f>countifs('6B'!$S$2:$S$627, Y$1, '6B'!$B$2:$B$627, "&gt;"&amp;$L$3, '6B'!$B$2:$B$627, "&lt;"&amp;$M$3)</f>
        <v>0</v>
      </c>
      <c r="Z17" s="6">
        <f>countifs('6B'!$S$2:$S$627, Z$1, '6B'!$B$2:$B$627, "&gt;"&amp;$L$3, '6B'!$B$2:$B$627, "&lt;"&amp;$M$3)</f>
        <v>0</v>
      </c>
      <c r="AA17" s="6">
        <f>countifs('6B'!$S$2:$S$627, AA$1, '6B'!$B$2:$B$627, "&gt;"&amp;$L$3, '6B'!$B$2:$B$627, "&lt;"&amp;$M$3)</f>
        <v>0</v>
      </c>
      <c r="AB17" s="6">
        <f>countifs('6B'!$S$2:$S$627, AB$1, '6B'!$B$2:$B$627, "&gt;"&amp;$L$4, '6B'!$B$2:$B$627, "&lt;"&amp;$M$4)</f>
        <v>0</v>
      </c>
      <c r="AC17" s="6">
        <f>countifs('6B'!$S$2:$S$627, AC$1, '6B'!$B$2:$B$627, "&gt;"&amp;$L$4, '6B'!$B$2:$B$627, "&lt;"&amp;$M$4)</f>
        <v>0</v>
      </c>
      <c r="AD17" s="6">
        <f>countifs('6B'!$S$2:$S$627, AD$1, '6B'!$B$2:$B$627, "&gt;"&amp;$L$4, '6B'!$B$2:$B$627, "&lt;"&amp;$M$4)</f>
        <v>0</v>
      </c>
      <c r="AE17" s="6">
        <f>countifs('6B'!$S$2:$S$627, AE$1, '6B'!$B$2:$B$627, "&gt;"&amp;$L$4, '6B'!$B$2:$B$627, "&lt;"&amp;$M$4)</f>
        <v>0</v>
      </c>
      <c r="AF17" s="6">
        <f>countifs('6B'!$S$2:$S$627, AF$1, '6B'!$B$2:$B$627, "&gt;"&amp;$L$4, '6B'!$B$2:$B$627, "&lt;"&amp;$M$4)</f>
        <v>0</v>
      </c>
      <c r="AG17" s="6">
        <f>countifs('6B'!$S$2:$S$627, AG$1, '6B'!$B$2:$B$627, "&gt;"&amp;$L$4, '6B'!$B$2:$B$627, "&lt;"&amp;$M$4)</f>
        <v>0</v>
      </c>
      <c r="AH17" s="6">
        <f>countifs('6B'!$S$2:$S$627, AH$1, '6B'!$B$2:$B$627, "&gt;"&amp;$L$4, '6B'!$B$2:$B$627, "&lt;"&amp;$M$4)</f>
        <v>0</v>
      </c>
      <c r="AI17" s="3">
        <v>5.0</v>
      </c>
      <c r="AJ17" s="3">
        <v>2.0</v>
      </c>
      <c r="AK17" s="3">
        <v>1.0</v>
      </c>
      <c r="AL17" s="7" t="str">
        <f>IFERROR(__xludf.DUMMYFUNCTION("AVERAGE.WEIGHTED($N$1:$T$1, N17:T17)"),"#DIV/0!")</f>
        <v>#DIV/0!</v>
      </c>
      <c r="AM17" s="7" t="str">
        <f>IFERROR(__xludf.DUMMYFUNCTION("AVERAGE.WEIGHTED($U$1:$AA$1, U17:AA17)"),"#DIV/0!")</f>
        <v>#DIV/0!</v>
      </c>
      <c r="AN17" s="13" t="str">
        <f>IFERROR(__xludf.DUMMYFUNCTION("AVERAGE.WEIGHTED($AB$1:$AH$1, AB17:AH17)"),"#DIV/0!")</f>
        <v>#DIV/0!</v>
      </c>
      <c r="AO17" s="7" t="str">
        <f t="shared" ref="AO17:AQ17" si="54">(AL17-1)*100/6</f>
        <v>#DIV/0!</v>
      </c>
      <c r="AP17" s="7" t="str">
        <f t="shared" si="54"/>
        <v>#DIV/0!</v>
      </c>
      <c r="AQ17" s="7" t="str">
        <f t="shared" si="54"/>
        <v>#DIV/0!</v>
      </c>
      <c r="AR17" s="6" t="str">
        <f t="shared" ref="AR17:AT17" si="55">Average($AO17:$AQ17)</f>
        <v>#DIV/0!</v>
      </c>
      <c r="AS17" s="6" t="str">
        <f t="shared" si="55"/>
        <v>#DIV/0!</v>
      </c>
      <c r="AT17" s="6" t="str">
        <f t="shared" si="55"/>
        <v>#DIV/0!</v>
      </c>
      <c r="AU17" s="8" t="str">
        <f t="shared" si="8"/>
        <v>#DIV/0!</v>
      </c>
      <c r="AV17" s="9">
        <f>countifs('6B'!$S$2:$S$542, AV$1, '6B'!$C$2:$C$542, "Karl")</f>
        <v>3</v>
      </c>
      <c r="AW17" s="9">
        <f>countifs('6B'!$S$2:$S$542, AW$1, '6B'!$C$2:$C$542, "Karl")</f>
        <v>2</v>
      </c>
      <c r="AX17" s="9">
        <f>countifs('6B'!$S$2:$S$542, AX$1, '6B'!$C$2:$C$542, "Karl")</f>
        <v>2</v>
      </c>
      <c r="AY17" s="9">
        <f>countifs('6B'!$S$2:$S$542, AY$1, '6B'!$C$2:$C$542, "Karl")</f>
        <v>2</v>
      </c>
      <c r="AZ17" s="9">
        <f>countifs('6B'!$S$2:$S$542, AZ$1, '6B'!$C$2:$C$542, "Karl")</f>
        <v>0</v>
      </c>
      <c r="BA17" s="9">
        <f>countifs('6B'!$S$2:$S$542, BA$1, '6B'!$C$2:$C$542, "Karl")</f>
        <v>1</v>
      </c>
      <c r="BB17" s="9">
        <f>countifs('6B'!$S$2:$S$542, BB$1, '6B'!$C$2:$C$542, "Karl")</f>
        <v>0</v>
      </c>
      <c r="BC17" s="9">
        <f>countifs('6B'!$S$2:$S$542, BC$1, '6B'!$C$2:$C$542, "Kona")</f>
        <v>7</v>
      </c>
      <c r="BD17" s="9">
        <f>countifs('6B'!$S$2:$S$542, BD$1, '6B'!$C$2:$C$542, "Kona")</f>
        <v>0</v>
      </c>
      <c r="BE17" s="9">
        <f>countifs('6B'!$S$2:$S$542, BE$1, '6B'!$C$2:$C$542, "Kona")</f>
        <v>1</v>
      </c>
      <c r="BF17" s="9">
        <f>countifs('6B'!$S$2:$S$542, BF$1, '6B'!$C$2:$C$542, "Kona")</f>
        <v>0</v>
      </c>
      <c r="BG17" s="9">
        <f>countifs('6B'!$S$2:$S$542, BG$1, '6B'!$C$2:$C$542, "Kona")</f>
        <v>0</v>
      </c>
      <c r="BH17" s="9">
        <f>countifs('6B'!$S$2:$S$542, BH$1, '6B'!$C$2:$C$542, "Kona")</f>
        <v>0</v>
      </c>
      <c r="BI17" s="9">
        <f>countifs('6B'!$S$2:$S$542, BI$1, '6B'!$C$2:$C$542, "Kona")</f>
        <v>3</v>
      </c>
      <c r="BJ17" s="9">
        <f t="shared" si="9"/>
        <v>10</v>
      </c>
      <c r="BK17" s="9">
        <f t="shared" si="10"/>
        <v>11</v>
      </c>
      <c r="BL17" s="7">
        <f>IFERROR(__xludf.DUMMYFUNCTION("AVERAGE.WEIGHTED($AV$1:$BB$1,AV17:BB17)"),2.7)</f>
        <v>2.7</v>
      </c>
      <c r="BM17" s="7">
        <f>IFERROR(__xludf.DUMMYFUNCTION("AVERAGE.WEIGHTED($BC$1:$BI$1,BC17:BI17)"),2.8181818181818183)</f>
        <v>2.818181818</v>
      </c>
      <c r="BN17" s="7">
        <f t="shared" ref="BN17:BO17" si="56">(BL17-1)*100/6</f>
        <v>28.33333333</v>
      </c>
      <c r="BO17" s="7">
        <f t="shared" si="56"/>
        <v>30.3030303</v>
      </c>
      <c r="BP17" s="8">
        <f t="shared" si="12"/>
        <v>29.31818182</v>
      </c>
      <c r="BQ17" s="8">
        <f t="shared" si="13"/>
        <v>29.31818182</v>
      </c>
      <c r="BR17" s="8">
        <f t="shared" si="14"/>
        <v>0.7970038396</v>
      </c>
    </row>
    <row r="18">
      <c r="A18" s="3">
        <v>17.0</v>
      </c>
      <c r="B18" s="1" t="s">
        <v>45</v>
      </c>
      <c r="C18" s="6">
        <f>countif('6B'!$T$2:$T$627, C$1)</f>
        <v>9</v>
      </c>
      <c r="D18" s="6">
        <f>countif('6B'!$T$2:$T$627, D$1)</f>
        <v>3</v>
      </c>
      <c r="E18" s="6">
        <f>countif('6B'!$T$2:$T$627, E$1)</f>
        <v>0</v>
      </c>
      <c r="F18" s="6">
        <f>countif('6B'!$T$2:$T$627, F$1)</f>
        <v>0</v>
      </c>
      <c r="G18" s="6">
        <f>countif('6B'!$T$2:$T$627, G$1)</f>
        <v>1</v>
      </c>
      <c r="H18" s="6">
        <f>countif('6B'!$T$2:$T$627, H$1)</f>
        <v>3</v>
      </c>
      <c r="I18" s="6">
        <f>countif('6B'!$T$2:$T$627, I$1)</f>
        <v>5</v>
      </c>
      <c r="J18" s="6">
        <f t="shared" si="4"/>
        <v>21</v>
      </c>
      <c r="K18" s="7">
        <f t="shared" si="5"/>
        <v>3.476190476</v>
      </c>
      <c r="N18" s="6">
        <f>countifs('6B'!$T$2:$T$627, N$1, '6B'!$B$2:$B$627, "&gt;"&amp;$L$2, '6B'!$B$2:$B$627, "&lt;"&amp;$M$2)</f>
        <v>0</v>
      </c>
      <c r="O18" s="6">
        <f>countifs('6B'!$T$2:$T$627, O$1, '6B'!$B$2:$B$627, "&gt;"&amp;$L$2, '6B'!$B$2:$B$627, "&lt;"&amp;$M$2)</f>
        <v>0</v>
      </c>
      <c r="P18" s="6">
        <f>countifs('6B'!$T$2:$T$627, P$1, '6B'!$B$2:$B$627, "&gt;"&amp;$L$2, '6B'!$B$2:$B$627, "&lt;"&amp;$M$2)</f>
        <v>0</v>
      </c>
      <c r="Q18" s="6">
        <f>countifs('6B'!$T$2:$T$627, Q$1, '6B'!$B$2:$B$627, "&gt;"&amp;$L$2, '6B'!$B$2:$B$627, "&lt;"&amp;$M$2)</f>
        <v>0</v>
      </c>
      <c r="R18" s="6">
        <f>countifs('6B'!$T$2:$T$627, R$1, '6B'!$B$2:$B$627, "&gt;"&amp;$L$2, '6B'!$B$2:$B$627, "&lt;"&amp;$M$2)</f>
        <v>0</v>
      </c>
      <c r="S18" s="6">
        <f>countifs('6B'!$T$2:$T$627, S$1, '6B'!$B$2:$B$627, "&gt;"&amp;$L$2, '6B'!$B$2:$B$627, "&lt;"&amp;$M$2)</f>
        <v>0</v>
      </c>
      <c r="T18" s="6">
        <f>countifs('6B'!$T$2:$T$627, T$1, '6B'!$B$2:$B$627, "&gt;"&amp;$L$2, '6B'!$B$2:$B$627, "&lt;"&amp;$M$2)</f>
        <v>0</v>
      </c>
      <c r="U18" s="6">
        <f>countifs('6B'!$T$2:$T$627, U$1, '6B'!$B$2:$B$627, "&gt;"&amp;$L$3, '6B'!$B$2:$B$627, "&lt;"&amp;$M$3)</f>
        <v>0</v>
      </c>
      <c r="V18" s="6">
        <f>countifs('6B'!$T$2:$T$627, V$1, '6B'!$B$2:$B$627, "&gt;"&amp;$L$3, '6B'!$B$2:$B$627, "&lt;"&amp;$M$3)</f>
        <v>0</v>
      </c>
      <c r="W18" s="6">
        <f>countifs('6B'!$T$2:$T$627, W$1, '6B'!$B$2:$B$627, "&gt;"&amp;$L$3, '6B'!$B$2:$B$627, "&lt;"&amp;$M$3)</f>
        <v>0</v>
      </c>
      <c r="X18" s="6">
        <f>countifs('6B'!$T$2:$T$627, X$1, '6B'!$B$2:$B$627, "&gt;"&amp;$L$3, '6B'!$B$2:$B$627, "&lt;"&amp;$M$3)</f>
        <v>0</v>
      </c>
      <c r="Y18" s="6">
        <f>countifs('6B'!$T$2:$T$627, Y$1, '6B'!$B$2:$B$627, "&gt;"&amp;$L$3, '6B'!$B$2:$B$627, "&lt;"&amp;$M$3)</f>
        <v>0</v>
      </c>
      <c r="Z18" s="6">
        <f>countifs('6B'!$T$2:$T$627, Z$1, '6B'!$B$2:$B$627, "&gt;"&amp;$L$3, '6B'!$B$2:$B$627, "&lt;"&amp;$M$3)</f>
        <v>0</v>
      </c>
      <c r="AA18" s="6">
        <f>countifs('6B'!$T$2:$T$627, AA$1, '6B'!$B$2:$B$627, "&gt;"&amp;$L$3, '6B'!$B$2:$B$627, "&lt;"&amp;$M$3)</f>
        <v>0</v>
      </c>
      <c r="AB18" s="6">
        <f>countifs('6B'!$T$2:$T$627, AB$1, '6B'!$B$2:$B$627, "&gt;"&amp;$L$4, '6B'!$B$2:$B$627, "&lt;"&amp;$M$4)</f>
        <v>0</v>
      </c>
      <c r="AC18" s="6">
        <f>countifs('6B'!$T$2:$T$627, AC$1, '6B'!$B$2:$B$627, "&gt;"&amp;$L$4, '6B'!$B$2:$B$627, "&lt;"&amp;$M$4)</f>
        <v>0</v>
      </c>
      <c r="AD18" s="6">
        <f>countifs('6B'!$T$2:$T$627, AD$1, '6B'!$B$2:$B$627, "&gt;"&amp;$L$4, '6B'!$B$2:$B$627, "&lt;"&amp;$M$4)</f>
        <v>0</v>
      </c>
      <c r="AE18" s="6">
        <f>countifs('6B'!$T$2:$T$627, AE$1, '6B'!$B$2:$B$627, "&gt;"&amp;$L$4, '6B'!$B$2:$B$627, "&lt;"&amp;$M$4)</f>
        <v>0</v>
      </c>
      <c r="AF18" s="6">
        <f>countifs('6B'!$T$2:$T$627, AF$1, '6B'!$B$2:$B$627, "&gt;"&amp;$L$4, '6B'!$B$2:$B$627, "&lt;"&amp;$M$4)</f>
        <v>0</v>
      </c>
      <c r="AG18" s="6">
        <f>countifs('6B'!$T$2:$T$627, AG$1, '6B'!$B$2:$B$627, "&gt;"&amp;$L$4, '6B'!$B$2:$B$627, "&lt;"&amp;$M$4)</f>
        <v>0</v>
      </c>
      <c r="AH18" s="6">
        <f>countifs('6B'!$T$2:$T$627, AH$1, '6B'!$B$2:$B$627, "&gt;"&amp;$L$4, '6B'!$B$2:$B$627, "&lt;"&amp;$M$4)</f>
        <v>0</v>
      </c>
      <c r="AI18" s="3">
        <v>5.0</v>
      </c>
      <c r="AJ18" s="3">
        <v>2.0</v>
      </c>
      <c r="AK18" s="3">
        <v>1.0</v>
      </c>
      <c r="AL18" s="7" t="str">
        <f>IFERROR(__xludf.DUMMYFUNCTION("AVERAGE.WEIGHTED($N$1:$T$1, N18:T18)"),"#DIV/0!")</f>
        <v>#DIV/0!</v>
      </c>
      <c r="AM18" s="7" t="str">
        <f>IFERROR(__xludf.DUMMYFUNCTION("AVERAGE.WEIGHTED($U$1:$AA$1, U18:AA18)"),"#DIV/0!")</f>
        <v>#DIV/0!</v>
      </c>
      <c r="AN18" s="13" t="str">
        <f>IFERROR(__xludf.DUMMYFUNCTION("AVERAGE.WEIGHTED($AB$1:$AH$1, AB18:AH18)"),"#DIV/0!")</f>
        <v>#DIV/0!</v>
      </c>
      <c r="AO18" s="7" t="str">
        <f t="shared" ref="AO18:AQ18" si="57">(AL18-1)*100/6</f>
        <v>#DIV/0!</v>
      </c>
      <c r="AP18" s="7" t="str">
        <f t="shared" si="57"/>
        <v>#DIV/0!</v>
      </c>
      <c r="AQ18" s="7" t="str">
        <f t="shared" si="57"/>
        <v>#DIV/0!</v>
      </c>
      <c r="AR18" s="6" t="str">
        <f t="shared" ref="AR18:AT18" si="58">Average($AO18:$AQ18)</f>
        <v>#DIV/0!</v>
      </c>
      <c r="AS18" s="6" t="str">
        <f t="shared" si="58"/>
        <v>#DIV/0!</v>
      </c>
      <c r="AT18" s="6" t="str">
        <f t="shared" si="58"/>
        <v>#DIV/0!</v>
      </c>
      <c r="AU18" s="8" t="str">
        <f t="shared" si="8"/>
        <v>#DIV/0!</v>
      </c>
      <c r="AV18" s="9">
        <f>countifs('6B'!$T$2:$T$542, AV$1, '6B'!$C$2:$C$542, "Karl")</f>
        <v>2</v>
      </c>
      <c r="AW18" s="9">
        <f>countifs('6B'!$T$2:$T$542, AW$1, '6B'!$C$2:$C$542, "Karl")</f>
        <v>3</v>
      </c>
      <c r="AX18" s="9">
        <f>countifs('6B'!$T$2:$T$542, AX$1, '6B'!$C$2:$C$542, "Karl")</f>
        <v>0</v>
      </c>
      <c r="AY18" s="9">
        <f>countifs('6B'!$T$2:$T$542, AY$1, '6B'!$C$2:$C$542, "Karl")</f>
        <v>0</v>
      </c>
      <c r="AZ18" s="9">
        <f>countifs('6B'!$T$2:$T$542, AZ$1, '6B'!$C$2:$C$542, "Karl")</f>
        <v>1</v>
      </c>
      <c r="BA18" s="9">
        <f>countifs('6B'!$T$2:$T$542, BA$1, '6B'!$C$2:$C$542, "Karl")</f>
        <v>2</v>
      </c>
      <c r="BB18" s="9">
        <f>countifs('6B'!$T$2:$T$542, BB$1, '6B'!$C$2:$C$542, "Karl")</f>
        <v>2</v>
      </c>
      <c r="BC18" s="9">
        <f>countifs('6B'!$T$2:$T$542, BC$1, '6B'!$C$2:$C$542, "Kona")</f>
        <v>7</v>
      </c>
      <c r="BD18" s="9">
        <f>countifs('6B'!$T$2:$T$542, BD$1, '6B'!$C$2:$C$542, "Kona")</f>
        <v>0</v>
      </c>
      <c r="BE18" s="9">
        <f>countifs('6B'!$T$2:$T$542, BE$1, '6B'!$C$2:$C$542, "Kona")</f>
        <v>0</v>
      </c>
      <c r="BF18" s="9">
        <f>countifs('6B'!$T$2:$T$542, BF$1, '6B'!$C$2:$C$542, "Kona")</f>
        <v>0</v>
      </c>
      <c r="BG18" s="9">
        <f>countifs('6B'!$T$2:$T$542, BG$1, '6B'!$C$2:$C$542, "Kona")</f>
        <v>0</v>
      </c>
      <c r="BH18" s="9">
        <f>countifs('6B'!$T$2:$T$542, BH$1, '6B'!$C$2:$C$542, "Kona")</f>
        <v>1</v>
      </c>
      <c r="BI18" s="9">
        <f>countifs('6B'!$T$2:$T$542, BI$1, '6B'!$C$2:$C$542, "Kona")</f>
        <v>3</v>
      </c>
      <c r="BJ18" s="9">
        <f t="shared" si="9"/>
        <v>10</v>
      </c>
      <c r="BK18" s="9">
        <f t="shared" si="10"/>
        <v>11</v>
      </c>
      <c r="BL18" s="7">
        <f>IFERROR(__xludf.DUMMYFUNCTION("AVERAGE.WEIGHTED($AV$1:$BB$1,AV18:BB18)"),3.9)</f>
        <v>3.9</v>
      </c>
      <c r="BM18" s="7">
        <f>IFERROR(__xludf.DUMMYFUNCTION("AVERAGE.WEIGHTED($BC$1:$BI$1,BC18:BI18)"),3.090909090909091)</f>
        <v>3.090909091</v>
      </c>
      <c r="BN18" s="7">
        <f t="shared" ref="BN18:BO18" si="59">(BL18-1)*100/6</f>
        <v>48.33333333</v>
      </c>
      <c r="BO18" s="7">
        <f t="shared" si="59"/>
        <v>34.84848485</v>
      </c>
      <c r="BP18" s="8">
        <f t="shared" si="12"/>
        <v>41.59090909</v>
      </c>
      <c r="BQ18" s="8">
        <f t="shared" si="13"/>
        <v>41.59090909</v>
      </c>
      <c r="BR18" s="8">
        <f t="shared" si="14"/>
        <v>0.1392644021</v>
      </c>
    </row>
    <row r="19">
      <c r="A19" s="3">
        <v>18.0</v>
      </c>
      <c r="B19" s="1" t="s">
        <v>46</v>
      </c>
      <c r="C19" s="6">
        <f>countif('6B'!$U$2:$U$627, C$1)</f>
        <v>13</v>
      </c>
      <c r="D19" s="6">
        <f>countif('6B'!$U$2:$U$627, D$1)</f>
        <v>2</v>
      </c>
      <c r="E19" s="6">
        <f>countif('6B'!$U$2:$U$627, E$1)</f>
        <v>2</v>
      </c>
      <c r="F19" s="6">
        <f>countif('6B'!$U$2:$U$627, F$1)</f>
        <v>1</v>
      </c>
      <c r="G19" s="6">
        <f>countif('6B'!$U$2:$U$627, G$1)</f>
        <v>1</v>
      </c>
      <c r="H19" s="6">
        <f>countif('6B'!$U$2:$U$627, H$1)</f>
        <v>2</v>
      </c>
      <c r="I19" s="6">
        <f>countif('6B'!$U$2:$U$627, I$1)</f>
        <v>0</v>
      </c>
      <c r="J19" s="6">
        <f t="shared" si="4"/>
        <v>21</v>
      </c>
      <c r="K19" s="7">
        <f t="shared" si="5"/>
        <v>2.095238095</v>
      </c>
      <c r="N19" s="6">
        <f>countifs('6B'!$U$2:$U$627, N$1, '6B'!$B$2:$B$627, "&gt;"&amp;$L$2, '6B'!$B$2:$B$627, "&lt;"&amp;$M$2)</f>
        <v>0</v>
      </c>
      <c r="O19" s="6">
        <f>countifs('6B'!$U$2:$U$627, O$1, '6B'!$B$2:$B$627, "&gt;"&amp;$L$2, '6B'!$B$2:$B$627, "&lt;"&amp;$M$2)</f>
        <v>0</v>
      </c>
      <c r="P19" s="6">
        <f>countifs('6B'!$U$2:$U$627, P$1, '6B'!$B$2:$B$627, "&gt;"&amp;$L$2, '6B'!$B$2:$B$627, "&lt;"&amp;$M$2)</f>
        <v>0</v>
      </c>
      <c r="Q19" s="6">
        <f>countifs('6B'!$U$2:$U$627, Q$1, '6B'!$B$2:$B$627, "&gt;"&amp;$L$2, '6B'!$B$2:$B$627, "&lt;"&amp;$M$2)</f>
        <v>0</v>
      </c>
      <c r="R19" s="6">
        <f>countifs('6B'!$U$2:$U$627, R$1, '6B'!$B$2:$B$627, "&gt;"&amp;$L$2, '6B'!$B$2:$B$627, "&lt;"&amp;$M$2)</f>
        <v>0</v>
      </c>
      <c r="S19" s="6">
        <f>countifs('6B'!$U$2:$U$627, S$1, '6B'!$B$2:$B$627, "&gt;"&amp;$L$2, '6B'!$B$2:$B$627, "&lt;"&amp;$M$2)</f>
        <v>0</v>
      </c>
      <c r="T19" s="6">
        <f>countifs('6B'!$U$2:$U$627, T$1, '6B'!$B$2:$B$627, "&gt;"&amp;$L$2, '6B'!$B$2:$B$627, "&lt;"&amp;$M$2)</f>
        <v>0</v>
      </c>
      <c r="U19" s="6">
        <f>countifs('6B'!$U$2:$U$627, U$1, '6B'!$B$2:$B$627, "&gt;"&amp;$L$3, '6B'!$B$2:$B$627, "&lt;"&amp;$M$3)</f>
        <v>0</v>
      </c>
      <c r="V19" s="6">
        <f>countifs('6B'!$U$2:$U$627, V$1, '6B'!$B$2:$B$627, "&gt;"&amp;$L$3, '6B'!$B$2:$B$627, "&lt;"&amp;$M$3)</f>
        <v>0</v>
      </c>
      <c r="W19" s="6">
        <f>countifs('6B'!$U$2:$U$627, W$1, '6B'!$B$2:$B$627, "&gt;"&amp;$L$3, '6B'!$B$2:$B$627, "&lt;"&amp;$M$3)</f>
        <v>0</v>
      </c>
      <c r="X19" s="6">
        <f>countifs('6B'!$U$2:$U$627, X$1, '6B'!$B$2:$B$627, "&gt;"&amp;$L$3, '6B'!$B$2:$B$627, "&lt;"&amp;$M$3)</f>
        <v>0</v>
      </c>
      <c r="Y19" s="6">
        <f>countifs('6B'!$U$2:$U$627, Y$1, '6B'!$B$2:$B$627, "&gt;"&amp;$L$3, '6B'!$B$2:$B$627, "&lt;"&amp;$M$3)</f>
        <v>0</v>
      </c>
      <c r="Z19" s="6">
        <f>countifs('6B'!$U$2:$U$627, Z$1, '6B'!$B$2:$B$627, "&gt;"&amp;$L$3, '6B'!$B$2:$B$627, "&lt;"&amp;$M$3)</f>
        <v>0</v>
      </c>
      <c r="AA19" s="6">
        <f>countifs('6B'!$U$2:$U$627, AA$1, '6B'!$B$2:$B$627, "&gt;"&amp;$L$3, '6B'!$B$2:$B$627, "&lt;"&amp;$M$3)</f>
        <v>0</v>
      </c>
      <c r="AB19" s="6">
        <f>countifs('6B'!$U$2:$U$627, AB$1, '6B'!$B$2:$B$627, "&gt;"&amp;$L$4, '6B'!$B$2:$B$627, "&lt;"&amp;$M$4)</f>
        <v>0</v>
      </c>
      <c r="AC19" s="6">
        <f>countifs('6B'!$U$2:$U$627, AC$1, '6B'!$B$2:$B$627, "&gt;"&amp;$L$4, '6B'!$B$2:$B$627, "&lt;"&amp;$M$4)</f>
        <v>0</v>
      </c>
      <c r="AD19" s="6">
        <f>countifs('6B'!$U$2:$U$627, AD$1, '6B'!$B$2:$B$627, "&gt;"&amp;$L$4, '6B'!$B$2:$B$627, "&lt;"&amp;$M$4)</f>
        <v>0</v>
      </c>
      <c r="AE19" s="6">
        <f>countifs('6B'!$U$2:$U$627, AE$1, '6B'!$B$2:$B$627, "&gt;"&amp;$L$4, '6B'!$B$2:$B$627, "&lt;"&amp;$M$4)</f>
        <v>0</v>
      </c>
      <c r="AF19" s="6">
        <f>countifs('6B'!$U$2:$U$627, AF$1, '6B'!$B$2:$B$627, "&gt;"&amp;$L$4, '6B'!$B$2:$B$627, "&lt;"&amp;$M$4)</f>
        <v>0</v>
      </c>
      <c r="AG19" s="6">
        <f>countifs('6B'!$U$2:$U$627, AG$1, '6B'!$B$2:$B$627, "&gt;"&amp;$L$4, '6B'!$B$2:$B$627, "&lt;"&amp;$M$4)</f>
        <v>0</v>
      </c>
      <c r="AH19" s="6">
        <f>countifs('6B'!$U$2:$U$627, AH$1, '6B'!$B$2:$B$627, "&gt;"&amp;$L$4, '6B'!$B$2:$B$627, "&lt;"&amp;$M$4)</f>
        <v>0</v>
      </c>
      <c r="AI19" s="3">
        <v>5.0</v>
      </c>
      <c r="AJ19" s="3">
        <v>2.0</v>
      </c>
      <c r="AK19" s="3">
        <v>1.0</v>
      </c>
      <c r="AL19" s="7" t="str">
        <f>IFERROR(__xludf.DUMMYFUNCTION("AVERAGE.WEIGHTED($N$1:$T$1, N19:T19)"),"#DIV/0!")</f>
        <v>#DIV/0!</v>
      </c>
      <c r="AM19" s="7" t="str">
        <f>IFERROR(__xludf.DUMMYFUNCTION("AVERAGE.WEIGHTED($U$1:$AA$1, U19:AA19)"),"#DIV/0!")</f>
        <v>#DIV/0!</v>
      </c>
      <c r="AN19" s="13" t="str">
        <f>IFERROR(__xludf.DUMMYFUNCTION("AVERAGE.WEIGHTED($AB$1:$AH$1, AB19:AH19)"),"#DIV/0!")</f>
        <v>#DIV/0!</v>
      </c>
      <c r="AO19" s="7" t="str">
        <f t="shared" ref="AO19:AQ19" si="60">(AL19-1)*100/6</f>
        <v>#DIV/0!</v>
      </c>
      <c r="AP19" s="7" t="str">
        <f t="shared" si="60"/>
        <v>#DIV/0!</v>
      </c>
      <c r="AQ19" s="7" t="str">
        <f t="shared" si="60"/>
        <v>#DIV/0!</v>
      </c>
      <c r="AR19" s="6" t="str">
        <f t="shared" ref="AR19:AT19" si="61">Average($AO19:$AQ19)</f>
        <v>#DIV/0!</v>
      </c>
      <c r="AS19" s="6" t="str">
        <f t="shared" si="61"/>
        <v>#DIV/0!</v>
      </c>
      <c r="AT19" s="6" t="str">
        <f t="shared" si="61"/>
        <v>#DIV/0!</v>
      </c>
      <c r="AU19" s="8" t="str">
        <f t="shared" si="8"/>
        <v>#DIV/0!</v>
      </c>
      <c r="AV19" s="9">
        <f>countifs('6B'!$U$2:$U$542, AV$1, '6B'!$C$2:$C$542, "Karl")</f>
        <v>6</v>
      </c>
      <c r="AW19" s="9">
        <f>countifs('6B'!$U$2:$U$542, AW$1, '6B'!$C$2:$C$542, "Karl")</f>
        <v>0</v>
      </c>
      <c r="AX19" s="9">
        <f>countifs('6B'!$U$2:$U$542, AX$1, '6B'!$C$2:$C$542, "Karl")</f>
        <v>2</v>
      </c>
      <c r="AY19" s="9">
        <f>countifs('6B'!$U$2:$U$542, AY$1, '6B'!$C$2:$C$542, "Karl")</f>
        <v>0</v>
      </c>
      <c r="AZ19" s="9">
        <f>countifs('6B'!$U$2:$U$542, AZ$1, '6B'!$C$2:$C$542, "Karl")</f>
        <v>1</v>
      </c>
      <c r="BA19" s="9">
        <f>countifs('6B'!$U$2:$U$542, BA$1, '6B'!$C$2:$C$542, "Karl")</f>
        <v>1</v>
      </c>
      <c r="BB19" s="9">
        <f>countifs('6B'!$U$2:$U$542, BB$1, '6B'!$C$2:$C$542, "Karl")</f>
        <v>0</v>
      </c>
      <c r="BC19" s="9">
        <f>countifs('6B'!$U$2:$U$542, BC$1, '6B'!$C$2:$C$542, "Kona")</f>
        <v>7</v>
      </c>
      <c r="BD19" s="9">
        <f>countifs('6B'!$U$2:$U$542, BD$1, '6B'!$C$2:$C$542, "Kona")</f>
        <v>2</v>
      </c>
      <c r="BE19" s="9">
        <f>countifs('6B'!$U$2:$U$542, BE$1, '6B'!$C$2:$C$542, "Kona")</f>
        <v>0</v>
      </c>
      <c r="BF19" s="9">
        <f>countifs('6B'!$U$2:$U$542, BF$1, '6B'!$C$2:$C$542, "Kona")</f>
        <v>1</v>
      </c>
      <c r="BG19" s="9">
        <f>countifs('6B'!$U$2:$U$542, BG$1, '6B'!$C$2:$C$542, "Kona")</f>
        <v>0</v>
      </c>
      <c r="BH19" s="9">
        <f>countifs('6B'!$U$2:$U$542, BH$1, '6B'!$C$2:$C$542, "Kona")</f>
        <v>1</v>
      </c>
      <c r="BI19" s="9">
        <f>countifs('6B'!$U$2:$U$542, BI$1, '6B'!$C$2:$C$542, "Kona")</f>
        <v>0</v>
      </c>
      <c r="BJ19" s="9">
        <f t="shared" si="9"/>
        <v>10</v>
      </c>
      <c r="BK19" s="9">
        <f t="shared" si="10"/>
        <v>11</v>
      </c>
      <c r="BL19" s="7">
        <f>IFERROR(__xludf.DUMMYFUNCTION("AVERAGE.WEIGHTED($AV$1:$BB$1,AV19:BB19)"),2.3)</f>
        <v>2.3</v>
      </c>
      <c r="BM19" s="7">
        <f>IFERROR(__xludf.DUMMYFUNCTION("AVERAGE.WEIGHTED($BC$1:$BI$1,BC19:BI19)"),1.9090909090909092)</f>
        <v>1.909090909</v>
      </c>
      <c r="BN19" s="7">
        <f t="shared" ref="BN19:BO19" si="62">(BL19-1)*100/6</f>
        <v>21.66666667</v>
      </c>
      <c r="BO19" s="7">
        <f t="shared" si="62"/>
        <v>15.15151515</v>
      </c>
      <c r="BP19" s="8">
        <f t="shared" si="12"/>
        <v>18.40909091</v>
      </c>
      <c r="BQ19" s="8">
        <f t="shared" si="13"/>
        <v>18.40909091</v>
      </c>
      <c r="BR19" s="8">
        <f t="shared" si="14"/>
        <v>0.2829456362</v>
      </c>
    </row>
    <row r="20">
      <c r="A20" s="3">
        <v>19.0</v>
      </c>
      <c r="B20" s="1" t="s">
        <v>47</v>
      </c>
      <c r="C20" s="6">
        <f>countif('6B'!$V$2:$V$627, C$1)</f>
        <v>12</v>
      </c>
      <c r="D20" s="6">
        <f>countif('6B'!$V$2:$V$627, D$1)</f>
        <v>3</v>
      </c>
      <c r="E20" s="6">
        <f>countif('6B'!$V$2:$V$627, E$1)</f>
        <v>0</v>
      </c>
      <c r="F20" s="6">
        <f>countif('6B'!$V$2:$V$627, F$1)</f>
        <v>0</v>
      </c>
      <c r="G20" s="6">
        <f>countif('6B'!$V$2:$V$627, G$1)</f>
        <v>2</v>
      </c>
      <c r="H20" s="6">
        <f>countif('6B'!$V$2:$V$627, H$1)</f>
        <v>0</v>
      </c>
      <c r="I20" s="6">
        <f>countif('6B'!$V$2:$V$627, I$1)</f>
        <v>4</v>
      </c>
      <c r="J20" s="6">
        <f t="shared" si="4"/>
        <v>21</v>
      </c>
      <c r="K20" s="7">
        <f t="shared" si="5"/>
        <v>2.666666667</v>
      </c>
      <c r="N20" s="6">
        <f>countifs('6B'!$V$2:$V$627, N$1, '6B'!$B$2:$B$627, "&gt;"&amp;$L$2, '6B'!$B$2:$B$627, "&lt;"&amp;$M$2)</f>
        <v>0</v>
      </c>
      <c r="O20" s="6">
        <f>countifs('6B'!$V$2:$V$627, O$1, '6B'!$B$2:$B$627, "&gt;"&amp;$L$2, '6B'!$B$2:$B$627, "&lt;"&amp;$M$2)</f>
        <v>0</v>
      </c>
      <c r="P20" s="6">
        <f>countifs('6B'!$V$2:$V$627, P$1, '6B'!$B$2:$B$627, "&gt;"&amp;$L$2, '6B'!$B$2:$B$627, "&lt;"&amp;$M$2)</f>
        <v>0</v>
      </c>
      <c r="Q20" s="6">
        <f>countifs('6B'!$V$2:$V$627, Q$1, '6B'!$B$2:$B$627, "&gt;"&amp;$L$2, '6B'!$B$2:$B$627, "&lt;"&amp;$M$2)</f>
        <v>0</v>
      </c>
      <c r="R20" s="6">
        <f>countifs('6B'!$V$2:$V$627, R$1, '6B'!$B$2:$B$627, "&gt;"&amp;$L$2, '6B'!$B$2:$B$627, "&lt;"&amp;$M$2)</f>
        <v>0</v>
      </c>
      <c r="S20" s="6">
        <f>countifs('6B'!$V$2:$V$627, S$1, '6B'!$B$2:$B$627, "&gt;"&amp;$L$2, '6B'!$B$2:$B$627, "&lt;"&amp;$M$2)</f>
        <v>0</v>
      </c>
      <c r="T20" s="6">
        <f>countifs('6B'!$V$2:$V$627, T$1, '6B'!$B$2:$B$627, "&gt;"&amp;$L$2, '6B'!$B$2:$B$627, "&lt;"&amp;$M$2)</f>
        <v>0</v>
      </c>
      <c r="U20" s="6">
        <f>countifs('6B'!$V$2:$V$627, U$1, '6B'!$B$2:$B$627, "&gt;"&amp;$L$3, '6B'!$B$2:$B$627, "&lt;"&amp;$M$3)</f>
        <v>0</v>
      </c>
      <c r="V20" s="6">
        <f>countifs('6B'!$V$2:$V$627, V$1, '6B'!$B$2:$B$627, "&gt;"&amp;$L$3, '6B'!$B$2:$B$627, "&lt;"&amp;$M$3)</f>
        <v>0</v>
      </c>
      <c r="W20" s="6">
        <f>countifs('6B'!$V$2:$V$627, W$1, '6B'!$B$2:$B$627, "&gt;"&amp;$L$3, '6B'!$B$2:$B$627, "&lt;"&amp;$M$3)</f>
        <v>0</v>
      </c>
      <c r="X20" s="6">
        <f>countifs('6B'!$V$2:$V$627, X$1, '6B'!$B$2:$B$627, "&gt;"&amp;$L$3, '6B'!$B$2:$B$627, "&lt;"&amp;$M$3)</f>
        <v>0</v>
      </c>
      <c r="Y20" s="6">
        <f>countifs('6B'!$V$2:$V$627, Y$1, '6B'!$B$2:$B$627, "&gt;"&amp;$L$3, '6B'!$B$2:$B$627, "&lt;"&amp;$M$3)</f>
        <v>0</v>
      </c>
      <c r="Z20" s="6">
        <f>countifs('6B'!$V$2:$V$627, Z$1, '6B'!$B$2:$B$627, "&gt;"&amp;$L$3, '6B'!$B$2:$B$627, "&lt;"&amp;$M$3)</f>
        <v>0</v>
      </c>
      <c r="AA20" s="6">
        <f>countifs('6B'!$V$2:$V$627, AA$1, '6B'!$B$2:$B$627, "&gt;"&amp;$L$3, '6B'!$B$2:$B$627, "&lt;"&amp;$M$3)</f>
        <v>0</v>
      </c>
      <c r="AB20" s="6">
        <f>countifs('6B'!$V$2:$V$627, AB$1, '6B'!$B$2:$B$627, "&gt;"&amp;$L$4, '6B'!$B$2:$B$627, "&lt;"&amp;$M$4)</f>
        <v>0</v>
      </c>
      <c r="AC20" s="6">
        <f>countifs('6B'!$V$2:$V$627, AC$1, '6B'!$B$2:$B$627, "&gt;"&amp;$L$4, '6B'!$B$2:$B$627, "&lt;"&amp;$M$4)</f>
        <v>0</v>
      </c>
      <c r="AD20" s="6">
        <f>countifs('6B'!$V$2:$V$627, AD$1, '6B'!$B$2:$B$627, "&gt;"&amp;$L$4, '6B'!$B$2:$B$627, "&lt;"&amp;$M$4)</f>
        <v>0</v>
      </c>
      <c r="AE20" s="6">
        <f>countifs('6B'!$V$2:$V$627, AE$1, '6B'!$B$2:$B$627, "&gt;"&amp;$L$4, '6B'!$B$2:$B$627, "&lt;"&amp;$M$4)</f>
        <v>0</v>
      </c>
      <c r="AF20" s="6">
        <f>countifs('6B'!$V$2:$V$627, AF$1, '6B'!$B$2:$B$627, "&gt;"&amp;$L$4, '6B'!$B$2:$B$627, "&lt;"&amp;$M$4)</f>
        <v>0</v>
      </c>
      <c r="AG20" s="6">
        <f>countifs('6B'!$V$2:$V$627, AG$1, '6B'!$B$2:$B$627, "&gt;"&amp;$L$4, '6B'!$B$2:$B$627, "&lt;"&amp;$M$4)</f>
        <v>0</v>
      </c>
      <c r="AH20" s="6">
        <f>countifs('6B'!$V$2:$V$627, AH$1, '6B'!$B$2:$B$627, "&gt;"&amp;$L$4, '6B'!$B$2:$B$627, "&lt;"&amp;$M$4)</f>
        <v>0</v>
      </c>
      <c r="AI20" s="3">
        <v>5.0</v>
      </c>
      <c r="AJ20" s="3">
        <v>2.0</v>
      </c>
      <c r="AK20" s="3">
        <v>1.0</v>
      </c>
      <c r="AL20" s="7" t="str">
        <f>IFERROR(__xludf.DUMMYFUNCTION("AVERAGE.WEIGHTED($N$1:$T$1, N20:T20)"),"#DIV/0!")</f>
        <v>#DIV/0!</v>
      </c>
      <c r="AM20" s="7" t="str">
        <f>IFERROR(__xludf.DUMMYFUNCTION("AVERAGE.WEIGHTED($U$1:$AA$1, U20:AA20)"),"#DIV/0!")</f>
        <v>#DIV/0!</v>
      </c>
      <c r="AN20" s="13" t="str">
        <f>IFERROR(__xludf.DUMMYFUNCTION("AVERAGE.WEIGHTED($AB$1:$AH$1, AB20:AH20)"),"#DIV/0!")</f>
        <v>#DIV/0!</v>
      </c>
      <c r="AO20" s="7" t="str">
        <f t="shared" ref="AO20:AQ20" si="63">(AL20-1)*100/6</f>
        <v>#DIV/0!</v>
      </c>
      <c r="AP20" s="7" t="str">
        <f t="shared" si="63"/>
        <v>#DIV/0!</v>
      </c>
      <c r="AQ20" s="7" t="str">
        <f t="shared" si="63"/>
        <v>#DIV/0!</v>
      </c>
      <c r="AR20" s="6" t="str">
        <f t="shared" ref="AR20:AT20" si="64">Average($AO20:$AQ20)</f>
        <v>#DIV/0!</v>
      </c>
      <c r="AS20" s="6" t="str">
        <f t="shared" si="64"/>
        <v>#DIV/0!</v>
      </c>
      <c r="AT20" s="6" t="str">
        <f t="shared" si="64"/>
        <v>#DIV/0!</v>
      </c>
      <c r="AU20" s="8" t="str">
        <f t="shared" si="8"/>
        <v>#DIV/0!</v>
      </c>
      <c r="AV20" s="9">
        <f>countifs('6B'!$V$2:$V$542, AV$1, '6B'!$C$2:$C$542, "Karl")</f>
        <v>4</v>
      </c>
      <c r="AW20" s="9">
        <f>countifs('6B'!$V$2:$V$542, AW$1, '6B'!$C$2:$C$542, "Karl")</f>
        <v>3</v>
      </c>
      <c r="AX20" s="9">
        <f>countifs('6B'!$V$2:$V$542, AX$1, '6B'!$C$2:$C$542, "Karl")</f>
        <v>0</v>
      </c>
      <c r="AY20" s="9">
        <f>countifs('6B'!$V$2:$V$542, AY$1, '6B'!$C$2:$C$542, "Karl")</f>
        <v>0</v>
      </c>
      <c r="AZ20" s="9">
        <f>countifs('6B'!$V$2:$V$542, AZ$1, '6B'!$C$2:$C$542, "Karl")</f>
        <v>1</v>
      </c>
      <c r="BA20" s="9">
        <f>countifs('6B'!$V$2:$V$542, BA$1, '6B'!$C$2:$C$542, "Karl")</f>
        <v>0</v>
      </c>
      <c r="BB20" s="9">
        <f>countifs('6B'!$V$2:$V$542, BB$1, '6B'!$C$2:$C$542, "Karl")</f>
        <v>2</v>
      </c>
      <c r="BC20" s="9">
        <f>countifs('6B'!$V$2:$V$542, BC$1, '6B'!$C$2:$C$542, "Kona")</f>
        <v>8</v>
      </c>
      <c r="BD20" s="9">
        <f>countifs('6B'!$V$2:$V$542, BD$1, '6B'!$C$2:$C$542, "Kona")</f>
        <v>0</v>
      </c>
      <c r="BE20" s="9">
        <f>countifs('6B'!$V$2:$V$542, BE$1, '6B'!$C$2:$C$542, "Kona")</f>
        <v>0</v>
      </c>
      <c r="BF20" s="9">
        <f>countifs('6B'!$V$2:$V$542, BF$1, '6B'!$C$2:$C$542, "Kona")</f>
        <v>0</v>
      </c>
      <c r="BG20" s="9">
        <f>countifs('6B'!$V$2:$V$542, BG$1, '6B'!$C$2:$C$542, "Kona")</f>
        <v>1</v>
      </c>
      <c r="BH20" s="9">
        <f>countifs('6B'!$V$2:$V$542, BH$1, '6B'!$C$2:$C$542, "Kona")</f>
        <v>0</v>
      </c>
      <c r="BI20" s="9">
        <f>countifs('6B'!$V$2:$V$542, BI$1, '6B'!$C$2:$C$542, "Kona")</f>
        <v>2</v>
      </c>
      <c r="BJ20" s="9">
        <f t="shared" si="9"/>
        <v>10</v>
      </c>
      <c r="BK20" s="9">
        <f t="shared" si="10"/>
        <v>11</v>
      </c>
      <c r="BL20" s="7">
        <f>IFERROR(__xludf.DUMMYFUNCTION("AVERAGE.WEIGHTED($AV$1:$BB$1,AV20:BB20)"),2.9)</f>
        <v>2.9</v>
      </c>
      <c r="BM20" s="7">
        <f>IFERROR(__xludf.DUMMYFUNCTION("AVERAGE.WEIGHTED($BC$1:$BI$1,BC20:BI20)"),2.4545454545454546)</f>
        <v>2.454545455</v>
      </c>
      <c r="BN20" s="7">
        <f t="shared" ref="BN20:BO20" si="65">(BL20-1)*100/6</f>
        <v>31.66666667</v>
      </c>
      <c r="BO20" s="7">
        <f t="shared" si="65"/>
        <v>24.24242424</v>
      </c>
      <c r="BP20" s="8">
        <f t="shared" si="12"/>
        <v>27.95454545</v>
      </c>
      <c r="BQ20" s="8">
        <f t="shared" si="13"/>
        <v>27.95454545</v>
      </c>
      <c r="BR20" s="8">
        <f t="shared" si="14"/>
        <v>0.3207526522</v>
      </c>
    </row>
    <row r="21">
      <c r="A21" s="3">
        <v>20.0</v>
      </c>
      <c r="B21" s="1" t="s">
        <v>48</v>
      </c>
      <c r="C21" s="6">
        <f>countif('6B'!$W$2:$W$627, C$1)</f>
        <v>14</v>
      </c>
      <c r="D21" s="6">
        <f>countif('6B'!$W$2:$W$627, D$1)</f>
        <v>0</v>
      </c>
      <c r="E21" s="6">
        <f>countif('6B'!$W$2:$W$627, E$1)</f>
        <v>0</v>
      </c>
      <c r="F21" s="6">
        <f>countif('6B'!$W$2:$W$627, F$1)</f>
        <v>0</v>
      </c>
      <c r="G21" s="6">
        <f>countif('6B'!$W$2:$W$627, G$1)</f>
        <v>0</v>
      </c>
      <c r="H21" s="6">
        <f>countif('6B'!$W$2:$W$627, H$1)</f>
        <v>4</v>
      </c>
      <c r="I21" s="6">
        <f>countif('6B'!$W$2:$W$627, I$1)</f>
        <v>3</v>
      </c>
      <c r="J21" s="6">
        <f t="shared" si="4"/>
        <v>21</v>
      </c>
      <c r="K21" s="7">
        <f t="shared" si="5"/>
        <v>2.80952381</v>
      </c>
      <c r="N21" s="6">
        <f>countifs('6B'!$W$2:$W$627, N$1, '6B'!$B$2:$B$627, "&gt;"&amp;$L$2, '6B'!$B$2:$B$627, "&lt;"&amp;$M$2)</f>
        <v>0</v>
      </c>
      <c r="O21" s="6">
        <f>countifs('6B'!$W$2:$W$627, O$1, '6B'!$B$2:$B$627, "&gt;"&amp;$L$2, '6B'!$B$2:$B$627, "&lt;"&amp;$M$2)</f>
        <v>0</v>
      </c>
      <c r="P21" s="6">
        <f>countifs('6B'!$W$2:$W$627, P$1, '6B'!$B$2:$B$627, "&gt;"&amp;$L$2, '6B'!$B$2:$B$627, "&lt;"&amp;$M$2)</f>
        <v>0</v>
      </c>
      <c r="Q21" s="6">
        <f>countifs('6B'!$W$2:$W$627, Q$1, '6B'!$B$2:$B$627, "&gt;"&amp;$L$2, '6B'!$B$2:$B$627, "&lt;"&amp;$M$2)</f>
        <v>0</v>
      </c>
      <c r="R21" s="6">
        <f>countifs('6B'!$W$2:$W$627, R$1, '6B'!$B$2:$B$627, "&gt;"&amp;$L$2, '6B'!$B$2:$B$627, "&lt;"&amp;$M$2)</f>
        <v>0</v>
      </c>
      <c r="S21" s="6">
        <f>countifs('6B'!$W$2:$W$627, S$1, '6B'!$B$2:$B$627, "&gt;"&amp;$L$2, '6B'!$B$2:$B$627, "&lt;"&amp;$M$2)</f>
        <v>0</v>
      </c>
      <c r="T21" s="6">
        <f>countifs('6B'!$W$2:$W$627, T$1, '6B'!$B$2:$B$627, "&gt;"&amp;$L$2, '6B'!$B$2:$B$627, "&lt;"&amp;$M$2)</f>
        <v>0</v>
      </c>
      <c r="U21" s="6">
        <f>countifs('6B'!$W$2:$W$627, U$1, '6B'!$B$2:$B$627, "&gt;"&amp;$L$3, '6B'!$B$2:$B$627, "&lt;"&amp;$M$3)</f>
        <v>0</v>
      </c>
      <c r="V21" s="6">
        <f>countifs('6B'!$W$2:$W$627, V$1, '6B'!$B$2:$B$627, "&gt;"&amp;$L$3, '6B'!$B$2:$B$627, "&lt;"&amp;$M$3)</f>
        <v>0</v>
      </c>
      <c r="W21" s="6">
        <f>countifs('6B'!$W$2:$W$627, W$1, '6B'!$B$2:$B$627, "&gt;"&amp;$L$3, '6B'!$B$2:$B$627, "&lt;"&amp;$M$3)</f>
        <v>0</v>
      </c>
      <c r="X21" s="6">
        <f>countifs('6B'!$W$2:$W$627, X$1, '6B'!$B$2:$B$627, "&gt;"&amp;$L$3, '6B'!$B$2:$B$627, "&lt;"&amp;$M$3)</f>
        <v>0</v>
      </c>
      <c r="Y21" s="6">
        <f>countifs('6B'!$W$2:$W$627, Y$1, '6B'!$B$2:$B$627, "&gt;"&amp;$L$3, '6B'!$B$2:$B$627, "&lt;"&amp;$M$3)</f>
        <v>0</v>
      </c>
      <c r="Z21" s="6">
        <f>countifs('6B'!$W$2:$W$627, Z$1, '6B'!$B$2:$B$627, "&gt;"&amp;$L$3, '6B'!$B$2:$B$627, "&lt;"&amp;$M$3)</f>
        <v>0</v>
      </c>
      <c r="AA21" s="6">
        <f>countifs('6B'!$W$2:$W$627, AA$1, '6B'!$B$2:$B$627, "&gt;"&amp;$L$3, '6B'!$B$2:$B$627, "&lt;"&amp;$M$3)</f>
        <v>0</v>
      </c>
      <c r="AB21" s="6">
        <f>countifs('6B'!$W$2:$W$627, AB$1, '6B'!$B$2:$B$627, "&gt;"&amp;$L$4, '6B'!$B$2:$B$627, "&lt;"&amp;$M$4)</f>
        <v>0</v>
      </c>
      <c r="AC21" s="6">
        <f>countifs('6B'!$W$2:$W$627, AC$1, '6B'!$B$2:$B$627, "&gt;"&amp;$L$4, '6B'!$B$2:$B$627, "&lt;"&amp;$M$4)</f>
        <v>0</v>
      </c>
      <c r="AD21" s="6">
        <f>countifs('6B'!$W$2:$W$627, AD$1, '6B'!$B$2:$B$627, "&gt;"&amp;$L$4, '6B'!$B$2:$B$627, "&lt;"&amp;$M$4)</f>
        <v>0</v>
      </c>
      <c r="AE21" s="6">
        <f>countifs('6B'!$W$2:$W$627, AE$1, '6B'!$B$2:$B$627, "&gt;"&amp;$L$4, '6B'!$B$2:$B$627, "&lt;"&amp;$M$4)</f>
        <v>0</v>
      </c>
      <c r="AF21" s="6">
        <f>countifs('6B'!$W$2:$W$627, AF$1, '6B'!$B$2:$B$627, "&gt;"&amp;$L$4, '6B'!$B$2:$B$627, "&lt;"&amp;$M$4)</f>
        <v>0</v>
      </c>
      <c r="AG21" s="6">
        <f>countifs('6B'!$W$2:$W$627, AG$1, '6B'!$B$2:$B$627, "&gt;"&amp;$L$4, '6B'!$B$2:$B$627, "&lt;"&amp;$M$4)</f>
        <v>0</v>
      </c>
      <c r="AH21" s="6">
        <f>countifs('6B'!$W$2:$W$627, AH$1, '6B'!$B$2:$B$627, "&gt;"&amp;$L$4, '6B'!$B$2:$B$627, "&lt;"&amp;$M$4)</f>
        <v>0</v>
      </c>
      <c r="AI21" s="3">
        <v>5.0</v>
      </c>
      <c r="AJ21" s="3">
        <v>2.0</v>
      </c>
      <c r="AK21" s="3">
        <v>1.0</v>
      </c>
      <c r="AL21" s="7" t="str">
        <f>IFERROR(__xludf.DUMMYFUNCTION("AVERAGE.WEIGHTED($N$1:$T$1, N21:T21)"),"#DIV/0!")</f>
        <v>#DIV/0!</v>
      </c>
      <c r="AM21" s="7" t="str">
        <f>IFERROR(__xludf.DUMMYFUNCTION("AVERAGE.WEIGHTED($U$1:$AA$1, U21:AA21)"),"#DIV/0!")</f>
        <v>#DIV/0!</v>
      </c>
      <c r="AN21" s="13" t="str">
        <f>IFERROR(__xludf.DUMMYFUNCTION("AVERAGE.WEIGHTED($AB$1:$AH$1, AB21:AH21)"),"#DIV/0!")</f>
        <v>#DIV/0!</v>
      </c>
      <c r="AO21" s="7" t="str">
        <f t="shared" ref="AO21:AQ21" si="66">(AL21-1)*100/6</f>
        <v>#DIV/0!</v>
      </c>
      <c r="AP21" s="7" t="str">
        <f t="shared" si="66"/>
        <v>#DIV/0!</v>
      </c>
      <c r="AQ21" s="7" t="str">
        <f t="shared" si="66"/>
        <v>#DIV/0!</v>
      </c>
      <c r="AR21" s="6" t="str">
        <f t="shared" ref="AR21:AT21" si="67">Average($AO21:$AQ21)</f>
        <v>#DIV/0!</v>
      </c>
      <c r="AS21" s="6" t="str">
        <f t="shared" si="67"/>
        <v>#DIV/0!</v>
      </c>
      <c r="AT21" s="6" t="str">
        <f t="shared" si="67"/>
        <v>#DIV/0!</v>
      </c>
      <c r="AU21" s="8" t="str">
        <f t="shared" si="8"/>
        <v>#DIV/0!</v>
      </c>
      <c r="AV21" s="9">
        <f>countifs('6B'!$W$2:$W$542, AV$1, '6B'!$C$2:$C$542, "Karl")</f>
        <v>8</v>
      </c>
      <c r="AW21" s="9">
        <f>countifs('6B'!$W$2:$W$542, AW$1, '6B'!$C$2:$C$542, "Karl")</f>
        <v>0</v>
      </c>
      <c r="AX21" s="9">
        <f>countifs('6B'!$W$2:$W$542, AX$1, '6B'!$C$2:$C$542, "Karl")</f>
        <v>0</v>
      </c>
      <c r="AY21" s="9">
        <f>countifs('6B'!$W$2:$W$542, AY$1, '6B'!$C$2:$C$542, "Karl")</f>
        <v>0</v>
      </c>
      <c r="AZ21" s="9">
        <f>countifs('6B'!$W$2:$W$542, AZ$1, '6B'!$C$2:$C$542, "Karl")</f>
        <v>0</v>
      </c>
      <c r="BA21" s="9">
        <f>countifs('6B'!$W$2:$W$542, BA$1, '6B'!$C$2:$C$542, "Karl")</f>
        <v>2</v>
      </c>
      <c r="BB21" s="9">
        <f>countifs('6B'!$W$2:$W$542, BB$1, '6B'!$C$2:$C$542, "Karl")</f>
        <v>0</v>
      </c>
      <c r="BC21" s="9">
        <f>countifs('6B'!$W$2:$W$542, BC$1, '6B'!$C$2:$C$542, "Kona")</f>
        <v>6</v>
      </c>
      <c r="BD21" s="9">
        <f>countifs('6B'!$W$2:$W$542, BD$1, '6B'!$C$2:$C$542, "Kona")</f>
        <v>0</v>
      </c>
      <c r="BE21" s="9">
        <f>countifs('6B'!$W$2:$W$542, BE$1, '6B'!$C$2:$C$542, "Kona")</f>
        <v>0</v>
      </c>
      <c r="BF21" s="9">
        <f>countifs('6B'!$W$2:$W$542, BF$1, '6B'!$C$2:$C$542, "Kona")</f>
        <v>0</v>
      </c>
      <c r="BG21" s="9">
        <f>countifs('6B'!$W$2:$W$542, BG$1, '6B'!$C$2:$C$542, "Kona")</f>
        <v>0</v>
      </c>
      <c r="BH21" s="9">
        <f>countifs('6B'!$W$2:$W$542, BH$1, '6B'!$C$2:$C$542, "Kona")</f>
        <v>2</v>
      </c>
      <c r="BI21" s="9">
        <f>countifs('6B'!$W$2:$W$542, BI$1, '6B'!$C$2:$C$542, "Kona")</f>
        <v>3</v>
      </c>
      <c r="BJ21" s="9">
        <f t="shared" si="9"/>
        <v>10</v>
      </c>
      <c r="BK21" s="9">
        <f t="shared" si="10"/>
        <v>11</v>
      </c>
      <c r="BL21" s="7">
        <f>IFERROR(__xludf.DUMMYFUNCTION("AVERAGE.WEIGHTED($AV$1:$BB$1,AV21:BB21)"),2.0)</f>
        <v>2</v>
      </c>
      <c r="BM21" s="7">
        <f>IFERROR(__xludf.DUMMYFUNCTION("AVERAGE.WEIGHTED($BC$1:$BI$1,BC21:BI21)"),3.5454545454545454)</f>
        <v>3.545454545</v>
      </c>
      <c r="BN21" s="7">
        <f t="shared" ref="BN21:BO21" si="68">(BL21-1)*100/6</f>
        <v>16.66666667</v>
      </c>
      <c r="BO21" s="7">
        <f t="shared" si="68"/>
        <v>42.42424242</v>
      </c>
      <c r="BP21" s="8">
        <f t="shared" si="12"/>
        <v>29.54545455</v>
      </c>
      <c r="BQ21" s="8">
        <f t="shared" si="13"/>
        <v>29.54545455</v>
      </c>
      <c r="BR21" s="8">
        <f t="shared" si="14"/>
        <v>0.0008058713435</v>
      </c>
    </row>
    <row r="22">
      <c r="A22" s="3">
        <v>21.0</v>
      </c>
      <c r="B22" s="1" t="s">
        <v>49</v>
      </c>
      <c r="C22" s="6">
        <f>countif('6B'!$X$2:$X$627, C$1)</f>
        <v>1</v>
      </c>
      <c r="D22" s="6">
        <f>countif('6B'!$X$2:$X$627, D$1)</f>
        <v>0</v>
      </c>
      <c r="E22" s="6">
        <f>countif('6B'!$X$2:$X$627, E$1)</f>
        <v>2</v>
      </c>
      <c r="F22" s="6">
        <f>countif('6B'!$X$2:$X$627, F$1)</f>
        <v>2</v>
      </c>
      <c r="G22" s="6">
        <f>countif('6B'!$X$2:$X$627, G$1)</f>
        <v>1</v>
      </c>
      <c r="H22" s="6">
        <f>countif('6B'!$X$2:$X$627, H$1)</f>
        <v>4</v>
      </c>
      <c r="I22" s="6">
        <f>countif('6B'!$X$2:$X$627, I$1)</f>
        <v>11</v>
      </c>
      <c r="J22" s="6">
        <f t="shared" si="4"/>
        <v>21</v>
      </c>
      <c r="K22" s="7">
        <f t="shared" si="5"/>
        <v>5.761904762</v>
      </c>
      <c r="N22" s="6">
        <f>countifs('6B'!$X$2:$X$627, N$1, '6B'!$B$2:$B$627, "&gt;"&amp;$L$2, '6B'!$B$2:$B$627, "&lt;"&amp;$M$2)</f>
        <v>0</v>
      </c>
      <c r="O22" s="6">
        <f>countifs('6B'!$X$2:$X$627, O$1, '6B'!$B$2:$B$627, "&gt;"&amp;$L$2, '6B'!$B$2:$B$627, "&lt;"&amp;$M$2)</f>
        <v>0</v>
      </c>
      <c r="P22" s="6">
        <f>countifs('6B'!$X$2:$X$627, P$1, '6B'!$B$2:$B$627, "&gt;"&amp;$L$2, '6B'!$B$2:$B$627, "&lt;"&amp;$M$2)</f>
        <v>0</v>
      </c>
      <c r="Q22" s="6">
        <f>countifs('6B'!$X$2:$X$627, Q$1, '6B'!$B$2:$B$627, "&gt;"&amp;$L$2, '6B'!$B$2:$B$627, "&lt;"&amp;$M$2)</f>
        <v>0</v>
      </c>
      <c r="R22" s="6">
        <f>countifs('6B'!$X$2:$X$627, R$1, '6B'!$B$2:$B$627, "&gt;"&amp;$L$2, '6B'!$B$2:$B$627, "&lt;"&amp;$M$2)</f>
        <v>0</v>
      </c>
      <c r="S22" s="6">
        <f>countifs('6B'!$X$2:$X$627, S$1, '6B'!$B$2:$B$627, "&gt;"&amp;$L$2, '6B'!$B$2:$B$627, "&lt;"&amp;$M$2)</f>
        <v>0</v>
      </c>
      <c r="T22" s="6">
        <f>countifs('6B'!$X$2:$X$627, T$1, '6B'!$B$2:$B$627, "&gt;"&amp;$L$2, '6B'!$B$2:$B$627, "&lt;"&amp;$M$2)</f>
        <v>0</v>
      </c>
      <c r="U22" s="6">
        <f>countifs('6B'!$X$2:$X$627, U$1, '6B'!$B$2:$B$627, "&gt;"&amp;$L$3, '6B'!$B$2:$B$627, "&lt;"&amp;$M$3)</f>
        <v>0</v>
      </c>
      <c r="V22" s="6">
        <f>countifs('6B'!$X$2:$X$627, V$1, '6B'!$B$2:$B$627, "&gt;"&amp;$L$3, '6B'!$B$2:$B$627, "&lt;"&amp;$M$3)</f>
        <v>0</v>
      </c>
      <c r="W22" s="6">
        <f>countifs('6B'!$X$2:$X$627, W$1, '6B'!$B$2:$B$627, "&gt;"&amp;$L$3, '6B'!$B$2:$B$627, "&lt;"&amp;$M$3)</f>
        <v>0</v>
      </c>
      <c r="X22" s="6">
        <f>countifs('6B'!$X$2:$X$627, X$1, '6B'!$B$2:$B$627, "&gt;"&amp;$L$3, '6B'!$B$2:$B$627, "&lt;"&amp;$M$3)</f>
        <v>0</v>
      </c>
      <c r="Y22" s="6">
        <f>countifs('6B'!$X$2:$X$627, Y$1, '6B'!$B$2:$B$627, "&gt;"&amp;$L$3, '6B'!$B$2:$B$627, "&lt;"&amp;$M$3)</f>
        <v>0</v>
      </c>
      <c r="Z22" s="6">
        <f>countifs('6B'!$X$2:$X$627, Z$1, '6B'!$B$2:$B$627, "&gt;"&amp;$L$3, '6B'!$B$2:$B$627, "&lt;"&amp;$M$3)</f>
        <v>0</v>
      </c>
      <c r="AA22" s="6">
        <f>countifs('6B'!$X$2:$X$627, AA$1, '6B'!$B$2:$B$627, "&gt;"&amp;$L$3, '6B'!$B$2:$B$627, "&lt;"&amp;$M$3)</f>
        <v>0</v>
      </c>
      <c r="AB22" s="6">
        <f>countifs('6B'!$X$2:$X$627, AB$1, '6B'!$B$2:$B$627, "&gt;"&amp;$L$4, '6B'!$B$2:$B$627, "&lt;"&amp;$M$4)</f>
        <v>0</v>
      </c>
      <c r="AC22" s="6">
        <f>countifs('6B'!$X$2:$X$627, AC$1, '6B'!$B$2:$B$627, "&gt;"&amp;$L$4, '6B'!$B$2:$B$627, "&lt;"&amp;$M$4)</f>
        <v>0</v>
      </c>
      <c r="AD22" s="6">
        <f>countifs('6B'!$X$2:$X$627, AD$1, '6B'!$B$2:$B$627, "&gt;"&amp;$L$4, '6B'!$B$2:$B$627, "&lt;"&amp;$M$4)</f>
        <v>0</v>
      </c>
      <c r="AE22" s="6">
        <f>countifs('6B'!$X$2:$X$627, AE$1, '6B'!$B$2:$B$627, "&gt;"&amp;$L$4, '6B'!$B$2:$B$627, "&lt;"&amp;$M$4)</f>
        <v>0</v>
      </c>
      <c r="AF22" s="6">
        <f>countifs('6B'!$X$2:$X$627, AF$1, '6B'!$B$2:$B$627, "&gt;"&amp;$L$4, '6B'!$B$2:$B$627, "&lt;"&amp;$M$4)</f>
        <v>0</v>
      </c>
      <c r="AG22" s="6">
        <f>countifs('6B'!$X$2:$X$627, AG$1, '6B'!$B$2:$B$627, "&gt;"&amp;$L$4, '6B'!$B$2:$B$627, "&lt;"&amp;$M$4)</f>
        <v>0</v>
      </c>
      <c r="AH22" s="6">
        <f>countifs('6B'!$X$2:$X$627, AH$1, '6B'!$B$2:$B$627, "&gt;"&amp;$L$4, '6B'!$B$2:$B$627, "&lt;"&amp;$M$4)</f>
        <v>0</v>
      </c>
      <c r="AI22" s="3">
        <v>5.0</v>
      </c>
      <c r="AJ22" s="3">
        <v>2.0</v>
      </c>
      <c r="AK22" s="3">
        <v>1.0</v>
      </c>
      <c r="AL22" s="7" t="str">
        <f>IFERROR(__xludf.DUMMYFUNCTION("AVERAGE.WEIGHTED($N$1:$T$1, N22:T22)"),"#DIV/0!")</f>
        <v>#DIV/0!</v>
      </c>
      <c r="AM22" s="7" t="str">
        <f>IFERROR(__xludf.DUMMYFUNCTION("AVERAGE.WEIGHTED($U$1:$AA$1, U22:AA22)"),"#DIV/0!")</f>
        <v>#DIV/0!</v>
      </c>
      <c r="AN22" s="13" t="str">
        <f>IFERROR(__xludf.DUMMYFUNCTION("AVERAGE.WEIGHTED($AB$1:$AH$1, AB22:AH22)"),"#DIV/0!")</f>
        <v>#DIV/0!</v>
      </c>
      <c r="AO22" s="7" t="str">
        <f t="shared" ref="AO22:AQ22" si="69">(AL22-1)*100/6</f>
        <v>#DIV/0!</v>
      </c>
      <c r="AP22" s="7" t="str">
        <f t="shared" si="69"/>
        <v>#DIV/0!</v>
      </c>
      <c r="AQ22" s="7" t="str">
        <f t="shared" si="69"/>
        <v>#DIV/0!</v>
      </c>
      <c r="AR22" s="6" t="str">
        <f t="shared" ref="AR22:AT22" si="70">Average($AO22:$AQ22)</f>
        <v>#DIV/0!</v>
      </c>
      <c r="AS22" s="6" t="str">
        <f t="shared" si="70"/>
        <v>#DIV/0!</v>
      </c>
      <c r="AT22" s="6" t="str">
        <f t="shared" si="70"/>
        <v>#DIV/0!</v>
      </c>
      <c r="AU22" s="8" t="str">
        <f t="shared" si="8"/>
        <v>#DIV/0!</v>
      </c>
      <c r="AV22" s="9">
        <f>countifs('6B'!$X$2:$X$542, AV$1, '6B'!$C$2:$C$542, "Karl")</f>
        <v>0</v>
      </c>
      <c r="AW22" s="9">
        <f>countifs('6B'!$X$2:$X$542, AW$1, '6B'!$C$2:$C$542, "Karl")</f>
        <v>0</v>
      </c>
      <c r="AX22" s="9">
        <f>countifs('6B'!$X$2:$X$542, AX$1, '6B'!$C$2:$C$542, "Karl")</f>
        <v>1</v>
      </c>
      <c r="AY22" s="9">
        <f>countifs('6B'!$X$2:$X$542, AY$1, '6B'!$C$2:$C$542, "Karl")</f>
        <v>2</v>
      </c>
      <c r="AZ22" s="9">
        <f>countifs('6B'!$X$2:$X$542, AZ$1, '6B'!$C$2:$C$542, "Karl")</f>
        <v>1</v>
      </c>
      <c r="BA22" s="9">
        <f>countifs('6B'!$X$2:$X$542, BA$1, '6B'!$C$2:$C$542, "Karl")</f>
        <v>1</v>
      </c>
      <c r="BB22" s="9">
        <f>countifs('6B'!$X$2:$X$542, BB$1, '6B'!$C$2:$C$542, "Karl")</f>
        <v>5</v>
      </c>
      <c r="BC22" s="9">
        <f>countifs('6B'!$X$2:$X$542, BC$1, '6B'!$C$2:$C$542, "Kona")</f>
        <v>1</v>
      </c>
      <c r="BD22" s="9">
        <f>countifs('6B'!$X$2:$X$542, BD$1, '6B'!$C$2:$C$542, "Kona")</f>
        <v>0</v>
      </c>
      <c r="BE22" s="9">
        <f>countifs('6B'!$X$2:$X$542, BE$1, '6B'!$C$2:$C$542, "Kona")</f>
        <v>1</v>
      </c>
      <c r="BF22" s="9">
        <f>countifs('6B'!$X$2:$X$542, BF$1, '6B'!$C$2:$C$542, "Kona")</f>
        <v>0</v>
      </c>
      <c r="BG22" s="9">
        <f>countifs('6B'!$X$2:$X$542, BG$1, '6B'!$C$2:$C$542, "Kona")</f>
        <v>0</v>
      </c>
      <c r="BH22" s="9">
        <f>countifs('6B'!$X$2:$X$542, BH$1, '6B'!$C$2:$C$542, "Kona")</f>
        <v>3</v>
      </c>
      <c r="BI22" s="9">
        <f>countifs('6B'!$X$2:$X$542, BI$1, '6B'!$C$2:$C$542, "Kona")</f>
        <v>6</v>
      </c>
      <c r="BJ22" s="9">
        <f t="shared" si="9"/>
        <v>10</v>
      </c>
      <c r="BK22" s="9">
        <f t="shared" si="10"/>
        <v>11</v>
      </c>
      <c r="BL22" s="7">
        <f>IFERROR(__xludf.DUMMYFUNCTION("AVERAGE.WEIGHTED($AV$1:$BB$1,AV22:BB22)"),5.7)</f>
        <v>5.7</v>
      </c>
      <c r="BM22" s="7">
        <f>IFERROR(__xludf.DUMMYFUNCTION("AVERAGE.WEIGHTED($BC$1:$BI$1,BC22:BI22)"),5.818181818181818)</f>
        <v>5.818181818</v>
      </c>
      <c r="BN22" s="7">
        <f t="shared" ref="BN22:BO22" si="71">(BL22-1)*100/6</f>
        <v>78.33333333</v>
      </c>
      <c r="BO22" s="7">
        <f t="shared" si="71"/>
        <v>80.3030303</v>
      </c>
      <c r="BP22" s="8">
        <f t="shared" si="12"/>
        <v>79.31818182</v>
      </c>
      <c r="BQ22" s="8">
        <f t="shared" si="13"/>
        <v>79.31818182</v>
      </c>
      <c r="BR22" s="8">
        <f t="shared" si="14"/>
        <v>0.8757287229</v>
      </c>
    </row>
    <row r="23">
      <c r="A23" s="3">
        <v>22.0</v>
      </c>
      <c r="B23" s="1" t="s">
        <v>50</v>
      </c>
      <c r="C23" s="6">
        <f>countif('6B'!$Y$2:$Y$627, C$1)</f>
        <v>6</v>
      </c>
      <c r="D23" s="6">
        <f>countif('6B'!$Y$2:$Y$627, D$1)</f>
        <v>0</v>
      </c>
      <c r="E23" s="6">
        <f>countif('6B'!$Y$2:$Y$627, E$1)</f>
        <v>0</v>
      </c>
      <c r="F23" s="6">
        <f>countif('6B'!$Y$2:$Y$627, F$1)</f>
        <v>0</v>
      </c>
      <c r="G23" s="6">
        <f>countif('6B'!$Y$2:$Y$627, G$1)</f>
        <v>3</v>
      </c>
      <c r="H23" s="6">
        <f>countif('6B'!$Y$2:$Y$627, H$1)</f>
        <v>2</v>
      </c>
      <c r="I23" s="6">
        <f>countif('6B'!$Y$2:$Y$627, I$1)</f>
        <v>10</v>
      </c>
      <c r="J23" s="6">
        <f t="shared" si="4"/>
        <v>21</v>
      </c>
      <c r="K23" s="7">
        <f t="shared" si="5"/>
        <v>4.904761905</v>
      </c>
      <c r="N23" s="6">
        <f>countifs('6B'!$Y$2:$Y$627, N$1, '6B'!$B$2:$B$627, "&gt;"&amp;$L$2, '6B'!$B$2:$B$627, "&lt;"&amp;$M$2)</f>
        <v>0</v>
      </c>
      <c r="O23" s="6">
        <f>countifs('6B'!$Y$2:$Y$627, O$1, '6B'!$B$2:$B$627, "&gt;"&amp;$L$2, '6B'!$B$2:$B$627, "&lt;"&amp;$M$2)</f>
        <v>0</v>
      </c>
      <c r="P23" s="6">
        <f>countifs('6B'!$Y$2:$Y$627, P$1, '6B'!$B$2:$B$627, "&gt;"&amp;$L$2, '6B'!$B$2:$B$627, "&lt;"&amp;$M$2)</f>
        <v>0</v>
      </c>
      <c r="Q23" s="6">
        <f>countifs('6B'!$Y$2:$Y$627, Q$1, '6B'!$B$2:$B$627, "&gt;"&amp;$L$2, '6B'!$B$2:$B$627, "&lt;"&amp;$M$2)</f>
        <v>0</v>
      </c>
      <c r="R23" s="6">
        <f>countifs('6B'!$Y$2:$Y$627, R$1, '6B'!$B$2:$B$627, "&gt;"&amp;$L$2, '6B'!$B$2:$B$627, "&lt;"&amp;$M$2)</f>
        <v>0</v>
      </c>
      <c r="S23" s="6">
        <f>countifs('6B'!$Y$2:$Y$627, S$1, '6B'!$B$2:$B$627, "&gt;"&amp;$L$2, '6B'!$B$2:$B$627, "&lt;"&amp;$M$2)</f>
        <v>0</v>
      </c>
      <c r="T23" s="6">
        <f>countifs('6B'!$Y$2:$Y$627, T$1, '6B'!$B$2:$B$627, "&gt;"&amp;$L$2, '6B'!$B$2:$B$627, "&lt;"&amp;$M$2)</f>
        <v>0</v>
      </c>
      <c r="U23" s="6">
        <f>countifs('6B'!$Y$2:$Y$627, U$1, '6B'!$B$2:$B$627, "&gt;"&amp;$L$3, '6B'!$B$2:$B$627, "&lt;"&amp;$M$3)</f>
        <v>0</v>
      </c>
      <c r="V23" s="6">
        <f>countifs('6B'!$Y$2:$Y$627, V$1, '6B'!$B$2:$B$627, "&gt;"&amp;$L$3, '6B'!$B$2:$B$627, "&lt;"&amp;$M$3)</f>
        <v>0</v>
      </c>
      <c r="W23" s="6">
        <f>countifs('6B'!$Y$2:$Y$627, W$1, '6B'!$B$2:$B$627, "&gt;"&amp;$L$3, '6B'!$B$2:$B$627, "&lt;"&amp;$M$3)</f>
        <v>0</v>
      </c>
      <c r="X23" s="6">
        <f>countifs('6B'!$Y$2:$Y$627, X$1, '6B'!$B$2:$B$627, "&gt;"&amp;$L$3, '6B'!$B$2:$B$627, "&lt;"&amp;$M$3)</f>
        <v>0</v>
      </c>
      <c r="Y23" s="6">
        <f>countifs('6B'!$Y$2:$Y$627, Y$1, '6B'!$B$2:$B$627, "&gt;"&amp;$L$3, '6B'!$B$2:$B$627, "&lt;"&amp;$M$3)</f>
        <v>0</v>
      </c>
      <c r="Z23" s="6">
        <f>countifs('6B'!$Y$2:$Y$627, Z$1, '6B'!$B$2:$B$627, "&gt;"&amp;$L$3, '6B'!$B$2:$B$627, "&lt;"&amp;$M$3)</f>
        <v>0</v>
      </c>
      <c r="AA23" s="6">
        <f>countifs('6B'!$Y$2:$Y$627, AA$1, '6B'!$B$2:$B$627, "&gt;"&amp;$L$3, '6B'!$B$2:$B$627, "&lt;"&amp;$M$3)</f>
        <v>0</v>
      </c>
      <c r="AB23" s="6">
        <f>countifs('6B'!$Y$2:$Y$627, AB$1, '6B'!$B$2:$B$627, "&gt;"&amp;$L$4, '6B'!$B$2:$B$627, "&lt;"&amp;$M$4)</f>
        <v>0</v>
      </c>
      <c r="AC23" s="6">
        <f>countifs('6B'!$Y$2:$Y$627, AC$1, '6B'!$B$2:$B$627, "&gt;"&amp;$L$4, '6B'!$B$2:$B$627, "&lt;"&amp;$M$4)</f>
        <v>0</v>
      </c>
      <c r="AD23" s="6">
        <f>countifs('6B'!$Y$2:$Y$627, AD$1, '6B'!$B$2:$B$627, "&gt;"&amp;$L$4, '6B'!$B$2:$B$627, "&lt;"&amp;$M$4)</f>
        <v>0</v>
      </c>
      <c r="AE23" s="6">
        <f>countifs('6B'!$Y$2:$Y$627, AE$1, '6B'!$B$2:$B$627, "&gt;"&amp;$L$4, '6B'!$B$2:$B$627, "&lt;"&amp;$M$4)</f>
        <v>0</v>
      </c>
      <c r="AF23" s="6">
        <f>countifs('6B'!$Y$2:$Y$627, AF$1, '6B'!$B$2:$B$627, "&gt;"&amp;$L$4, '6B'!$B$2:$B$627, "&lt;"&amp;$M$4)</f>
        <v>0</v>
      </c>
      <c r="AG23" s="6">
        <f>countifs('6B'!$Y$2:$Y$627, AG$1, '6B'!$B$2:$B$627, "&gt;"&amp;$L$4, '6B'!$B$2:$B$627, "&lt;"&amp;$M$4)</f>
        <v>0</v>
      </c>
      <c r="AH23" s="6">
        <f>countifs('6B'!$Y$2:$Y$627, AH$1, '6B'!$B$2:$B$627, "&gt;"&amp;$L$4, '6B'!$B$2:$B$627, "&lt;"&amp;$M$4)</f>
        <v>0</v>
      </c>
      <c r="AI23" s="3">
        <v>5.0</v>
      </c>
      <c r="AJ23" s="3">
        <v>2.0</v>
      </c>
      <c r="AK23" s="3">
        <v>1.0</v>
      </c>
      <c r="AL23" s="7" t="str">
        <f>IFERROR(__xludf.DUMMYFUNCTION("AVERAGE.WEIGHTED($N$1:$T$1, N23:T23)"),"#DIV/0!")</f>
        <v>#DIV/0!</v>
      </c>
      <c r="AM23" s="7" t="str">
        <f>IFERROR(__xludf.DUMMYFUNCTION("AVERAGE.WEIGHTED($U$1:$AA$1, U23:AA23)"),"#DIV/0!")</f>
        <v>#DIV/0!</v>
      </c>
      <c r="AN23" s="13" t="str">
        <f>IFERROR(__xludf.DUMMYFUNCTION("AVERAGE.WEIGHTED($AB$1:$AH$1, AB23:AH23)"),"#DIV/0!")</f>
        <v>#DIV/0!</v>
      </c>
      <c r="AO23" s="7" t="str">
        <f t="shared" ref="AO23:AQ23" si="72">(AL23-1)*100/6</f>
        <v>#DIV/0!</v>
      </c>
      <c r="AP23" s="7" t="str">
        <f t="shared" si="72"/>
        <v>#DIV/0!</v>
      </c>
      <c r="AQ23" s="7" t="str">
        <f t="shared" si="72"/>
        <v>#DIV/0!</v>
      </c>
      <c r="AR23" s="6" t="str">
        <f t="shared" ref="AR23:AT23" si="73">Average($AO23:$AQ23)</f>
        <v>#DIV/0!</v>
      </c>
      <c r="AS23" s="6" t="str">
        <f t="shared" si="73"/>
        <v>#DIV/0!</v>
      </c>
      <c r="AT23" s="6" t="str">
        <f t="shared" si="73"/>
        <v>#DIV/0!</v>
      </c>
      <c r="AU23" s="8" t="str">
        <f t="shared" si="8"/>
        <v>#DIV/0!</v>
      </c>
      <c r="AV23" s="9">
        <f>countifs('6B'!$Y$2:$Y$542, AV$1, '6B'!$C$2:$C$542, "Karl")</f>
        <v>1</v>
      </c>
      <c r="AW23" s="9">
        <f>countifs('6B'!$Y$2:$Y$542, AW$1, '6B'!$C$2:$C$542, "Karl")</f>
        <v>0</v>
      </c>
      <c r="AX23" s="9">
        <f>countifs('6B'!$Y$2:$Y$542, AX$1, '6B'!$C$2:$C$542, "Karl")</f>
        <v>0</v>
      </c>
      <c r="AY23" s="9">
        <f>countifs('6B'!$Y$2:$Y$542, AY$1, '6B'!$C$2:$C$542, "Karl")</f>
        <v>0</v>
      </c>
      <c r="AZ23" s="9">
        <f>countifs('6B'!$Y$2:$Y$542, AZ$1, '6B'!$C$2:$C$542, "Karl")</f>
        <v>2</v>
      </c>
      <c r="BA23" s="9">
        <f>countifs('6B'!$Y$2:$Y$542, BA$1, '6B'!$C$2:$C$542, "Karl")</f>
        <v>2</v>
      </c>
      <c r="BB23" s="9">
        <f>countifs('6B'!$Y$2:$Y$542, BB$1, '6B'!$C$2:$C$542, "Karl")</f>
        <v>5</v>
      </c>
      <c r="BC23" s="9">
        <f>countifs('6B'!$Y$2:$Y$542, BC$1, '6B'!$C$2:$C$542, "Kona")</f>
        <v>5</v>
      </c>
      <c r="BD23" s="9">
        <f>countifs('6B'!$Y$2:$Y$542, BD$1, '6B'!$C$2:$C$542, "Kona")</f>
        <v>0</v>
      </c>
      <c r="BE23" s="9">
        <f>countifs('6B'!$Y$2:$Y$542, BE$1, '6B'!$C$2:$C$542, "Kona")</f>
        <v>0</v>
      </c>
      <c r="BF23" s="9">
        <f>countifs('6B'!$Y$2:$Y$542, BF$1, '6B'!$C$2:$C$542, "Kona")</f>
        <v>0</v>
      </c>
      <c r="BG23" s="9">
        <f>countifs('6B'!$Y$2:$Y$542, BG$1, '6B'!$C$2:$C$542, "Kona")</f>
        <v>1</v>
      </c>
      <c r="BH23" s="9">
        <f>countifs('6B'!$Y$2:$Y$542, BH$1, '6B'!$C$2:$C$542, "Kona")</f>
        <v>0</v>
      </c>
      <c r="BI23" s="9">
        <f>countifs('6B'!$Y$2:$Y$542, BI$1, '6B'!$C$2:$C$542, "Kona")</f>
        <v>5</v>
      </c>
      <c r="BJ23" s="9">
        <f t="shared" si="9"/>
        <v>10</v>
      </c>
      <c r="BK23" s="9">
        <f t="shared" si="10"/>
        <v>11</v>
      </c>
      <c r="BL23" s="7">
        <f>IFERROR(__xludf.DUMMYFUNCTION("AVERAGE.WEIGHTED($AV$1:$BB$1,AV23:BB23)"),5.8)</f>
        <v>5.8</v>
      </c>
      <c r="BM23" s="7">
        <f>IFERROR(__xludf.DUMMYFUNCTION("AVERAGE.WEIGHTED($BC$1:$BI$1,BC23:BI23)"),4.090909090909091)</f>
        <v>4.090909091</v>
      </c>
      <c r="BN23" s="7">
        <f t="shared" ref="BN23:BO23" si="74">(BL23-1)*100/6</f>
        <v>80</v>
      </c>
      <c r="BO23" s="7">
        <f t="shared" si="74"/>
        <v>51.51515152</v>
      </c>
      <c r="BP23" s="8">
        <f t="shared" si="12"/>
        <v>65.75757576</v>
      </c>
      <c r="BQ23" s="8">
        <f t="shared" si="13"/>
        <v>65.75757576</v>
      </c>
      <c r="BR23" s="8">
        <f t="shared" si="14"/>
        <v>0.01299691777</v>
      </c>
    </row>
    <row r="24">
      <c r="A24" s="3">
        <v>23.0</v>
      </c>
      <c r="B24" s="1" t="s">
        <v>51</v>
      </c>
      <c r="C24" s="6">
        <f>countif('6B'!$Z$2:$Z$627, C$1)</f>
        <v>14</v>
      </c>
      <c r="D24" s="6">
        <f>countif('6B'!$Z$2:$Z$627, D$1)</f>
        <v>0</v>
      </c>
      <c r="E24" s="6">
        <f>countif('6B'!$Z$2:$Z$627, E$1)</f>
        <v>0</v>
      </c>
      <c r="F24" s="6">
        <f>countif('6B'!$Z$2:$Z$627, F$1)</f>
        <v>0</v>
      </c>
      <c r="G24" s="6">
        <f>countif('6B'!$Z$2:$Z$627, G$1)</f>
        <v>1</v>
      </c>
      <c r="H24" s="6">
        <f>countif('6B'!$Z$2:$Z$627, H$1)</f>
        <v>0</v>
      </c>
      <c r="I24" s="6">
        <f>countif('6B'!$Z$2:$Z$627, I$1)</f>
        <v>6</v>
      </c>
      <c r="J24" s="6">
        <f t="shared" si="4"/>
        <v>21</v>
      </c>
      <c r="K24" s="7">
        <f t="shared" si="5"/>
        <v>2.904761905</v>
      </c>
      <c r="N24" s="6">
        <f>countifs('6B'!$Z$2:$Z$627, N$1, '6B'!$B$2:$B$627, "&gt;"&amp;$L$2, '6B'!$B$2:$B$627, "&lt;"&amp;$M$2)</f>
        <v>0</v>
      </c>
      <c r="O24" s="6">
        <f>countifs('6B'!$Z$2:$Z$627, O$1, '6B'!$B$2:$B$627, "&gt;"&amp;$L$2, '6B'!$B$2:$B$627, "&lt;"&amp;$M$2)</f>
        <v>0</v>
      </c>
      <c r="P24" s="6">
        <f>countifs('6B'!$Z$2:$Z$627, P$1, '6B'!$B$2:$B$627, "&gt;"&amp;$L$2, '6B'!$B$2:$B$627, "&lt;"&amp;$M$2)</f>
        <v>0</v>
      </c>
      <c r="Q24" s="6">
        <f>countifs('6B'!$Z$2:$Z$627, Q$1, '6B'!$B$2:$B$627, "&gt;"&amp;$L$2, '6B'!$B$2:$B$627, "&lt;"&amp;$M$2)</f>
        <v>0</v>
      </c>
      <c r="R24" s="6">
        <f>countifs('6B'!$Z$2:$Z$627, R$1, '6B'!$B$2:$B$627, "&gt;"&amp;$L$2, '6B'!$B$2:$B$627, "&lt;"&amp;$M$2)</f>
        <v>0</v>
      </c>
      <c r="S24" s="6">
        <f>countifs('6B'!$Z$2:$Z$627, S$1, '6B'!$B$2:$B$627, "&gt;"&amp;$L$2, '6B'!$B$2:$B$627, "&lt;"&amp;$M$2)</f>
        <v>0</v>
      </c>
      <c r="T24" s="6">
        <f>countifs('6B'!$Z$2:$Z$627, T$1, '6B'!$B$2:$B$627, "&gt;"&amp;$L$2, '6B'!$B$2:$B$627, "&lt;"&amp;$M$2)</f>
        <v>0</v>
      </c>
      <c r="U24" s="6">
        <f>countifs('6B'!$Z$2:$Z$627, U$1, '6B'!$B$2:$B$627, "&gt;"&amp;$L$3, '6B'!$B$2:$B$627, "&lt;"&amp;$M$3)</f>
        <v>0</v>
      </c>
      <c r="V24" s="6">
        <f>countifs('6B'!$Z$2:$Z$627, V$1, '6B'!$B$2:$B$627, "&gt;"&amp;$L$3, '6B'!$B$2:$B$627, "&lt;"&amp;$M$3)</f>
        <v>0</v>
      </c>
      <c r="W24" s="6">
        <f>countifs('6B'!$Z$2:$Z$627, W$1, '6B'!$B$2:$B$627, "&gt;"&amp;$L$3, '6B'!$B$2:$B$627, "&lt;"&amp;$M$3)</f>
        <v>0</v>
      </c>
      <c r="X24" s="6">
        <f>countifs('6B'!$Z$2:$Z$627, X$1, '6B'!$B$2:$B$627, "&gt;"&amp;$L$3, '6B'!$B$2:$B$627, "&lt;"&amp;$M$3)</f>
        <v>0</v>
      </c>
      <c r="Y24" s="6">
        <f>countifs('6B'!$Z$2:$Z$627, Y$1, '6B'!$B$2:$B$627, "&gt;"&amp;$L$3, '6B'!$B$2:$B$627, "&lt;"&amp;$M$3)</f>
        <v>0</v>
      </c>
      <c r="Z24" s="6">
        <f>countifs('6B'!$Z$2:$Z$627, Z$1, '6B'!$B$2:$B$627, "&gt;"&amp;$L$3, '6B'!$B$2:$B$627, "&lt;"&amp;$M$3)</f>
        <v>0</v>
      </c>
      <c r="AA24" s="6">
        <f>countifs('6B'!$Z$2:$Z$627, AA$1, '6B'!$B$2:$B$627, "&gt;"&amp;$L$3, '6B'!$B$2:$B$627, "&lt;"&amp;$M$3)</f>
        <v>0</v>
      </c>
      <c r="AB24" s="6">
        <f>countifs('6B'!$Z$2:$Z$627, AB$1, '6B'!$B$2:$B$627, "&gt;"&amp;$L$4, '6B'!$B$2:$B$627, "&lt;"&amp;$M$4)</f>
        <v>0</v>
      </c>
      <c r="AC24" s="6">
        <f>countifs('6B'!$Z$2:$Z$627, AC$1, '6B'!$B$2:$B$627, "&gt;"&amp;$L$4, '6B'!$B$2:$B$627, "&lt;"&amp;$M$4)</f>
        <v>0</v>
      </c>
      <c r="AD24" s="6">
        <f>countifs('6B'!$Z$2:$Z$627, AD$1, '6B'!$B$2:$B$627, "&gt;"&amp;$L$4, '6B'!$B$2:$B$627, "&lt;"&amp;$M$4)</f>
        <v>0</v>
      </c>
      <c r="AE24" s="6">
        <f>countifs('6B'!$Z$2:$Z$627, AE$1, '6B'!$B$2:$B$627, "&gt;"&amp;$L$4, '6B'!$B$2:$B$627, "&lt;"&amp;$M$4)</f>
        <v>0</v>
      </c>
      <c r="AF24" s="6">
        <f>countifs('6B'!$Z$2:$Z$627, AF$1, '6B'!$B$2:$B$627, "&gt;"&amp;$L$4, '6B'!$B$2:$B$627, "&lt;"&amp;$M$4)</f>
        <v>0</v>
      </c>
      <c r="AG24" s="6">
        <f>countifs('6B'!$Z$2:$Z$627, AG$1, '6B'!$B$2:$B$627, "&gt;"&amp;$L$4, '6B'!$B$2:$B$627, "&lt;"&amp;$M$4)</f>
        <v>0</v>
      </c>
      <c r="AH24" s="6">
        <f>countifs('6B'!$Z$2:$Z$627, AH$1, '6B'!$B$2:$B$627, "&gt;"&amp;$L$4, '6B'!$B$2:$B$627, "&lt;"&amp;$M$4)</f>
        <v>0</v>
      </c>
      <c r="AI24" s="3">
        <v>5.0</v>
      </c>
      <c r="AJ24" s="3">
        <v>2.0</v>
      </c>
      <c r="AK24" s="3">
        <v>1.0</v>
      </c>
      <c r="AL24" s="7" t="str">
        <f>IFERROR(__xludf.DUMMYFUNCTION("AVERAGE.WEIGHTED($N$1:$T$1, N24:T24)"),"#DIV/0!")</f>
        <v>#DIV/0!</v>
      </c>
      <c r="AM24" s="7" t="str">
        <f>IFERROR(__xludf.DUMMYFUNCTION("AVERAGE.WEIGHTED($U$1:$AA$1, U24:AA24)"),"#DIV/0!")</f>
        <v>#DIV/0!</v>
      </c>
      <c r="AN24" s="13" t="str">
        <f>IFERROR(__xludf.DUMMYFUNCTION("AVERAGE.WEIGHTED($AB$1:$AH$1, AB24:AH24)"),"#DIV/0!")</f>
        <v>#DIV/0!</v>
      </c>
      <c r="AO24" s="7" t="str">
        <f t="shared" ref="AO24:AQ24" si="75">(AL24-1)*100/6</f>
        <v>#DIV/0!</v>
      </c>
      <c r="AP24" s="7" t="str">
        <f t="shared" si="75"/>
        <v>#DIV/0!</v>
      </c>
      <c r="AQ24" s="7" t="str">
        <f t="shared" si="75"/>
        <v>#DIV/0!</v>
      </c>
      <c r="AR24" s="6" t="str">
        <f t="shared" ref="AR24:AT24" si="76">Average($AO24:$AQ24)</f>
        <v>#DIV/0!</v>
      </c>
      <c r="AS24" s="6" t="str">
        <f t="shared" si="76"/>
        <v>#DIV/0!</v>
      </c>
      <c r="AT24" s="6" t="str">
        <f t="shared" si="76"/>
        <v>#DIV/0!</v>
      </c>
      <c r="AU24" s="8" t="str">
        <f t="shared" si="8"/>
        <v>#DIV/0!</v>
      </c>
      <c r="AV24" s="9">
        <f>countifs('6B'!$Z$2:$Z$542, AV$1, '6B'!$C$2:$C$542, "Karl")</f>
        <v>6</v>
      </c>
      <c r="AW24" s="9">
        <f>countifs('6B'!$Z$2:$Z$542, AW$1, '6B'!$C$2:$C$542, "Karl")</f>
        <v>0</v>
      </c>
      <c r="AX24" s="9">
        <f>countifs('6B'!$Z$2:$Z$542, AX$1, '6B'!$C$2:$C$542, "Karl")</f>
        <v>0</v>
      </c>
      <c r="AY24" s="9">
        <f>countifs('6B'!$Z$2:$Z$542, AY$1, '6B'!$C$2:$C$542, "Karl")</f>
        <v>0</v>
      </c>
      <c r="AZ24" s="9">
        <f>countifs('6B'!$Z$2:$Z$542, AZ$1, '6B'!$C$2:$C$542, "Karl")</f>
        <v>1</v>
      </c>
      <c r="BA24" s="9">
        <f>countifs('6B'!$Z$2:$Z$542, BA$1, '6B'!$C$2:$C$542, "Karl")</f>
        <v>0</v>
      </c>
      <c r="BB24" s="9">
        <f>countifs('6B'!$Z$2:$Z$542, BB$1, '6B'!$C$2:$C$542, "Karl")</f>
        <v>3</v>
      </c>
      <c r="BC24" s="9">
        <f>countifs('6B'!$Z$2:$Z$542, BC$1, '6B'!$C$2:$C$542, "Kona")</f>
        <v>8</v>
      </c>
      <c r="BD24" s="9">
        <f>countifs('6B'!$Z$2:$Z$542, BD$1, '6B'!$C$2:$C$542, "Kona")</f>
        <v>0</v>
      </c>
      <c r="BE24" s="9">
        <f>countifs('6B'!$Z$2:$Z$542, BE$1, '6B'!$C$2:$C$542, "Kona")</f>
        <v>0</v>
      </c>
      <c r="BF24" s="9">
        <f>countifs('6B'!$Z$2:$Z$542, BF$1, '6B'!$C$2:$C$542, "Kona")</f>
        <v>0</v>
      </c>
      <c r="BG24" s="9">
        <f>countifs('6B'!$Z$2:$Z$542, BG$1, '6B'!$C$2:$C$542, "Kona")</f>
        <v>0</v>
      </c>
      <c r="BH24" s="9">
        <f>countifs('6B'!$Z$2:$Z$542, BH$1, '6B'!$C$2:$C$542, "Kona")</f>
        <v>0</v>
      </c>
      <c r="BI24" s="9">
        <f>countifs('6B'!$Z$2:$Z$542, BI$1, '6B'!$C$2:$C$542, "Kona")</f>
        <v>3</v>
      </c>
      <c r="BJ24" s="9">
        <f t="shared" si="9"/>
        <v>10</v>
      </c>
      <c r="BK24" s="9">
        <f t="shared" si="10"/>
        <v>11</v>
      </c>
      <c r="BL24" s="7">
        <f>IFERROR(__xludf.DUMMYFUNCTION("AVERAGE.WEIGHTED($AV$1:$BB$1,AV24:BB24)"),3.1999999999999997)</f>
        <v>3.2</v>
      </c>
      <c r="BM24" s="7">
        <f>IFERROR(__xludf.DUMMYFUNCTION("AVERAGE.WEIGHTED($BC$1:$BI$1,BC24:BI24)"),2.6363636363636362)</f>
        <v>2.636363636</v>
      </c>
      <c r="BN24" s="7">
        <f t="shared" ref="BN24:BO24" si="77">(BL24-1)*100/6</f>
        <v>36.66666667</v>
      </c>
      <c r="BO24" s="7">
        <f t="shared" si="77"/>
        <v>27.27272727</v>
      </c>
      <c r="BP24" s="8">
        <f t="shared" si="12"/>
        <v>31.96969697</v>
      </c>
      <c r="BQ24" s="8">
        <f t="shared" si="13"/>
        <v>31.96969697</v>
      </c>
      <c r="BR24" s="8">
        <f t="shared" si="14"/>
        <v>0.2400752182</v>
      </c>
    </row>
    <row r="25">
      <c r="A25" s="3">
        <v>24.0</v>
      </c>
      <c r="B25" s="1" t="s">
        <v>52</v>
      </c>
      <c r="C25" s="6">
        <f>countif('6B'!$AA$2:$AA$627, C$1)</f>
        <v>2</v>
      </c>
      <c r="D25" s="6">
        <f>countif('6B'!$AA$2:$AA$627, D$1)</f>
        <v>1</v>
      </c>
      <c r="E25" s="6">
        <f>countif('6B'!$AA$2:$AA$627, E$1)</f>
        <v>1</v>
      </c>
      <c r="F25" s="6">
        <f>countif('6B'!$AA$2:$AA$627, F$1)</f>
        <v>1</v>
      </c>
      <c r="G25" s="6">
        <f>countif('6B'!$AA$2:$AA$627, G$1)</f>
        <v>1</v>
      </c>
      <c r="H25" s="6">
        <f>countif('6B'!$AA$2:$AA$627, H$1)</f>
        <v>3</v>
      </c>
      <c r="I25" s="6">
        <f>countif('6B'!$AA$2:$AA$627, I$1)</f>
        <v>12</v>
      </c>
      <c r="J25" s="6">
        <f t="shared" si="4"/>
        <v>21</v>
      </c>
      <c r="K25" s="7">
        <f t="shared" si="5"/>
        <v>5.619047619</v>
      </c>
      <c r="N25" s="6">
        <f>countifs('6B'!$AA$2:$AA$627, N$1, '6B'!$B$2:$B$627, "&gt;"&amp;$L$2, '6B'!$B$2:$B$627, "&lt;"&amp;$M$2)</f>
        <v>0</v>
      </c>
      <c r="O25" s="6">
        <f>countifs('6B'!$AA$2:$AA$627, O$1, '6B'!$B$2:$B$627, "&gt;"&amp;$L$2, '6B'!$B$2:$B$627, "&lt;"&amp;$M$2)</f>
        <v>0</v>
      </c>
      <c r="P25" s="6">
        <f>countifs('6B'!$AA$2:$AA$627, P$1, '6B'!$B$2:$B$627, "&gt;"&amp;$L$2, '6B'!$B$2:$B$627, "&lt;"&amp;$M$2)</f>
        <v>0</v>
      </c>
      <c r="Q25" s="6">
        <f>countifs('6B'!$AA$2:$AA$627, Q$1, '6B'!$B$2:$B$627, "&gt;"&amp;$L$2, '6B'!$B$2:$B$627, "&lt;"&amp;$M$2)</f>
        <v>0</v>
      </c>
      <c r="R25" s="6">
        <f>countifs('6B'!$AA$2:$AA$627, R$1, '6B'!$B$2:$B$627, "&gt;"&amp;$L$2, '6B'!$B$2:$B$627, "&lt;"&amp;$M$2)</f>
        <v>0</v>
      </c>
      <c r="S25" s="6">
        <f>countifs('6B'!$AA$2:$AA$627, S$1, '6B'!$B$2:$B$627, "&gt;"&amp;$L$2, '6B'!$B$2:$B$627, "&lt;"&amp;$M$2)</f>
        <v>0</v>
      </c>
      <c r="T25" s="6">
        <f>countifs('6B'!$AA$2:$AA$627, T$1, '6B'!$B$2:$B$627, "&gt;"&amp;$L$2, '6B'!$B$2:$B$627, "&lt;"&amp;$M$2)</f>
        <v>0</v>
      </c>
      <c r="U25" s="6">
        <f>countifs('6B'!$AA$2:$AA$627, U$1, '6B'!$B$2:$B$627, "&gt;"&amp;$L$3, '6B'!$B$2:$B$627, "&lt;"&amp;$M$3)</f>
        <v>0</v>
      </c>
      <c r="V25" s="6">
        <f>countifs('6B'!$AA$2:$AA$627, V$1, '6B'!$B$2:$B$627, "&gt;"&amp;$L$3, '6B'!$B$2:$B$627, "&lt;"&amp;$M$3)</f>
        <v>0</v>
      </c>
      <c r="W25" s="6">
        <f>countifs('6B'!$AA$2:$AA$627, W$1, '6B'!$B$2:$B$627, "&gt;"&amp;$L$3, '6B'!$B$2:$B$627, "&lt;"&amp;$M$3)</f>
        <v>0</v>
      </c>
      <c r="X25" s="6">
        <f>countifs('6B'!$AA$2:$AA$627, X$1, '6B'!$B$2:$B$627, "&gt;"&amp;$L$3, '6B'!$B$2:$B$627, "&lt;"&amp;$M$3)</f>
        <v>0</v>
      </c>
      <c r="Y25" s="6">
        <f>countifs('6B'!$AA$2:$AA$627, Y$1, '6B'!$B$2:$B$627, "&gt;"&amp;$L$3, '6B'!$B$2:$B$627, "&lt;"&amp;$M$3)</f>
        <v>0</v>
      </c>
      <c r="Z25" s="6">
        <f>countifs('6B'!$AA$2:$AA$627, Z$1, '6B'!$B$2:$B$627, "&gt;"&amp;$L$3, '6B'!$B$2:$B$627, "&lt;"&amp;$M$3)</f>
        <v>0</v>
      </c>
      <c r="AA25" s="6">
        <f>countifs('6B'!$AA$2:$AA$627, AA$1, '6B'!$B$2:$B$627, "&gt;"&amp;$L$3, '6B'!$B$2:$B$627, "&lt;"&amp;$M$3)</f>
        <v>0</v>
      </c>
      <c r="AB25" s="6">
        <f>countifs('6B'!$AA$2:$AA$627, AB$1, '6B'!$B$2:$B$627, "&gt;"&amp;$L$4, '6B'!$B$2:$B$627, "&lt;"&amp;$M$4)</f>
        <v>0</v>
      </c>
      <c r="AC25" s="6">
        <f>countifs('6B'!$AA$2:$AA$627, AC$1, '6B'!$B$2:$B$627, "&gt;"&amp;$L$4, '6B'!$B$2:$B$627, "&lt;"&amp;$M$4)</f>
        <v>0</v>
      </c>
      <c r="AD25" s="6">
        <f>countifs('6B'!$AA$2:$AA$627, AD$1, '6B'!$B$2:$B$627, "&gt;"&amp;$L$4, '6B'!$B$2:$B$627, "&lt;"&amp;$M$4)</f>
        <v>0</v>
      </c>
      <c r="AE25" s="6">
        <f>countifs('6B'!$AA$2:$AA$627, AE$1, '6B'!$B$2:$B$627, "&gt;"&amp;$L$4, '6B'!$B$2:$B$627, "&lt;"&amp;$M$4)</f>
        <v>0</v>
      </c>
      <c r="AF25" s="6">
        <f>countifs('6B'!$AA$2:$AA$627, AF$1, '6B'!$B$2:$B$627, "&gt;"&amp;$L$4, '6B'!$B$2:$B$627, "&lt;"&amp;$M$4)</f>
        <v>0</v>
      </c>
      <c r="AG25" s="6">
        <f>countifs('6B'!$AA$2:$AA$627, AG$1, '6B'!$B$2:$B$627, "&gt;"&amp;$L$4, '6B'!$B$2:$B$627, "&lt;"&amp;$M$4)</f>
        <v>0</v>
      </c>
      <c r="AH25" s="6">
        <f>countifs('6B'!$AA$2:$AA$627, AH$1, '6B'!$B$2:$B$627, "&gt;"&amp;$L$4, '6B'!$B$2:$B$627, "&lt;"&amp;$M$4)</f>
        <v>0</v>
      </c>
      <c r="AI25" s="3">
        <v>5.0</v>
      </c>
      <c r="AJ25" s="3">
        <v>2.0</v>
      </c>
      <c r="AK25" s="3">
        <v>1.0</v>
      </c>
      <c r="AL25" s="7" t="str">
        <f>IFERROR(__xludf.DUMMYFUNCTION("AVERAGE.WEIGHTED($N$1:$T$1, N25:T25)"),"#DIV/0!")</f>
        <v>#DIV/0!</v>
      </c>
      <c r="AM25" s="7" t="str">
        <f>IFERROR(__xludf.DUMMYFUNCTION("AVERAGE.WEIGHTED($U$1:$AA$1, U25:AA25)"),"#DIV/0!")</f>
        <v>#DIV/0!</v>
      </c>
      <c r="AN25" s="13" t="str">
        <f>IFERROR(__xludf.DUMMYFUNCTION("AVERAGE.WEIGHTED($AB$1:$AH$1, AB25:AH25)"),"#DIV/0!")</f>
        <v>#DIV/0!</v>
      </c>
      <c r="AO25" s="7" t="str">
        <f t="shared" ref="AO25:AQ25" si="78">(AL25-1)*100/6</f>
        <v>#DIV/0!</v>
      </c>
      <c r="AP25" s="7" t="str">
        <f t="shared" si="78"/>
        <v>#DIV/0!</v>
      </c>
      <c r="AQ25" s="7" t="str">
        <f t="shared" si="78"/>
        <v>#DIV/0!</v>
      </c>
      <c r="AR25" s="6" t="str">
        <f t="shared" ref="AR25:AT25" si="79">Average($AO25:$AQ25)</f>
        <v>#DIV/0!</v>
      </c>
      <c r="AS25" s="6" t="str">
        <f t="shared" si="79"/>
        <v>#DIV/0!</v>
      </c>
      <c r="AT25" s="6" t="str">
        <f t="shared" si="79"/>
        <v>#DIV/0!</v>
      </c>
      <c r="AU25" s="8" t="str">
        <f t="shared" si="8"/>
        <v>#DIV/0!</v>
      </c>
      <c r="AV25" s="9">
        <f>countifs('6B'!$AA$2:$AA$542, AV$1, '6B'!$C$2:$C$542, "Karl")</f>
        <v>0</v>
      </c>
      <c r="AW25" s="9">
        <f>countifs('6B'!$AA$2:$AA$542, AW$1, '6B'!$C$2:$C$542, "Karl")</f>
        <v>1</v>
      </c>
      <c r="AX25" s="9">
        <f>countifs('6B'!$AA$2:$AA$542, AX$1, '6B'!$C$2:$C$542, "Karl")</f>
        <v>1</v>
      </c>
      <c r="AY25" s="9">
        <f>countifs('6B'!$AA$2:$AA$542, AY$1, '6B'!$C$2:$C$542, "Karl")</f>
        <v>0</v>
      </c>
      <c r="AZ25" s="9">
        <f>countifs('6B'!$AA$2:$AA$542, AZ$1, '6B'!$C$2:$C$542, "Karl")</f>
        <v>0</v>
      </c>
      <c r="BA25" s="9">
        <f>countifs('6B'!$AA$2:$AA$542, BA$1, '6B'!$C$2:$C$542, "Karl")</f>
        <v>2</v>
      </c>
      <c r="BB25" s="9">
        <f>countifs('6B'!$AA$2:$AA$542, BB$1, '6B'!$C$2:$C$542, "Karl")</f>
        <v>6</v>
      </c>
      <c r="BC25" s="9">
        <f>countifs('6B'!$AA$2:$AA$542, BC$1, '6B'!$C$2:$C$542, "Kona")</f>
        <v>2</v>
      </c>
      <c r="BD25" s="9">
        <f>countifs('6B'!$AA$2:$AA$542, BD$1, '6B'!$C$2:$C$542, "Kona")</f>
        <v>0</v>
      </c>
      <c r="BE25" s="9">
        <f>countifs('6B'!$AA$2:$AA$542, BE$1, '6B'!$C$2:$C$542, "Kona")</f>
        <v>0</v>
      </c>
      <c r="BF25" s="9">
        <f>countifs('6B'!$AA$2:$AA$542, BF$1, '6B'!$C$2:$C$542, "Kona")</f>
        <v>1</v>
      </c>
      <c r="BG25" s="9">
        <f>countifs('6B'!$AA$2:$AA$542, BG$1, '6B'!$C$2:$C$542, "Kona")</f>
        <v>1</v>
      </c>
      <c r="BH25" s="9">
        <f>countifs('6B'!$AA$2:$AA$542, BH$1, '6B'!$C$2:$C$542, "Kona")</f>
        <v>1</v>
      </c>
      <c r="BI25" s="9">
        <f>countifs('6B'!$AA$2:$AA$542, BI$1, '6B'!$C$2:$C$542, "Kona")</f>
        <v>6</v>
      </c>
      <c r="BJ25" s="9">
        <f t="shared" si="9"/>
        <v>10</v>
      </c>
      <c r="BK25" s="9">
        <f t="shared" si="10"/>
        <v>11</v>
      </c>
      <c r="BL25" s="7">
        <f>IFERROR(__xludf.DUMMYFUNCTION("AVERAGE.WEIGHTED($AV$1:$BB$1,AV25:BB25)"),5.9)</f>
        <v>5.9</v>
      </c>
      <c r="BM25" s="7">
        <f>IFERROR(__xludf.DUMMYFUNCTION("AVERAGE.WEIGHTED($BC$1:$BI$1,BC25:BI25)"),5.363636363636363)</f>
        <v>5.363636364</v>
      </c>
      <c r="BN25" s="7">
        <f t="shared" ref="BN25:BO25" si="80">(BL25-1)*100/6</f>
        <v>81.66666667</v>
      </c>
      <c r="BO25" s="7">
        <f t="shared" si="80"/>
        <v>72.72727273</v>
      </c>
      <c r="BP25" s="8">
        <f t="shared" si="12"/>
        <v>77.1969697</v>
      </c>
      <c r="BQ25" s="8">
        <f t="shared" si="13"/>
        <v>77.1969697</v>
      </c>
      <c r="BR25" s="8">
        <f t="shared" si="14"/>
        <v>0.4718715202</v>
      </c>
    </row>
    <row r="26">
      <c r="A26" s="3">
        <v>25.0</v>
      </c>
      <c r="B26" s="1" t="s">
        <v>53</v>
      </c>
      <c r="C26" s="6">
        <f>countif('6B'!$AB$2:$AB$627, C$1)</f>
        <v>11</v>
      </c>
      <c r="D26" s="6">
        <f>countif('6B'!$AB$2:$AB$627, D$1)</f>
        <v>2</v>
      </c>
      <c r="E26" s="6">
        <f>countif('6B'!$AB$2:$AB$627, E$1)</f>
        <v>0</v>
      </c>
      <c r="F26" s="6">
        <f>countif('6B'!$AB$2:$AB$627, F$1)</f>
        <v>3</v>
      </c>
      <c r="G26" s="6">
        <f>countif('6B'!$AB$2:$AB$627, G$1)</f>
        <v>1</v>
      </c>
      <c r="H26" s="6">
        <f>countif('6B'!$AB$2:$AB$627, H$1)</f>
        <v>0</v>
      </c>
      <c r="I26" s="6">
        <f>countif('6B'!$AB$2:$AB$627, I$1)</f>
        <v>4</v>
      </c>
      <c r="J26" s="6">
        <f t="shared" si="4"/>
        <v>21</v>
      </c>
      <c r="K26" s="7">
        <f t="shared" si="5"/>
        <v>2.857142857</v>
      </c>
      <c r="N26" s="6">
        <f>countifs('6B'!$AB$2:$AB$627, N$1, '6B'!$B$2:$B$627, "&gt;"&amp;$L$2, '6B'!$B$2:$B$627, "&lt;"&amp;$M$2)</f>
        <v>0</v>
      </c>
      <c r="O26" s="6">
        <f>countifs('6B'!$AB$2:$AB$627, O$1, '6B'!$B$2:$B$627, "&gt;"&amp;$L$2, '6B'!$B$2:$B$627, "&lt;"&amp;$M$2)</f>
        <v>0</v>
      </c>
      <c r="P26" s="6">
        <f>countifs('6B'!$AB$2:$AB$627, P$1, '6B'!$B$2:$B$627, "&gt;"&amp;$L$2, '6B'!$B$2:$B$627, "&lt;"&amp;$M$2)</f>
        <v>0</v>
      </c>
      <c r="Q26" s="6">
        <f>countifs('6B'!$AB$2:$AB$627, Q$1, '6B'!$B$2:$B$627, "&gt;"&amp;$L$2, '6B'!$B$2:$B$627, "&lt;"&amp;$M$2)</f>
        <v>0</v>
      </c>
      <c r="R26" s="6">
        <f>countifs('6B'!$AB$2:$AB$627, R$1, '6B'!$B$2:$B$627, "&gt;"&amp;$L$2, '6B'!$B$2:$B$627, "&lt;"&amp;$M$2)</f>
        <v>0</v>
      </c>
      <c r="S26" s="6">
        <f>countifs('6B'!$AB$2:$AB$627, S$1, '6B'!$B$2:$B$627, "&gt;"&amp;$L$2, '6B'!$B$2:$B$627, "&lt;"&amp;$M$2)</f>
        <v>0</v>
      </c>
      <c r="T26" s="6">
        <f>countifs('6B'!$AB$2:$AB$627, T$1, '6B'!$B$2:$B$627, "&gt;"&amp;$L$2, '6B'!$B$2:$B$627, "&lt;"&amp;$M$2)</f>
        <v>0</v>
      </c>
      <c r="U26" s="6">
        <f>countifs('6B'!$AB$2:$AB$627, U$1, '6B'!$B$2:$B$627, "&gt;"&amp;$L$3, '6B'!$B$2:$B$627, "&lt;"&amp;$M$3)</f>
        <v>0</v>
      </c>
      <c r="V26" s="6">
        <f>countifs('6B'!$AB$2:$AB$627, V$1, '6B'!$B$2:$B$627, "&gt;"&amp;$L$3, '6B'!$B$2:$B$627, "&lt;"&amp;$M$3)</f>
        <v>0</v>
      </c>
      <c r="W26" s="6">
        <f>countifs('6B'!$AB$2:$AB$627, W$1, '6B'!$B$2:$B$627, "&gt;"&amp;$L$3, '6B'!$B$2:$B$627, "&lt;"&amp;$M$3)</f>
        <v>0</v>
      </c>
      <c r="X26" s="6">
        <f>countifs('6B'!$AB$2:$AB$627, X$1, '6B'!$B$2:$B$627, "&gt;"&amp;$L$3, '6B'!$B$2:$B$627, "&lt;"&amp;$M$3)</f>
        <v>0</v>
      </c>
      <c r="Y26" s="6">
        <f>countifs('6B'!$AB$2:$AB$627, Y$1, '6B'!$B$2:$B$627, "&gt;"&amp;$L$3, '6B'!$B$2:$B$627, "&lt;"&amp;$M$3)</f>
        <v>0</v>
      </c>
      <c r="Z26" s="6">
        <f>countifs('6B'!$AB$2:$AB$627, Z$1, '6B'!$B$2:$B$627, "&gt;"&amp;$L$3, '6B'!$B$2:$B$627, "&lt;"&amp;$M$3)</f>
        <v>0</v>
      </c>
      <c r="AA26" s="6">
        <f>countifs('6B'!$AB$2:$AB$627, AA$1, '6B'!$B$2:$B$627, "&gt;"&amp;$L$3, '6B'!$B$2:$B$627, "&lt;"&amp;$M$3)</f>
        <v>0</v>
      </c>
      <c r="AB26" s="6">
        <f>countifs('6B'!$AB$2:$AB$627, AB$1, '6B'!$B$2:$B$627, "&gt;"&amp;$L$4, '6B'!$B$2:$B$627, "&lt;"&amp;$M$4)</f>
        <v>0</v>
      </c>
      <c r="AC26" s="6">
        <f>countifs('6B'!$AB$2:$AB$627, AC$1, '6B'!$B$2:$B$627, "&gt;"&amp;$L$4, '6B'!$B$2:$B$627, "&lt;"&amp;$M$4)</f>
        <v>0</v>
      </c>
      <c r="AD26" s="6">
        <f>countifs('6B'!$AB$2:$AB$627, AD$1, '6B'!$B$2:$B$627, "&gt;"&amp;$L$4, '6B'!$B$2:$B$627, "&lt;"&amp;$M$4)</f>
        <v>0</v>
      </c>
      <c r="AE26" s="6">
        <f>countifs('6B'!$AB$2:$AB$627, AE$1, '6B'!$B$2:$B$627, "&gt;"&amp;$L$4, '6B'!$B$2:$B$627, "&lt;"&amp;$M$4)</f>
        <v>0</v>
      </c>
      <c r="AF26" s="6">
        <f>countifs('6B'!$AB$2:$AB$627, AF$1, '6B'!$B$2:$B$627, "&gt;"&amp;$L$4, '6B'!$B$2:$B$627, "&lt;"&amp;$M$4)</f>
        <v>0</v>
      </c>
      <c r="AG26" s="6">
        <f>countifs('6B'!$AB$2:$AB$627, AG$1, '6B'!$B$2:$B$627, "&gt;"&amp;$L$4, '6B'!$B$2:$B$627, "&lt;"&amp;$M$4)</f>
        <v>0</v>
      </c>
      <c r="AH26" s="6">
        <f>countifs('6B'!$AB$2:$AB$627, AH$1, '6B'!$B$2:$B$627, "&gt;"&amp;$L$4, '6B'!$B$2:$B$627, "&lt;"&amp;$M$4)</f>
        <v>0</v>
      </c>
      <c r="AI26" s="3">
        <v>5.0</v>
      </c>
      <c r="AJ26" s="3">
        <v>2.0</v>
      </c>
      <c r="AK26" s="3">
        <v>1.0</v>
      </c>
      <c r="AL26" s="7" t="str">
        <f>IFERROR(__xludf.DUMMYFUNCTION("AVERAGE.WEIGHTED($N$1:$T$1, N26:T26)"),"#DIV/0!")</f>
        <v>#DIV/0!</v>
      </c>
      <c r="AM26" s="7" t="str">
        <f>IFERROR(__xludf.DUMMYFUNCTION("AVERAGE.WEIGHTED($U$1:$AA$1, U26:AA26)"),"#DIV/0!")</f>
        <v>#DIV/0!</v>
      </c>
      <c r="AN26" s="13" t="str">
        <f>IFERROR(__xludf.DUMMYFUNCTION("AVERAGE.WEIGHTED($AB$1:$AH$1, AB26:AH26)"),"#DIV/0!")</f>
        <v>#DIV/0!</v>
      </c>
      <c r="AO26" s="7" t="str">
        <f t="shared" ref="AO26:AQ26" si="81">(AL26-1)*100/6</f>
        <v>#DIV/0!</v>
      </c>
      <c r="AP26" s="7" t="str">
        <f t="shared" si="81"/>
        <v>#DIV/0!</v>
      </c>
      <c r="AQ26" s="7" t="str">
        <f t="shared" si="81"/>
        <v>#DIV/0!</v>
      </c>
      <c r="AR26" s="6" t="str">
        <f t="shared" ref="AR26:AT26" si="82">Average($AO26:$AQ26)</f>
        <v>#DIV/0!</v>
      </c>
      <c r="AS26" s="6" t="str">
        <f t="shared" si="82"/>
        <v>#DIV/0!</v>
      </c>
      <c r="AT26" s="6" t="str">
        <f t="shared" si="82"/>
        <v>#DIV/0!</v>
      </c>
      <c r="AU26" s="8" t="str">
        <f t="shared" si="8"/>
        <v>#DIV/0!</v>
      </c>
      <c r="AV26" s="9">
        <f>countifs('6B'!$AB$2:$AB$542, AV$1, '6B'!$C$2:$C$542, "Karl")</f>
        <v>3</v>
      </c>
      <c r="AW26" s="9">
        <f>countifs('6B'!$AB$2:$AB$542, AW$1, '6B'!$C$2:$C$542, "Karl")</f>
        <v>2</v>
      </c>
      <c r="AX26" s="9">
        <f>countifs('6B'!$AB$2:$AB$542, AX$1, '6B'!$C$2:$C$542, "Karl")</f>
        <v>0</v>
      </c>
      <c r="AY26" s="9">
        <f>countifs('6B'!$AB$2:$AB$542, AY$1, '6B'!$C$2:$C$542, "Karl")</f>
        <v>2</v>
      </c>
      <c r="AZ26" s="9">
        <f>countifs('6B'!$AB$2:$AB$542, AZ$1, '6B'!$C$2:$C$542, "Karl")</f>
        <v>1</v>
      </c>
      <c r="BA26" s="9">
        <f>countifs('6B'!$AB$2:$AB$542, BA$1, '6B'!$C$2:$C$542, "Karl")</f>
        <v>0</v>
      </c>
      <c r="BB26" s="9">
        <f>countifs('6B'!$AB$2:$AB$542, BB$1, '6B'!$C$2:$C$542, "Karl")</f>
        <v>2</v>
      </c>
      <c r="BC26" s="9">
        <f>countifs('6B'!$AB$2:$AB$542, BC$1, '6B'!$C$2:$C$542, "Kona")</f>
        <v>8</v>
      </c>
      <c r="BD26" s="9">
        <f>countifs('6B'!$AB$2:$AB$542, BD$1, '6B'!$C$2:$C$542, "Kona")</f>
        <v>0</v>
      </c>
      <c r="BE26" s="9">
        <f>countifs('6B'!$AB$2:$AB$542, BE$1, '6B'!$C$2:$C$542, "Kona")</f>
        <v>0</v>
      </c>
      <c r="BF26" s="9">
        <f>countifs('6B'!$AB$2:$AB$542, BF$1, '6B'!$C$2:$C$542, "Kona")</f>
        <v>1</v>
      </c>
      <c r="BG26" s="9">
        <f>countifs('6B'!$AB$2:$AB$542, BG$1, '6B'!$C$2:$C$542, "Kona")</f>
        <v>0</v>
      </c>
      <c r="BH26" s="9">
        <f>countifs('6B'!$AB$2:$AB$542, BH$1, '6B'!$C$2:$C$542, "Kona")</f>
        <v>0</v>
      </c>
      <c r="BI26" s="9">
        <f>countifs('6B'!$AB$2:$AB$542, BI$1, '6B'!$C$2:$C$542, "Kona")</f>
        <v>2</v>
      </c>
      <c r="BJ26" s="9">
        <f t="shared" si="9"/>
        <v>10</v>
      </c>
      <c r="BK26" s="9">
        <f t="shared" si="10"/>
        <v>11</v>
      </c>
      <c r="BL26" s="7">
        <f>IFERROR(__xludf.DUMMYFUNCTION("AVERAGE.WEIGHTED($AV$1:$BB$1,AV26:BB26)"),3.4)</f>
        <v>3.4</v>
      </c>
      <c r="BM26" s="7">
        <f>IFERROR(__xludf.DUMMYFUNCTION("AVERAGE.WEIGHTED($BC$1:$BI$1,BC26:BI26)"),2.3636363636363638)</f>
        <v>2.363636364</v>
      </c>
      <c r="BN26" s="7">
        <f t="shared" ref="BN26:BO26" si="83">(BL26-1)*100/6</f>
        <v>40</v>
      </c>
      <c r="BO26" s="7">
        <f t="shared" si="83"/>
        <v>22.72727273</v>
      </c>
      <c r="BP26" s="8">
        <f t="shared" si="12"/>
        <v>31.36363636</v>
      </c>
      <c r="BQ26" s="8">
        <f t="shared" si="13"/>
        <v>31.36363636</v>
      </c>
      <c r="BR26" s="8">
        <f t="shared" si="14"/>
        <v>0.02919194294</v>
      </c>
    </row>
    <row r="27">
      <c r="A27" s="3"/>
      <c r="K27" s="7"/>
      <c r="AL27" s="7"/>
      <c r="AM27" s="7"/>
      <c r="AN27" s="13"/>
      <c r="AU27" s="8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8"/>
      <c r="BP27" s="8"/>
      <c r="BQ27" s="8"/>
      <c r="BR27" s="8"/>
    </row>
    <row r="28">
      <c r="K28" s="7"/>
      <c r="AL28" s="7"/>
      <c r="AM28" s="7"/>
      <c r="AN28" s="13"/>
      <c r="AU28" s="8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8"/>
      <c r="BP28" s="8"/>
      <c r="BQ28" s="8"/>
      <c r="BR28" s="8"/>
    </row>
    <row r="29">
      <c r="K29" s="7"/>
      <c r="AL29" s="7"/>
      <c r="AM29" s="7"/>
      <c r="AN29" s="13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</row>
    <row r="30">
      <c r="A30" s="3"/>
      <c r="K30" s="7"/>
      <c r="AL30" s="7"/>
      <c r="AM30" s="7"/>
      <c r="AN30" s="13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</row>
    <row r="31">
      <c r="K31" s="7"/>
      <c r="AL31" s="7"/>
      <c r="AM31" s="7"/>
      <c r="AN31" s="13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</row>
    <row r="32">
      <c r="K32" s="7"/>
      <c r="AL32" s="7"/>
      <c r="AM32" s="7"/>
      <c r="AN32" s="13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</row>
    <row r="33">
      <c r="A33" s="3"/>
      <c r="K33" s="7"/>
      <c r="AL33" s="7"/>
      <c r="AM33" s="7"/>
      <c r="AN33" s="13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</row>
    <row r="34">
      <c r="K34" s="7"/>
      <c r="AL34" s="7"/>
      <c r="AM34" s="7"/>
      <c r="AN34" s="13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</row>
    <row r="35">
      <c r="K35" s="7"/>
      <c r="AL35" s="7"/>
      <c r="AM35" s="7"/>
      <c r="AN35" s="13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</row>
    <row r="36">
      <c r="A36" s="3"/>
      <c r="K36" s="7"/>
      <c r="AL36" s="7"/>
      <c r="AM36" s="7"/>
      <c r="AN36" s="13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</row>
    <row r="37">
      <c r="K37" s="7"/>
      <c r="AL37" s="7"/>
      <c r="AM37" s="7"/>
      <c r="AN37" s="13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</row>
    <row r="38">
      <c r="K38" s="7"/>
      <c r="AL38" s="7"/>
      <c r="AM38" s="7"/>
      <c r="AN38" s="13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</row>
    <row r="39">
      <c r="A39" s="3"/>
      <c r="K39" s="7"/>
      <c r="AL39" s="7"/>
      <c r="AM39" s="7"/>
      <c r="AN39" s="13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</row>
    <row r="40">
      <c r="K40" s="7"/>
      <c r="AL40" s="7"/>
      <c r="AM40" s="7"/>
      <c r="AN40" s="13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</row>
    <row r="41">
      <c r="K41" s="7"/>
      <c r="AL41" s="7"/>
      <c r="AM41" s="7"/>
      <c r="AN41" s="13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</row>
    <row r="42">
      <c r="A42" s="3"/>
      <c r="K42" s="7"/>
      <c r="AL42" s="7"/>
      <c r="AM42" s="7"/>
      <c r="AN42" s="13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</row>
    <row r="43">
      <c r="K43" s="7"/>
      <c r="AL43" s="7"/>
      <c r="AM43" s="7"/>
      <c r="AN43" s="13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</row>
    <row r="44">
      <c r="K44" s="7"/>
      <c r="AL44" s="7"/>
      <c r="AM44" s="7"/>
      <c r="AN44" s="13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</row>
    <row r="45">
      <c r="A45" s="3"/>
      <c r="K45" s="7"/>
      <c r="AL45" s="7"/>
      <c r="AM45" s="7"/>
      <c r="AN45" s="13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</row>
    <row r="46">
      <c r="K46" s="7"/>
      <c r="AL46" s="7"/>
      <c r="AM46" s="7"/>
      <c r="AN46" s="13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</row>
    <row r="47">
      <c r="K47" s="7"/>
      <c r="AL47" s="7"/>
      <c r="AM47" s="7"/>
      <c r="AN47" s="13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</row>
    <row r="48">
      <c r="A48" s="3"/>
      <c r="K48" s="7"/>
      <c r="AL48" s="7"/>
      <c r="AM48" s="7"/>
      <c r="AN48" s="13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</row>
    <row r="49">
      <c r="K49" s="7"/>
      <c r="AL49" s="7"/>
      <c r="AM49" s="7"/>
      <c r="AN49" s="13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</row>
    <row r="50">
      <c r="K50" s="7"/>
      <c r="AL50" s="7"/>
      <c r="AM50" s="7"/>
      <c r="AN50" s="13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</row>
    <row r="51">
      <c r="A51" s="3"/>
      <c r="K51" s="7"/>
      <c r="AL51" s="7"/>
      <c r="AM51" s="7"/>
      <c r="AN51" s="13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</row>
    <row r="52"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</row>
    <row r="53"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</row>
    <row r="54"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</row>
    <row r="55"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</row>
    <row r="56"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</row>
    <row r="57"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</row>
    <row r="58"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</row>
    <row r="59"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</row>
    <row r="60"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</row>
    <row r="61"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</row>
    <row r="62"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</row>
    <row r="63"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</row>
    <row r="64"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</row>
    <row r="65"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</row>
    <row r="66"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</row>
    <row r="67"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</row>
    <row r="68"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</row>
    <row r="69"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</row>
    <row r="70"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</row>
    <row r="71"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</row>
    <row r="72"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</row>
    <row r="73"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</row>
    <row r="74"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</row>
    <row r="75"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</row>
    <row r="76"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</row>
    <row r="77"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</row>
    <row r="78"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</row>
    <row r="79"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</row>
    <row r="80"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</row>
    <row r="81"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</row>
    <row r="82"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</row>
    <row r="83"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</row>
    <row r="84"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</row>
    <row r="85"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</row>
    <row r="86"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</row>
    <row r="87"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</row>
    <row r="88"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</row>
    <row r="89"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</row>
    <row r="90"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</row>
    <row r="91"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</row>
    <row r="92"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</row>
    <row r="93"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</row>
    <row r="94"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</row>
    <row r="95"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</row>
    <row r="96"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</row>
    <row r="97"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</row>
    <row r="98"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</row>
    <row r="99"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</row>
    <row r="100"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</row>
    <row r="101"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</row>
    <row r="102"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</row>
    <row r="103"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</row>
    <row r="104"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</row>
    <row r="105"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</row>
    <row r="106"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</row>
    <row r="107"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</row>
    <row r="108"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</row>
    <row r="109"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</row>
    <row r="110"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</row>
    <row r="111"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</row>
    <row r="112"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</row>
    <row r="113"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</row>
    <row r="114"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</row>
    <row r="115"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</row>
    <row r="116"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</row>
    <row r="117"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</row>
    <row r="118"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</row>
    <row r="119"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</row>
    <row r="120"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</row>
    <row r="121"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</row>
    <row r="122"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</row>
    <row r="123"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</row>
    <row r="124"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</row>
    <row r="125"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</row>
    <row r="126"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</row>
    <row r="127"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</row>
    <row r="128"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</row>
    <row r="129"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</row>
    <row r="130"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</row>
    <row r="131"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</row>
    <row r="132"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</row>
    <row r="133"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</row>
    <row r="134"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</row>
    <row r="135"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</row>
    <row r="136"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</row>
    <row r="137"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</row>
    <row r="138"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</row>
    <row r="139"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</row>
    <row r="140"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</row>
    <row r="141"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</row>
    <row r="142"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</row>
    <row r="143"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</row>
    <row r="144"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</row>
    <row r="145"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</row>
    <row r="146"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</row>
    <row r="147"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</row>
    <row r="148"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</row>
    <row r="149"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</row>
    <row r="150"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</row>
    <row r="151"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</row>
    <row r="152"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</row>
    <row r="153"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</row>
    <row r="154"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</row>
    <row r="155"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</row>
    <row r="156"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</row>
    <row r="157"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</row>
    <row r="158"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</row>
    <row r="159"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</row>
    <row r="160"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</row>
    <row r="161"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</row>
    <row r="162"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</row>
    <row r="163"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</row>
    <row r="164"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</row>
    <row r="165"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</row>
    <row r="166"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</row>
    <row r="167"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</row>
    <row r="168"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</row>
    <row r="169"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</row>
    <row r="170"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</row>
    <row r="171"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</row>
    <row r="172"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</row>
    <row r="173"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</row>
    <row r="174"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</row>
    <row r="175"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</row>
    <row r="176"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</row>
    <row r="177"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</row>
    <row r="178"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</row>
    <row r="179"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</row>
    <row r="180"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</row>
    <row r="181"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</row>
    <row r="182"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</row>
    <row r="183"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</row>
    <row r="184"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</row>
    <row r="185"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</row>
    <row r="186"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</row>
    <row r="187"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</row>
    <row r="188"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</row>
    <row r="189"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</row>
    <row r="190"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</row>
    <row r="191"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</row>
    <row r="192"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</row>
    <row r="193"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</row>
    <row r="194"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</row>
    <row r="195"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</row>
    <row r="196"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</row>
    <row r="197"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</row>
    <row r="198"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</row>
    <row r="199"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</row>
    <row r="200"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</row>
    <row r="201"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</row>
    <row r="202"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</row>
    <row r="203"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</row>
    <row r="204"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</row>
    <row r="205"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</row>
    <row r="206"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</row>
    <row r="207"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</row>
    <row r="208"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</row>
    <row r="209"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</row>
    <row r="210"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</row>
    <row r="211"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</row>
    <row r="212"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</row>
    <row r="213"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</row>
    <row r="214"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</row>
    <row r="215"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</row>
    <row r="216"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</row>
    <row r="217"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</row>
    <row r="218"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</row>
    <row r="219"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</row>
    <row r="220"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</row>
    <row r="221"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</row>
    <row r="222"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</row>
    <row r="223"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</row>
    <row r="224"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</row>
    <row r="225"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</row>
    <row r="226"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</row>
    <row r="227"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</row>
    <row r="228"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</row>
    <row r="229"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</row>
    <row r="230"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</row>
    <row r="231"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</row>
    <row r="232"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</row>
    <row r="233"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</row>
    <row r="234"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</row>
    <row r="235"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</row>
    <row r="236"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</row>
    <row r="237"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</row>
    <row r="238"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</row>
    <row r="239"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</row>
    <row r="240"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</row>
    <row r="241"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</row>
    <row r="242"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</row>
    <row r="243"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</row>
    <row r="244"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</row>
    <row r="245"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</row>
    <row r="246"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</row>
    <row r="247"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</row>
    <row r="248"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</row>
    <row r="249"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</row>
    <row r="250"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</row>
    <row r="251"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</row>
    <row r="252"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</row>
    <row r="253"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</row>
    <row r="254"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</row>
    <row r="255"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</row>
    <row r="256"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</row>
    <row r="257"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</row>
    <row r="258"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</row>
    <row r="259"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</row>
    <row r="260"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</row>
    <row r="261"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</row>
    <row r="262"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</row>
    <row r="263"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</row>
    <row r="264"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</row>
    <row r="265"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</row>
    <row r="266"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</row>
    <row r="267"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</row>
    <row r="268"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</row>
    <row r="269"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</row>
    <row r="270"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</row>
    <row r="271"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</row>
    <row r="272"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</row>
    <row r="273"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</row>
    <row r="274"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</row>
    <row r="275"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</row>
    <row r="276"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</row>
    <row r="277"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</row>
    <row r="278"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</row>
    <row r="279"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</row>
    <row r="280"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</row>
    <row r="281"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</row>
    <row r="282"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</row>
    <row r="283"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</row>
    <row r="284"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</row>
    <row r="285"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</row>
    <row r="286"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</row>
    <row r="287"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</row>
    <row r="288"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</row>
    <row r="289"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</row>
    <row r="290"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</row>
    <row r="291"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</row>
    <row r="292"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</row>
    <row r="293"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</row>
    <row r="294"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</row>
    <row r="295"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</row>
    <row r="296"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</row>
    <row r="297"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</row>
    <row r="298"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</row>
    <row r="299"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</row>
    <row r="300"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</row>
    <row r="301"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</row>
    <row r="302"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</row>
    <row r="303"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</row>
    <row r="304"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</row>
    <row r="305"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</row>
    <row r="306"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</row>
    <row r="307"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</row>
    <row r="308"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</row>
    <row r="309"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</row>
    <row r="310"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</row>
    <row r="311"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</row>
    <row r="312"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</row>
    <row r="313"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</row>
    <row r="314"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</row>
    <row r="315"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</row>
    <row r="316"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</row>
    <row r="317"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</row>
    <row r="318"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</row>
    <row r="319"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</row>
    <row r="320"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</row>
    <row r="321"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</row>
    <row r="322"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</row>
    <row r="323"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</row>
    <row r="324"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</row>
    <row r="325"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</row>
    <row r="326"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</row>
    <row r="327"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</row>
    <row r="328"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</row>
    <row r="329"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</row>
    <row r="330"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</row>
    <row r="331"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</row>
    <row r="332"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</row>
    <row r="333"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</row>
    <row r="334"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</row>
    <row r="335"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</row>
    <row r="336"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</row>
    <row r="337"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</row>
    <row r="338"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</row>
    <row r="339"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</row>
    <row r="340"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</row>
    <row r="341"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</row>
    <row r="342"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</row>
    <row r="343"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</row>
    <row r="344"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</row>
    <row r="345"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</row>
    <row r="346"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</row>
    <row r="347"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</row>
    <row r="348"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</row>
    <row r="349"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</row>
    <row r="350"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</row>
    <row r="351"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</row>
    <row r="352"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</row>
    <row r="353"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</row>
    <row r="354"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</row>
    <row r="355"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</row>
    <row r="356"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</row>
    <row r="357"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</row>
    <row r="358"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</row>
    <row r="359"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</row>
    <row r="360"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</row>
    <row r="361"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</row>
    <row r="362"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</row>
    <row r="363"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</row>
    <row r="364"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</row>
    <row r="365"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</row>
    <row r="366"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</row>
    <row r="367"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</row>
    <row r="368"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</row>
    <row r="369"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</row>
    <row r="370"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</row>
    <row r="371"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</row>
    <row r="372"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</row>
    <row r="373"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</row>
    <row r="374"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</row>
    <row r="375"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</row>
    <row r="376"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</row>
    <row r="377"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</row>
    <row r="378"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</row>
    <row r="379"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</row>
    <row r="380"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</row>
    <row r="381"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</row>
    <row r="382"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</row>
    <row r="383"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</row>
    <row r="384"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</row>
    <row r="385"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</row>
    <row r="386"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</row>
    <row r="387"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</row>
    <row r="388"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</row>
    <row r="389"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</row>
    <row r="390"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</row>
    <row r="391"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</row>
    <row r="392"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</row>
    <row r="393"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</row>
    <row r="394"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</row>
    <row r="395"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</row>
    <row r="396"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</row>
    <row r="397"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</row>
    <row r="398"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</row>
    <row r="399"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</row>
    <row r="400"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</row>
    <row r="401"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</row>
    <row r="402"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</row>
    <row r="403"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</row>
    <row r="404"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</row>
    <row r="405"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</row>
    <row r="406"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</row>
    <row r="407"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</row>
    <row r="408"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</row>
    <row r="409"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</row>
    <row r="410"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</row>
    <row r="411"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</row>
    <row r="412"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</row>
    <row r="413"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</row>
    <row r="414"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</row>
    <row r="415"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</row>
    <row r="416"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</row>
    <row r="417"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</row>
    <row r="418"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</row>
    <row r="419"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</row>
    <row r="420"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</row>
    <row r="421"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</row>
    <row r="422"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</row>
    <row r="423"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</row>
    <row r="424"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</row>
    <row r="425"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</row>
    <row r="426"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</row>
    <row r="427"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</row>
    <row r="428"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</row>
    <row r="429"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</row>
    <row r="430"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</row>
    <row r="431"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</row>
    <row r="432"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</row>
    <row r="433"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</row>
    <row r="434"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</row>
    <row r="435"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</row>
    <row r="436"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</row>
    <row r="437"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</row>
    <row r="438"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</row>
    <row r="439"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</row>
    <row r="440"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</row>
    <row r="441"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</row>
    <row r="442"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</row>
    <row r="443"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</row>
    <row r="444"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</row>
    <row r="445"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</row>
    <row r="446"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</row>
    <row r="447"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</row>
    <row r="448"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</row>
    <row r="449"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</row>
    <row r="450"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</row>
    <row r="451"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</row>
    <row r="452"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</row>
    <row r="453"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</row>
    <row r="454"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</row>
    <row r="455"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</row>
    <row r="456"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</row>
    <row r="457"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</row>
    <row r="458"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</row>
    <row r="459"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</row>
    <row r="460"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</row>
    <row r="461"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</row>
    <row r="462"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</row>
    <row r="463"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</row>
    <row r="464"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</row>
    <row r="465"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</row>
    <row r="466"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</row>
    <row r="467"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</row>
    <row r="468"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</row>
    <row r="469"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</row>
    <row r="470"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</row>
    <row r="471"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</row>
    <row r="472"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</row>
    <row r="473"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</row>
    <row r="474"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</row>
    <row r="475"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</row>
    <row r="476"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</row>
    <row r="477"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</row>
    <row r="478"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</row>
    <row r="479"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</row>
    <row r="480"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</row>
    <row r="481"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</row>
    <row r="482"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</row>
    <row r="483"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</row>
    <row r="484"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</row>
    <row r="485"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</row>
    <row r="486"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</row>
    <row r="487"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</row>
    <row r="488"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</row>
    <row r="489"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</row>
    <row r="490"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</row>
    <row r="491"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</row>
    <row r="492"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</row>
    <row r="493"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</row>
    <row r="494"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</row>
    <row r="495"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</row>
    <row r="496"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</row>
    <row r="497"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</row>
    <row r="498"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</row>
    <row r="499"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</row>
    <row r="500"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</row>
    <row r="501"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</row>
    <row r="502"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</row>
    <row r="503"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</row>
    <row r="504"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</row>
    <row r="505"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</row>
    <row r="506"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</row>
    <row r="507"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</row>
    <row r="508"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</row>
    <row r="509"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</row>
    <row r="510"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</row>
    <row r="511"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</row>
    <row r="512"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</row>
    <row r="513"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</row>
    <row r="514"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</row>
    <row r="515"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</row>
    <row r="516"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</row>
    <row r="517"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</row>
    <row r="518"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</row>
    <row r="519"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</row>
    <row r="520"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</row>
    <row r="521"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</row>
    <row r="522"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</row>
    <row r="523"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</row>
    <row r="524"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</row>
    <row r="525"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</row>
    <row r="526"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</row>
    <row r="527"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</row>
    <row r="528"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</row>
    <row r="529"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</row>
    <row r="530"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</row>
    <row r="531"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</row>
    <row r="532"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</row>
    <row r="533"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</row>
    <row r="534"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</row>
    <row r="535"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</row>
    <row r="536"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</row>
    <row r="537"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</row>
    <row r="538"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</row>
    <row r="539"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</row>
    <row r="540"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</row>
    <row r="541"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</row>
    <row r="542"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</row>
    <row r="543"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</row>
    <row r="544"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</row>
    <row r="545"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</row>
    <row r="546"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</row>
    <row r="547"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</row>
    <row r="548"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</row>
    <row r="549"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</row>
    <row r="550"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</row>
    <row r="551"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</row>
    <row r="552"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</row>
    <row r="553"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</row>
    <row r="554"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</row>
    <row r="555"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</row>
    <row r="556"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</row>
    <row r="557"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</row>
    <row r="558"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</row>
    <row r="559"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</row>
    <row r="560"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</row>
    <row r="561"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</row>
    <row r="562"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</row>
    <row r="563"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</row>
    <row r="564"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</row>
    <row r="565"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</row>
    <row r="566"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</row>
    <row r="567"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</row>
    <row r="568"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</row>
    <row r="569"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</row>
    <row r="570"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</row>
    <row r="571"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</row>
    <row r="572"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</row>
    <row r="573"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</row>
    <row r="574"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</row>
    <row r="575"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</row>
    <row r="576"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</row>
    <row r="577"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</row>
    <row r="578"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  <c r="BN578" s="8"/>
      <c r="BO578" s="8"/>
      <c r="BP578" s="8"/>
      <c r="BQ578" s="8"/>
      <c r="BR578" s="8"/>
    </row>
    <row r="579"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  <c r="BN579" s="8"/>
      <c r="BO579" s="8"/>
      <c r="BP579" s="8"/>
      <c r="BQ579" s="8"/>
      <c r="BR579" s="8"/>
    </row>
    <row r="580"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  <c r="BN580" s="8"/>
      <c r="BO580" s="8"/>
      <c r="BP580" s="8"/>
      <c r="BQ580" s="8"/>
      <c r="BR580" s="8"/>
    </row>
    <row r="581"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  <c r="BN581" s="8"/>
      <c r="BO581" s="8"/>
      <c r="BP581" s="8"/>
      <c r="BQ581" s="8"/>
      <c r="BR581" s="8"/>
    </row>
    <row r="582"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  <c r="BN582" s="8"/>
      <c r="BO582" s="8"/>
      <c r="BP582" s="8"/>
      <c r="BQ582" s="8"/>
      <c r="BR582" s="8"/>
    </row>
    <row r="583"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  <c r="BN583" s="8"/>
      <c r="BO583" s="8"/>
      <c r="BP583" s="8"/>
      <c r="BQ583" s="8"/>
      <c r="BR583" s="8"/>
    </row>
    <row r="584"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  <c r="BN584" s="8"/>
      <c r="BO584" s="8"/>
      <c r="BP584" s="8"/>
      <c r="BQ584" s="8"/>
      <c r="BR584" s="8"/>
    </row>
    <row r="585"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  <c r="BN585" s="8"/>
      <c r="BO585" s="8"/>
      <c r="BP585" s="8"/>
      <c r="BQ585" s="8"/>
      <c r="BR585" s="8"/>
    </row>
    <row r="586"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  <c r="BN586" s="8"/>
      <c r="BO586" s="8"/>
      <c r="BP586" s="8"/>
      <c r="BQ586" s="8"/>
      <c r="BR586" s="8"/>
    </row>
    <row r="587"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  <c r="BN587" s="8"/>
      <c r="BO587" s="8"/>
      <c r="BP587" s="8"/>
      <c r="BQ587" s="8"/>
      <c r="BR587" s="8"/>
    </row>
    <row r="588"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  <c r="BN588" s="8"/>
      <c r="BO588" s="8"/>
      <c r="BP588" s="8"/>
      <c r="BQ588" s="8"/>
      <c r="BR588" s="8"/>
    </row>
    <row r="589"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  <c r="BN589" s="8"/>
      <c r="BO589" s="8"/>
      <c r="BP589" s="8"/>
      <c r="BQ589" s="8"/>
      <c r="BR589" s="8"/>
    </row>
    <row r="590"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  <c r="BN590" s="8"/>
      <c r="BO590" s="8"/>
      <c r="BP590" s="8"/>
      <c r="BQ590" s="8"/>
      <c r="BR590" s="8"/>
    </row>
    <row r="591"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  <c r="BN591" s="8"/>
      <c r="BO591" s="8"/>
      <c r="BP591" s="8"/>
      <c r="BQ591" s="8"/>
      <c r="BR591" s="8"/>
    </row>
    <row r="592"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  <c r="BN592" s="8"/>
      <c r="BO592" s="8"/>
      <c r="BP592" s="8"/>
      <c r="BQ592" s="8"/>
      <c r="BR592" s="8"/>
    </row>
    <row r="593"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  <c r="BN593" s="8"/>
      <c r="BO593" s="8"/>
      <c r="BP593" s="8"/>
      <c r="BQ593" s="8"/>
      <c r="BR593" s="8"/>
    </row>
    <row r="594"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  <c r="BN594" s="8"/>
      <c r="BO594" s="8"/>
      <c r="BP594" s="8"/>
      <c r="BQ594" s="8"/>
      <c r="BR594" s="8"/>
    </row>
    <row r="595"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  <c r="BN595" s="8"/>
      <c r="BO595" s="8"/>
      <c r="BP595" s="8"/>
      <c r="BQ595" s="8"/>
      <c r="BR595" s="8"/>
    </row>
    <row r="596"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  <c r="BN596" s="8"/>
      <c r="BO596" s="8"/>
      <c r="BP596" s="8"/>
      <c r="BQ596" s="8"/>
      <c r="BR596" s="8"/>
    </row>
    <row r="597"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  <c r="BN597" s="8"/>
      <c r="BO597" s="8"/>
      <c r="BP597" s="8"/>
      <c r="BQ597" s="8"/>
      <c r="BR597" s="8"/>
    </row>
    <row r="598"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  <c r="BN598" s="8"/>
      <c r="BO598" s="8"/>
      <c r="BP598" s="8"/>
      <c r="BQ598" s="8"/>
      <c r="BR598" s="8"/>
    </row>
    <row r="599"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  <c r="BN599" s="8"/>
      <c r="BO599" s="8"/>
      <c r="BP599" s="8"/>
      <c r="BQ599" s="8"/>
      <c r="BR599" s="8"/>
    </row>
    <row r="600"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  <c r="BN600" s="8"/>
      <c r="BO600" s="8"/>
      <c r="BP600" s="8"/>
      <c r="BQ600" s="8"/>
      <c r="BR600" s="8"/>
    </row>
    <row r="601"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  <c r="BN601" s="8"/>
      <c r="BO601" s="8"/>
      <c r="BP601" s="8"/>
      <c r="BQ601" s="8"/>
      <c r="BR601" s="8"/>
    </row>
    <row r="602"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  <c r="BN602" s="8"/>
      <c r="BO602" s="8"/>
      <c r="BP602" s="8"/>
      <c r="BQ602" s="8"/>
      <c r="BR602" s="8"/>
    </row>
    <row r="603"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  <c r="BN603" s="8"/>
      <c r="BO603" s="8"/>
      <c r="BP603" s="8"/>
      <c r="BQ603" s="8"/>
      <c r="BR603" s="8"/>
    </row>
    <row r="604"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  <c r="BN604" s="8"/>
      <c r="BO604" s="8"/>
      <c r="BP604" s="8"/>
      <c r="BQ604" s="8"/>
      <c r="BR604" s="8"/>
    </row>
    <row r="605"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  <c r="BN605" s="8"/>
      <c r="BO605" s="8"/>
      <c r="BP605" s="8"/>
      <c r="BQ605" s="8"/>
      <c r="BR605" s="8"/>
    </row>
    <row r="606"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  <c r="BN606" s="8"/>
      <c r="BO606" s="8"/>
      <c r="BP606" s="8"/>
      <c r="BQ606" s="8"/>
      <c r="BR606" s="8"/>
    </row>
    <row r="607"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  <c r="BN607" s="8"/>
      <c r="BO607" s="8"/>
      <c r="BP607" s="8"/>
      <c r="BQ607" s="8"/>
      <c r="BR607" s="8"/>
    </row>
    <row r="608"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  <c r="BN608" s="8"/>
      <c r="BO608" s="8"/>
      <c r="BP608" s="8"/>
      <c r="BQ608" s="8"/>
      <c r="BR608" s="8"/>
    </row>
    <row r="609"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  <c r="BN609" s="8"/>
      <c r="BO609" s="8"/>
      <c r="BP609" s="8"/>
      <c r="BQ609" s="8"/>
      <c r="BR609" s="8"/>
    </row>
    <row r="610"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  <c r="BN610" s="8"/>
      <c r="BO610" s="8"/>
      <c r="BP610" s="8"/>
      <c r="BQ610" s="8"/>
      <c r="BR610" s="8"/>
    </row>
    <row r="611"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  <c r="BN611" s="8"/>
      <c r="BO611" s="8"/>
      <c r="BP611" s="8"/>
      <c r="BQ611" s="8"/>
      <c r="BR611" s="8"/>
    </row>
    <row r="612"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  <c r="BN612" s="8"/>
      <c r="BO612" s="8"/>
      <c r="BP612" s="8"/>
      <c r="BQ612" s="8"/>
      <c r="BR612" s="8"/>
    </row>
    <row r="613"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  <c r="BN613" s="8"/>
      <c r="BO613" s="8"/>
      <c r="BP613" s="8"/>
      <c r="BQ613" s="8"/>
      <c r="BR613" s="8"/>
    </row>
    <row r="614"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  <c r="BN614" s="8"/>
      <c r="BO614" s="8"/>
      <c r="BP614" s="8"/>
      <c r="BQ614" s="8"/>
      <c r="BR614" s="8"/>
    </row>
    <row r="615"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  <c r="BN615" s="8"/>
      <c r="BO615" s="8"/>
      <c r="BP615" s="8"/>
      <c r="BQ615" s="8"/>
      <c r="BR615" s="8"/>
    </row>
    <row r="616"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</row>
    <row r="617"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</row>
    <row r="618"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</row>
    <row r="619"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</row>
    <row r="620"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</row>
    <row r="621"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</row>
    <row r="622"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</row>
    <row r="623"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  <c r="BN623" s="8"/>
      <c r="BO623" s="8"/>
      <c r="BP623" s="8"/>
      <c r="BQ623" s="8"/>
      <c r="BR623" s="8"/>
    </row>
    <row r="624"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  <c r="BN624" s="8"/>
      <c r="BO624" s="8"/>
      <c r="BP624" s="8"/>
      <c r="BQ624" s="8"/>
      <c r="BR624" s="8"/>
    </row>
    <row r="625"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  <c r="BN625" s="8"/>
      <c r="BO625" s="8"/>
      <c r="BP625" s="8"/>
      <c r="BQ625" s="8"/>
      <c r="BR625" s="8"/>
    </row>
    <row r="626"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</row>
    <row r="627"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  <c r="BN627" s="8"/>
      <c r="BO627" s="8"/>
      <c r="BP627" s="8"/>
      <c r="BQ627" s="8"/>
      <c r="BR627" s="8"/>
    </row>
    <row r="628"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  <c r="BN628" s="8"/>
      <c r="BO628" s="8"/>
      <c r="BP628" s="8"/>
      <c r="BQ628" s="8"/>
      <c r="BR628" s="8"/>
    </row>
    <row r="629"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  <c r="BN629" s="8"/>
      <c r="BO629" s="8"/>
      <c r="BP629" s="8"/>
      <c r="BQ629" s="8"/>
      <c r="BR629" s="8"/>
    </row>
    <row r="630"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  <c r="BN630" s="8"/>
      <c r="BO630" s="8"/>
      <c r="BP630" s="8"/>
      <c r="BQ630" s="8"/>
      <c r="BR630" s="8"/>
    </row>
    <row r="631"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  <c r="BN631" s="8"/>
      <c r="BO631" s="8"/>
      <c r="BP631" s="8"/>
      <c r="BQ631" s="8"/>
      <c r="BR631" s="8"/>
    </row>
    <row r="632"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  <c r="BN632" s="8"/>
      <c r="BO632" s="8"/>
      <c r="BP632" s="8"/>
      <c r="BQ632" s="8"/>
      <c r="BR632" s="8"/>
    </row>
    <row r="633"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  <c r="BN633" s="8"/>
      <c r="BO633" s="8"/>
      <c r="BP633" s="8"/>
      <c r="BQ633" s="8"/>
      <c r="BR633" s="8"/>
    </row>
    <row r="634"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  <c r="BN634" s="8"/>
      <c r="BO634" s="8"/>
      <c r="BP634" s="8"/>
      <c r="BQ634" s="8"/>
      <c r="BR634" s="8"/>
    </row>
    <row r="635"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  <c r="BN635" s="8"/>
      <c r="BO635" s="8"/>
      <c r="BP635" s="8"/>
      <c r="BQ635" s="8"/>
      <c r="BR635" s="8"/>
    </row>
    <row r="636"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  <c r="BN636" s="8"/>
      <c r="BO636" s="8"/>
      <c r="BP636" s="8"/>
      <c r="BQ636" s="8"/>
      <c r="BR636" s="8"/>
    </row>
    <row r="637"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  <c r="BN637" s="8"/>
      <c r="BO637" s="8"/>
      <c r="BP637" s="8"/>
      <c r="BQ637" s="8"/>
      <c r="BR637" s="8"/>
    </row>
    <row r="638"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  <c r="BN638" s="8"/>
      <c r="BO638" s="8"/>
      <c r="BP638" s="8"/>
      <c r="BQ638" s="8"/>
      <c r="BR638" s="8"/>
    </row>
    <row r="639"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  <c r="BN639" s="8"/>
      <c r="BO639" s="8"/>
      <c r="BP639" s="8"/>
      <c r="BQ639" s="8"/>
      <c r="BR639" s="8"/>
    </row>
    <row r="640"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  <c r="BN640" s="8"/>
      <c r="BO640" s="8"/>
      <c r="BP640" s="8"/>
      <c r="BQ640" s="8"/>
      <c r="BR640" s="8"/>
    </row>
    <row r="641"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  <c r="BN641" s="8"/>
      <c r="BO641" s="8"/>
      <c r="BP641" s="8"/>
      <c r="BQ641" s="8"/>
      <c r="BR641" s="8"/>
    </row>
    <row r="642"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  <c r="BN642" s="8"/>
      <c r="BO642" s="8"/>
      <c r="BP642" s="8"/>
      <c r="BQ642" s="8"/>
      <c r="BR642" s="8"/>
    </row>
    <row r="643"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  <c r="BN643" s="8"/>
      <c r="BO643" s="8"/>
      <c r="BP643" s="8"/>
      <c r="BQ643" s="8"/>
      <c r="BR643" s="8"/>
    </row>
    <row r="644"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  <c r="BN644" s="8"/>
      <c r="BO644" s="8"/>
      <c r="BP644" s="8"/>
      <c r="BQ644" s="8"/>
      <c r="BR644" s="8"/>
    </row>
    <row r="645"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  <c r="BN645" s="8"/>
      <c r="BO645" s="8"/>
      <c r="BP645" s="8"/>
      <c r="BQ645" s="8"/>
      <c r="BR645" s="8"/>
    </row>
    <row r="646"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  <c r="BN646" s="8"/>
      <c r="BO646" s="8"/>
      <c r="BP646" s="8"/>
      <c r="BQ646" s="8"/>
      <c r="BR646" s="8"/>
    </row>
    <row r="647"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  <c r="BN647" s="8"/>
      <c r="BO647" s="8"/>
      <c r="BP647" s="8"/>
      <c r="BQ647" s="8"/>
      <c r="BR647" s="8"/>
    </row>
    <row r="648"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  <c r="BN648" s="8"/>
      <c r="BO648" s="8"/>
      <c r="BP648" s="8"/>
      <c r="BQ648" s="8"/>
      <c r="BR648" s="8"/>
    </row>
    <row r="649"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  <c r="BN649" s="8"/>
      <c r="BO649" s="8"/>
      <c r="BP649" s="8"/>
      <c r="BQ649" s="8"/>
      <c r="BR649" s="8"/>
    </row>
    <row r="650"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  <c r="BN650" s="8"/>
      <c r="BO650" s="8"/>
      <c r="BP650" s="8"/>
      <c r="BQ650" s="8"/>
      <c r="BR650" s="8"/>
    </row>
    <row r="651"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  <c r="BN651" s="8"/>
      <c r="BO651" s="8"/>
      <c r="BP651" s="8"/>
      <c r="BQ651" s="8"/>
      <c r="BR651" s="8"/>
    </row>
    <row r="652"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  <c r="BN652" s="8"/>
      <c r="BO652" s="8"/>
      <c r="BP652" s="8"/>
      <c r="BQ652" s="8"/>
      <c r="BR652" s="8"/>
    </row>
    <row r="653"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  <c r="BN653" s="8"/>
      <c r="BO653" s="8"/>
      <c r="BP653" s="8"/>
      <c r="BQ653" s="8"/>
      <c r="BR653" s="8"/>
    </row>
    <row r="654"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  <c r="BN654" s="8"/>
      <c r="BO654" s="8"/>
      <c r="BP654" s="8"/>
      <c r="BQ654" s="8"/>
      <c r="BR654" s="8"/>
    </row>
    <row r="655"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  <c r="BN655" s="8"/>
      <c r="BO655" s="8"/>
      <c r="BP655" s="8"/>
      <c r="BQ655" s="8"/>
      <c r="BR655" s="8"/>
    </row>
    <row r="656"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  <c r="BN656" s="8"/>
      <c r="BO656" s="8"/>
      <c r="BP656" s="8"/>
      <c r="BQ656" s="8"/>
      <c r="BR656" s="8"/>
    </row>
    <row r="657"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  <c r="BN657" s="8"/>
      <c r="BO657" s="8"/>
      <c r="BP657" s="8"/>
      <c r="BQ657" s="8"/>
      <c r="BR657" s="8"/>
    </row>
    <row r="658"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  <c r="BN658" s="8"/>
      <c r="BO658" s="8"/>
      <c r="BP658" s="8"/>
      <c r="BQ658" s="8"/>
      <c r="BR658" s="8"/>
    </row>
    <row r="659"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  <c r="BN659" s="8"/>
      <c r="BO659" s="8"/>
      <c r="BP659" s="8"/>
      <c r="BQ659" s="8"/>
      <c r="BR659" s="8"/>
    </row>
    <row r="660"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  <c r="BN660" s="8"/>
      <c r="BO660" s="8"/>
      <c r="BP660" s="8"/>
      <c r="BQ660" s="8"/>
      <c r="BR660" s="8"/>
    </row>
    <row r="661"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  <c r="BN661" s="8"/>
      <c r="BO661" s="8"/>
      <c r="BP661" s="8"/>
      <c r="BQ661" s="8"/>
      <c r="BR661" s="8"/>
    </row>
    <row r="662"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  <c r="BN662" s="8"/>
      <c r="BO662" s="8"/>
      <c r="BP662" s="8"/>
      <c r="BQ662" s="8"/>
      <c r="BR662" s="8"/>
    </row>
    <row r="663"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  <c r="BN663" s="8"/>
      <c r="BO663" s="8"/>
      <c r="BP663" s="8"/>
      <c r="BQ663" s="8"/>
      <c r="BR663" s="8"/>
    </row>
    <row r="664"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  <c r="BN664" s="8"/>
      <c r="BO664" s="8"/>
      <c r="BP664" s="8"/>
      <c r="BQ664" s="8"/>
      <c r="BR664" s="8"/>
    </row>
    <row r="665"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  <c r="BN665" s="8"/>
      <c r="BO665" s="8"/>
      <c r="BP665" s="8"/>
      <c r="BQ665" s="8"/>
      <c r="BR665" s="8"/>
    </row>
    <row r="666"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  <c r="BN666" s="8"/>
      <c r="BO666" s="8"/>
      <c r="BP666" s="8"/>
      <c r="BQ666" s="8"/>
      <c r="BR666" s="8"/>
    </row>
    <row r="667"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  <c r="BN667" s="8"/>
      <c r="BO667" s="8"/>
      <c r="BP667" s="8"/>
      <c r="BQ667" s="8"/>
      <c r="BR667" s="8"/>
    </row>
    <row r="668"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  <c r="BN668" s="8"/>
      <c r="BO668" s="8"/>
      <c r="BP668" s="8"/>
      <c r="BQ668" s="8"/>
      <c r="BR668" s="8"/>
    </row>
    <row r="669"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  <c r="BN669" s="8"/>
      <c r="BO669" s="8"/>
      <c r="BP669" s="8"/>
      <c r="BQ669" s="8"/>
      <c r="BR669" s="8"/>
    </row>
    <row r="670"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  <c r="BN670" s="8"/>
      <c r="BO670" s="8"/>
      <c r="BP670" s="8"/>
      <c r="BQ670" s="8"/>
      <c r="BR670" s="8"/>
    </row>
    <row r="671"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  <c r="BN671" s="8"/>
      <c r="BO671" s="8"/>
      <c r="BP671" s="8"/>
      <c r="BQ671" s="8"/>
      <c r="BR671" s="8"/>
    </row>
    <row r="672"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  <c r="BN672" s="8"/>
      <c r="BO672" s="8"/>
      <c r="BP672" s="8"/>
      <c r="BQ672" s="8"/>
      <c r="BR672" s="8"/>
    </row>
    <row r="673"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  <c r="BN673" s="8"/>
      <c r="BO673" s="8"/>
      <c r="BP673" s="8"/>
      <c r="BQ673" s="8"/>
      <c r="BR673" s="8"/>
    </row>
    <row r="674"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  <c r="BN674" s="8"/>
      <c r="BO674" s="8"/>
      <c r="BP674" s="8"/>
      <c r="BQ674" s="8"/>
      <c r="BR674" s="8"/>
    </row>
    <row r="675"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  <c r="BN675" s="8"/>
      <c r="BO675" s="8"/>
      <c r="BP675" s="8"/>
      <c r="BQ675" s="8"/>
      <c r="BR675" s="8"/>
    </row>
    <row r="676"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  <c r="BN676" s="8"/>
      <c r="BO676" s="8"/>
      <c r="BP676" s="8"/>
      <c r="BQ676" s="8"/>
      <c r="BR676" s="8"/>
    </row>
    <row r="677"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  <c r="BN677" s="8"/>
      <c r="BO677" s="8"/>
      <c r="BP677" s="8"/>
      <c r="BQ677" s="8"/>
      <c r="BR677" s="8"/>
    </row>
    <row r="678"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  <c r="BN678" s="8"/>
      <c r="BO678" s="8"/>
      <c r="BP678" s="8"/>
      <c r="BQ678" s="8"/>
      <c r="BR678" s="8"/>
    </row>
    <row r="679"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</row>
    <row r="680"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  <c r="BN680" s="8"/>
      <c r="BO680" s="8"/>
      <c r="BP680" s="8"/>
      <c r="BQ680" s="8"/>
      <c r="BR680" s="8"/>
    </row>
    <row r="681"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  <c r="BN681" s="8"/>
      <c r="BO681" s="8"/>
      <c r="BP681" s="8"/>
      <c r="BQ681" s="8"/>
      <c r="BR681" s="8"/>
    </row>
    <row r="682"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  <c r="BN682" s="8"/>
      <c r="BO682" s="8"/>
      <c r="BP682" s="8"/>
      <c r="BQ682" s="8"/>
      <c r="BR682" s="8"/>
    </row>
    <row r="683"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  <c r="BN683" s="8"/>
      <c r="BO683" s="8"/>
      <c r="BP683" s="8"/>
      <c r="BQ683" s="8"/>
      <c r="BR683" s="8"/>
    </row>
    <row r="684"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  <c r="BN684" s="8"/>
      <c r="BO684" s="8"/>
      <c r="BP684" s="8"/>
      <c r="BQ684" s="8"/>
      <c r="BR684" s="8"/>
    </row>
    <row r="685"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  <c r="BN685" s="8"/>
      <c r="BO685" s="8"/>
      <c r="BP685" s="8"/>
      <c r="BQ685" s="8"/>
      <c r="BR685" s="8"/>
    </row>
    <row r="686"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  <c r="BN686" s="8"/>
      <c r="BO686" s="8"/>
      <c r="BP686" s="8"/>
      <c r="BQ686" s="8"/>
      <c r="BR686" s="8"/>
    </row>
    <row r="687"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  <c r="BN687" s="8"/>
      <c r="BO687" s="8"/>
      <c r="BP687" s="8"/>
      <c r="BQ687" s="8"/>
      <c r="BR687" s="8"/>
    </row>
    <row r="688"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  <c r="BN688" s="8"/>
      <c r="BO688" s="8"/>
      <c r="BP688" s="8"/>
      <c r="BQ688" s="8"/>
      <c r="BR688" s="8"/>
    </row>
    <row r="689"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  <c r="BN689" s="8"/>
      <c r="BO689" s="8"/>
      <c r="BP689" s="8"/>
      <c r="BQ689" s="8"/>
      <c r="BR689" s="8"/>
    </row>
    <row r="690"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  <c r="BN690" s="8"/>
      <c r="BO690" s="8"/>
      <c r="BP690" s="8"/>
      <c r="BQ690" s="8"/>
      <c r="BR690" s="8"/>
    </row>
    <row r="691"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  <c r="BN691" s="8"/>
      <c r="BO691" s="8"/>
      <c r="BP691" s="8"/>
      <c r="BQ691" s="8"/>
      <c r="BR691" s="8"/>
    </row>
    <row r="692"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  <c r="BN692" s="8"/>
      <c r="BO692" s="8"/>
      <c r="BP692" s="8"/>
      <c r="BQ692" s="8"/>
      <c r="BR692" s="8"/>
    </row>
    <row r="693"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  <c r="BN693" s="8"/>
      <c r="BO693" s="8"/>
      <c r="BP693" s="8"/>
      <c r="BQ693" s="8"/>
      <c r="BR693" s="8"/>
    </row>
    <row r="694"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  <c r="BN694" s="8"/>
      <c r="BO694" s="8"/>
      <c r="BP694" s="8"/>
      <c r="BQ694" s="8"/>
      <c r="BR694" s="8"/>
    </row>
    <row r="695"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  <c r="BN695" s="8"/>
      <c r="BO695" s="8"/>
      <c r="BP695" s="8"/>
      <c r="BQ695" s="8"/>
      <c r="BR695" s="8"/>
    </row>
    <row r="696"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  <c r="BN696" s="8"/>
      <c r="BO696" s="8"/>
      <c r="BP696" s="8"/>
      <c r="BQ696" s="8"/>
      <c r="BR696" s="8"/>
    </row>
    <row r="697"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  <c r="BN697" s="8"/>
      <c r="BO697" s="8"/>
      <c r="BP697" s="8"/>
      <c r="BQ697" s="8"/>
      <c r="BR697" s="8"/>
    </row>
    <row r="698"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  <c r="BN698" s="8"/>
      <c r="BO698" s="8"/>
      <c r="BP698" s="8"/>
      <c r="BQ698" s="8"/>
      <c r="BR698" s="8"/>
    </row>
    <row r="699"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  <c r="BN699" s="8"/>
      <c r="BO699" s="8"/>
      <c r="BP699" s="8"/>
      <c r="BQ699" s="8"/>
      <c r="BR699" s="8"/>
    </row>
    <row r="700"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  <c r="BN700" s="8"/>
      <c r="BO700" s="8"/>
      <c r="BP700" s="8"/>
      <c r="BQ700" s="8"/>
      <c r="BR700" s="8"/>
    </row>
    <row r="701"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  <c r="BN701" s="8"/>
      <c r="BO701" s="8"/>
      <c r="BP701" s="8"/>
      <c r="BQ701" s="8"/>
      <c r="BR701" s="8"/>
    </row>
    <row r="702"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  <c r="BN702" s="8"/>
      <c r="BO702" s="8"/>
      <c r="BP702" s="8"/>
      <c r="BQ702" s="8"/>
      <c r="BR702" s="8"/>
    </row>
    <row r="703"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  <c r="BN703" s="8"/>
      <c r="BO703" s="8"/>
      <c r="BP703" s="8"/>
      <c r="BQ703" s="8"/>
      <c r="BR703" s="8"/>
    </row>
    <row r="704"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  <c r="BN704" s="8"/>
      <c r="BO704" s="8"/>
      <c r="BP704" s="8"/>
      <c r="BQ704" s="8"/>
      <c r="BR704" s="8"/>
    </row>
    <row r="705"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  <c r="BN705" s="8"/>
      <c r="BO705" s="8"/>
      <c r="BP705" s="8"/>
      <c r="BQ705" s="8"/>
      <c r="BR705" s="8"/>
    </row>
    <row r="706"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  <c r="BN706" s="8"/>
      <c r="BO706" s="8"/>
      <c r="BP706" s="8"/>
      <c r="BQ706" s="8"/>
      <c r="BR706" s="8"/>
    </row>
    <row r="707"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  <c r="BN707" s="8"/>
      <c r="BO707" s="8"/>
      <c r="BP707" s="8"/>
      <c r="BQ707" s="8"/>
      <c r="BR707" s="8"/>
    </row>
    <row r="708"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  <c r="BN708" s="8"/>
      <c r="BO708" s="8"/>
      <c r="BP708" s="8"/>
      <c r="BQ708" s="8"/>
      <c r="BR708" s="8"/>
    </row>
    <row r="709"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  <c r="BN709" s="8"/>
      <c r="BO709" s="8"/>
      <c r="BP709" s="8"/>
      <c r="BQ709" s="8"/>
      <c r="BR709" s="8"/>
    </row>
    <row r="710"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  <c r="BN710" s="8"/>
      <c r="BO710" s="8"/>
      <c r="BP710" s="8"/>
      <c r="BQ710" s="8"/>
      <c r="BR710" s="8"/>
    </row>
    <row r="711"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  <c r="BN711" s="8"/>
      <c r="BO711" s="8"/>
      <c r="BP711" s="8"/>
      <c r="BQ711" s="8"/>
      <c r="BR711" s="8"/>
    </row>
    <row r="712"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  <c r="BN712" s="8"/>
      <c r="BO712" s="8"/>
      <c r="BP712" s="8"/>
      <c r="BQ712" s="8"/>
      <c r="BR712" s="8"/>
    </row>
    <row r="713"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  <c r="BN713" s="8"/>
      <c r="BO713" s="8"/>
      <c r="BP713" s="8"/>
      <c r="BQ713" s="8"/>
      <c r="BR713" s="8"/>
    </row>
    <row r="714"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  <c r="BN714" s="8"/>
      <c r="BO714" s="8"/>
      <c r="BP714" s="8"/>
      <c r="BQ714" s="8"/>
      <c r="BR714" s="8"/>
    </row>
    <row r="715"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  <c r="BN715" s="8"/>
      <c r="BO715" s="8"/>
      <c r="BP715" s="8"/>
      <c r="BQ715" s="8"/>
      <c r="BR715" s="8"/>
    </row>
    <row r="716"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  <c r="BN716" s="8"/>
      <c r="BO716" s="8"/>
      <c r="BP716" s="8"/>
      <c r="BQ716" s="8"/>
      <c r="BR716" s="8"/>
    </row>
    <row r="717"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  <c r="BN717" s="8"/>
      <c r="BO717" s="8"/>
      <c r="BP717" s="8"/>
      <c r="BQ717" s="8"/>
      <c r="BR717" s="8"/>
    </row>
    <row r="718"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  <c r="BN718" s="8"/>
      <c r="BO718" s="8"/>
      <c r="BP718" s="8"/>
      <c r="BQ718" s="8"/>
      <c r="BR718" s="8"/>
    </row>
    <row r="719"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  <c r="BN719" s="8"/>
      <c r="BO719" s="8"/>
      <c r="BP719" s="8"/>
      <c r="BQ719" s="8"/>
      <c r="BR719" s="8"/>
    </row>
    <row r="720"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  <c r="BN720" s="8"/>
      <c r="BO720" s="8"/>
      <c r="BP720" s="8"/>
      <c r="BQ720" s="8"/>
      <c r="BR720" s="8"/>
    </row>
    <row r="721"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  <c r="BN721" s="8"/>
      <c r="BO721" s="8"/>
      <c r="BP721" s="8"/>
      <c r="BQ721" s="8"/>
      <c r="BR721" s="8"/>
    </row>
    <row r="722"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  <c r="BN722" s="8"/>
      <c r="BO722" s="8"/>
      <c r="BP722" s="8"/>
      <c r="BQ722" s="8"/>
      <c r="BR722" s="8"/>
    </row>
    <row r="723"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  <c r="BN723" s="8"/>
      <c r="BO723" s="8"/>
      <c r="BP723" s="8"/>
      <c r="BQ723" s="8"/>
      <c r="BR723" s="8"/>
    </row>
    <row r="724"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  <c r="BN724" s="8"/>
      <c r="BO724" s="8"/>
      <c r="BP724" s="8"/>
      <c r="BQ724" s="8"/>
      <c r="BR724" s="8"/>
    </row>
    <row r="725"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  <c r="BN725" s="8"/>
      <c r="BO725" s="8"/>
      <c r="BP725" s="8"/>
      <c r="BQ725" s="8"/>
      <c r="BR725" s="8"/>
    </row>
    <row r="726"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  <c r="BN726" s="8"/>
      <c r="BO726" s="8"/>
      <c r="BP726" s="8"/>
      <c r="BQ726" s="8"/>
      <c r="BR726" s="8"/>
    </row>
    <row r="727"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  <c r="BN727" s="8"/>
      <c r="BO727" s="8"/>
      <c r="BP727" s="8"/>
      <c r="BQ727" s="8"/>
      <c r="BR727" s="8"/>
    </row>
    <row r="728"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</row>
    <row r="729"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</row>
    <row r="730"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</row>
    <row r="731"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</row>
    <row r="732"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</row>
    <row r="733"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</row>
    <row r="734"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</row>
    <row r="735"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</row>
    <row r="736"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</row>
    <row r="737"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</row>
    <row r="738"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</row>
    <row r="739"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</row>
    <row r="740"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</row>
    <row r="741"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</row>
    <row r="742"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</row>
    <row r="743"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</row>
    <row r="744"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</row>
    <row r="745"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</row>
    <row r="746"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</row>
    <row r="747"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</row>
    <row r="748"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</row>
    <row r="749"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</row>
    <row r="750"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</row>
    <row r="751"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</row>
    <row r="752"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</row>
    <row r="753"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</row>
    <row r="754"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</row>
    <row r="755"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</row>
    <row r="756"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</row>
    <row r="757"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</row>
    <row r="758"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</row>
    <row r="759"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</row>
    <row r="760"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</row>
    <row r="761"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</row>
    <row r="762"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</row>
    <row r="763"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</row>
    <row r="764"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</row>
    <row r="765"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</row>
    <row r="766"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</row>
    <row r="767"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</row>
    <row r="768"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</row>
    <row r="769"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</row>
    <row r="770"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</row>
    <row r="771"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</row>
    <row r="772"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</row>
    <row r="773"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</row>
    <row r="774"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</row>
    <row r="775"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</row>
    <row r="776"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</row>
    <row r="777"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</row>
    <row r="778"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</row>
    <row r="779"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</row>
    <row r="780"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</row>
    <row r="781"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  <c r="BR781" s="8"/>
    </row>
    <row r="782"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</row>
    <row r="783"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</row>
    <row r="784"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  <c r="BR784" s="8"/>
    </row>
    <row r="785"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</row>
    <row r="786"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</row>
    <row r="787"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</row>
    <row r="788"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</row>
    <row r="789"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</row>
    <row r="790"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</row>
    <row r="791"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</row>
    <row r="792"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</row>
    <row r="793"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</row>
    <row r="794"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</row>
    <row r="795"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  <c r="BR795" s="8"/>
    </row>
    <row r="796"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</row>
    <row r="797"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  <c r="BR797" s="8"/>
    </row>
    <row r="798"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  <c r="BR798" s="8"/>
    </row>
    <row r="799"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  <c r="BR799" s="8"/>
    </row>
    <row r="800"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  <c r="BR800" s="8"/>
    </row>
    <row r="801"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</row>
    <row r="802"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</row>
    <row r="803"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</row>
    <row r="804"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  <c r="BR804" s="8"/>
    </row>
    <row r="805"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  <c r="BR805" s="8"/>
    </row>
    <row r="806"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  <c r="BR806" s="8"/>
    </row>
    <row r="807"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  <c r="BR807" s="8"/>
    </row>
    <row r="808"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  <c r="BR808" s="8"/>
    </row>
    <row r="809"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  <c r="BR809" s="8"/>
    </row>
    <row r="810"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  <c r="BN810" s="8"/>
      <c r="BO810" s="8"/>
      <c r="BP810" s="8"/>
      <c r="BQ810" s="8"/>
      <c r="BR810" s="8"/>
    </row>
    <row r="811"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  <c r="BN811" s="8"/>
      <c r="BO811" s="8"/>
      <c r="BP811" s="8"/>
      <c r="BQ811" s="8"/>
      <c r="BR811" s="8"/>
    </row>
    <row r="812"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  <c r="BN812" s="8"/>
      <c r="BO812" s="8"/>
      <c r="BP812" s="8"/>
      <c r="BQ812" s="8"/>
      <c r="BR812" s="8"/>
    </row>
    <row r="813"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  <c r="BN813" s="8"/>
      <c r="BO813" s="8"/>
      <c r="BP813" s="8"/>
      <c r="BQ813" s="8"/>
      <c r="BR813" s="8"/>
    </row>
    <row r="814"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  <c r="BN814" s="8"/>
      <c r="BO814" s="8"/>
      <c r="BP814" s="8"/>
      <c r="BQ814" s="8"/>
      <c r="BR814" s="8"/>
    </row>
    <row r="815"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  <c r="BN815" s="8"/>
      <c r="BO815" s="8"/>
      <c r="BP815" s="8"/>
      <c r="BQ815" s="8"/>
      <c r="BR815" s="8"/>
    </row>
    <row r="816"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  <c r="BN816" s="8"/>
      <c r="BO816" s="8"/>
      <c r="BP816" s="8"/>
      <c r="BQ816" s="8"/>
      <c r="BR816" s="8"/>
    </row>
    <row r="817"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  <c r="BN817" s="8"/>
      <c r="BO817" s="8"/>
      <c r="BP817" s="8"/>
      <c r="BQ817" s="8"/>
      <c r="BR817" s="8"/>
    </row>
    <row r="818"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  <c r="BN818" s="8"/>
      <c r="BO818" s="8"/>
      <c r="BP818" s="8"/>
      <c r="BQ818" s="8"/>
      <c r="BR818" s="8"/>
    </row>
    <row r="819"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  <c r="BN819" s="8"/>
      <c r="BO819" s="8"/>
      <c r="BP819" s="8"/>
      <c r="BQ819" s="8"/>
      <c r="BR819" s="8"/>
    </row>
    <row r="820"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  <c r="BN820" s="8"/>
      <c r="BO820" s="8"/>
      <c r="BP820" s="8"/>
      <c r="BQ820" s="8"/>
      <c r="BR820" s="8"/>
    </row>
    <row r="821"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  <c r="BN821" s="8"/>
      <c r="BO821" s="8"/>
      <c r="BP821" s="8"/>
      <c r="BQ821" s="8"/>
      <c r="BR821" s="8"/>
    </row>
    <row r="822"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  <c r="BN822" s="8"/>
      <c r="BO822" s="8"/>
      <c r="BP822" s="8"/>
      <c r="BQ822" s="8"/>
      <c r="BR822" s="8"/>
    </row>
    <row r="823"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  <c r="BN823" s="8"/>
      <c r="BO823" s="8"/>
      <c r="BP823" s="8"/>
      <c r="BQ823" s="8"/>
      <c r="BR823" s="8"/>
    </row>
    <row r="824"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  <c r="BN824" s="8"/>
      <c r="BO824" s="8"/>
      <c r="BP824" s="8"/>
      <c r="BQ824" s="8"/>
      <c r="BR824" s="8"/>
    </row>
    <row r="825"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  <c r="BN825" s="8"/>
      <c r="BO825" s="8"/>
      <c r="BP825" s="8"/>
      <c r="BQ825" s="8"/>
      <c r="BR825" s="8"/>
    </row>
    <row r="826"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  <c r="BN826" s="8"/>
      <c r="BO826" s="8"/>
      <c r="BP826" s="8"/>
      <c r="BQ826" s="8"/>
      <c r="BR826" s="8"/>
    </row>
    <row r="827"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  <c r="BN827" s="8"/>
      <c r="BO827" s="8"/>
      <c r="BP827" s="8"/>
      <c r="BQ827" s="8"/>
      <c r="BR827" s="8"/>
    </row>
    <row r="828"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  <c r="BN828" s="8"/>
      <c r="BO828" s="8"/>
      <c r="BP828" s="8"/>
      <c r="BQ828" s="8"/>
      <c r="BR828" s="8"/>
    </row>
    <row r="829"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  <c r="BN829" s="8"/>
      <c r="BO829" s="8"/>
      <c r="BP829" s="8"/>
      <c r="BQ829" s="8"/>
      <c r="BR829" s="8"/>
    </row>
    <row r="830"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  <c r="BN830" s="8"/>
      <c r="BO830" s="8"/>
      <c r="BP830" s="8"/>
      <c r="BQ830" s="8"/>
      <c r="BR830" s="8"/>
    </row>
    <row r="831"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  <c r="BN831" s="8"/>
      <c r="BO831" s="8"/>
      <c r="BP831" s="8"/>
      <c r="BQ831" s="8"/>
      <c r="BR831" s="8"/>
    </row>
    <row r="832"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  <c r="BN832" s="8"/>
      <c r="BO832" s="8"/>
      <c r="BP832" s="8"/>
      <c r="BQ832" s="8"/>
      <c r="BR832" s="8"/>
    </row>
    <row r="833"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  <c r="BN833" s="8"/>
      <c r="BO833" s="8"/>
      <c r="BP833" s="8"/>
      <c r="BQ833" s="8"/>
      <c r="BR833" s="8"/>
    </row>
    <row r="834"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  <c r="BN834" s="8"/>
      <c r="BO834" s="8"/>
      <c r="BP834" s="8"/>
      <c r="BQ834" s="8"/>
      <c r="BR834" s="8"/>
    </row>
    <row r="835"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  <c r="BN835" s="8"/>
      <c r="BO835" s="8"/>
      <c r="BP835" s="8"/>
      <c r="BQ835" s="8"/>
      <c r="BR835" s="8"/>
    </row>
    <row r="836"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  <c r="BN836" s="8"/>
      <c r="BO836" s="8"/>
      <c r="BP836" s="8"/>
      <c r="BQ836" s="8"/>
      <c r="BR836" s="8"/>
    </row>
    <row r="837"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  <c r="BN837" s="8"/>
      <c r="BO837" s="8"/>
      <c r="BP837" s="8"/>
      <c r="BQ837" s="8"/>
      <c r="BR837" s="8"/>
    </row>
    <row r="838"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  <c r="BN838" s="8"/>
      <c r="BO838" s="8"/>
      <c r="BP838" s="8"/>
      <c r="BQ838" s="8"/>
      <c r="BR838" s="8"/>
    </row>
    <row r="839"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  <c r="BN839" s="8"/>
      <c r="BO839" s="8"/>
      <c r="BP839" s="8"/>
      <c r="BQ839" s="8"/>
      <c r="BR839" s="8"/>
    </row>
    <row r="840"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  <c r="BN840" s="8"/>
      <c r="BO840" s="8"/>
      <c r="BP840" s="8"/>
      <c r="BQ840" s="8"/>
      <c r="BR840" s="8"/>
    </row>
    <row r="841"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  <c r="BN841" s="8"/>
      <c r="BO841" s="8"/>
      <c r="BP841" s="8"/>
      <c r="BQ841" s="8"/>
      <c r="BR841" s="8"/>
    </row>
    <row r="842"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  <c r="BN842" s="8"/>
      <c r="BO842" s="8"/>
      <c r="BP842" s="8"/>
      <c r="BQ842" s="8"/>
      <c r="BR842" s="8"/>
    </row>
    <row r="843"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  <c r="BN843" s="8"/>
      <c r="BO843" s="8"/>
      <c r="BP843" s="8"/>
      <c r="BQ843" s="8"/>
      <c r="BR843" s="8"/>
    </row>
    <row r="844"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  <c r="BN844" s="8"/>
      <c r="BO844" s="8"/>
      <c r="BP844" s="8"/>
      <c r="BQ844" s="8"/>
      <c r="BR844" s="8"/>
    </row>
    <row r="845"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  <c r="BN845" s="8"/>
      <c r="BO845" s="8"/>
      <c r="BP845" s="8"/>
      <c r="BQ845" s="8"/>
      <c r="BR845" s="8"/>
    </row>
    <row r="846"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  <c r="BN846" s="8"/>
      <c r="BO846" s="8"/>
      <c r="BP846" s="8"/>
      <c r="BQ846" s="8"/>
      <c r="BR846" s="8"/>
    </row>
    <row r="847"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  <c r="BN847" s="8"/>
      <c r="BO847" s="8"/>
      <c r="BP847" s="8"/>
      <c r="BQ847" s="8"/>
      <c r="BR847" s="8"/>
    </row>
    <row r="848"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  <c r="BN848" s="8"/>
      <c r="BO848" s="8"/>
      <c r="BP848" s="8"/>
      <c r="BQ848" s="8"/>
      <c r="BR848" s="8"/>
    </row>
    <row r="849"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  <c r="BN849" s="8"/>
      <c r="BO849" s="8"/>
      <c r="BP849" s="8"/>
      <c r="BQ849" s="8"/>
      <c r="BR849" s="8"/>
    </row>
    <row r="850"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  <c r="BN850" s="8"/>
      <c r="BO850" s="8"/>
      <c r="BP850" s="8"/>
      <c r="BQ850" s="8"/>
      <c r="BR850" s="8"/>
    </row>
    <row r="851"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  <c r="BN851" s="8"/>
      <c r="BO851" s="8"/>
      <c r="BP851" s="8"/>
      <c r="BQ851" s="8"/>
      <c r="BR851" s="8"/>
    </row>
    <row r="852"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  <c r="BN852" s="8"/>
      <c r="BO852" s="8"/>
      <c r="BP852" s="8"/>
      <c r="BQ852" s="8"/>
      <c r="BR852" s="8"/>
    </row>
    <row r="853"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  <c r="BN853" s="8"/>
      <c r="BO853" s="8"/>
      <c r="BP853" s="8"/>
      <c r="BQ853" s="8"/>
      <c r="BR853" s="8"/>
    </row>
    <row r="854"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  <c r="BN854" s="8"/>
      <c r="BO854" s="8"/>
      <c r="BP854" s="8"/>
      <c r="BQ854" s="8"/>
      <c r="BR854" s="8"/>
    </row>
    <row r="855"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  <c r="BN855" s="8"/>
      <c r="BO855" s="8"/>
      <c r="BP855" s="8"/>
      <c r="BQ855" s="8"/>
      <c r="BR855" s="8"/>
    </row>
    <row r="856"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  <c r="BN856" s="8"/>
      <c r="BO856" s="8"/>
      <c r="BP856" s="8"/>
      <c r="BQ856" s="8"/>
      <c r="BR856" s="8"/>
    </row>
    <row r="857"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  <c r="BN857" s="8"/>
      <c r="BO857" s="8"/>
      <c r="BP857" s="8"/>
      <c r="BQ857" s="8"/>
      <c r="BR857" s="8"/>
    </row>
    <row r="858"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  <c r="BN858" s="8"/>
      <c r="BO858" s="8"/>
      <c r="BP858" s="8"/>
      <c r="BQ858" s="8"/>
      <c r="BR858" s="8"/>
    </row>
    <row r="859"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  <c r="BN859" s="8"/>
      <c r="BO859" s="8"/>
      <c r="BP859" s="8"/>
      <c r="BQ859" s="8"/>
      <c r="BR859" s="8"/>
    </row>
    <row r="860"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  <c r="BN860" s="8"/>
      <c r="BO860" s="8"/>
      <c r="BP860" s="8"/>
      <c r="BQ860" s="8"/>
      <c r="BR860" s="8"/>
    </row>
    <row r="861"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  <c r="BN861" s="8"/>
      <c r="BO861" s="8"/>
      <c r="BP861" s="8"/>
      <c r="BQ861" s="8"/>
      <c r="BR861" s="8"/>
    </row>
    <row r="862"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  <c r="BN862" s="8"/>
      <c r="BO862" s="8"/>
      <c r="BP862" s="8"/>
      <c r="BQ862" s="8"/>
      <c r="BR862" s="8"/>
    </row>
    <row r="863"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  <c r="BN863" s="8"/>
      <c r="BO863" s="8"/>
      <c r="BP863" s="8"/>
      <c r="BQ863" s="8"/>
      <c r="BR863" s="8"/>
    </row>
    <row r="864"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  <c r="BN864" s="8"/>
      <c r="BO864" s="8"/>
      <c r="BP864" s="8"/>
      <c r="BQ864" s="8"/>
      <c r="BR864" s="8"/>
    </row>
    <row r="865"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  <c r="BN865" s="8"/>
      <c r="BO865" s="8"/>
      <c r="BP865" s="8"/>
      <c r="BQ865" s="8"/>
      <c r="BR865" s="8"/>
    </row>
    <row r="866"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  <c r="BN866" s="8"/>
      <c r="BO866" s="8"/>
      <c r="BP866" s="8"/>
      <c r="BQ866" s="8"/>
      <c r="BR866" s="8"/>
    </row>
    <row r="867"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  <c r="BN867" s="8"/>
      <c r="BO867" s="8"/>
      <c r="BP867" s="8"/>
      <c r="BQ867" s="8"/>
      <c r="BR867" s="8"/>
    </row>
    <row r="868"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  <c r="BN868" s="8"/>
      <c r="BO868" s="8"/>
      <c r="BP868" s="8"/>
      <c r="BQ868" s="8"/>
      <c r="BR868" s="8"/>
    </row>
    <row r="869"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  <c r="BN869" s="8"/>
      <c r="BO869" s="8"/>
      <c r="BP869" s="8"/>
      <c r="BQ869" s="8"/>
      <c r="BR869" s="8"/>
    </row>
    <row r="870"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  <c r="BN870" s="8"/>
      <c r="BO870" s="8"/>
      <c r="BP870" s="8"/>
      <c r="BQ870" s="8"/>
      <c r="BR870" s="8"/>
    </row>
    <row r="871"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  <c r="BN871" s="8"/>
      <c r="BO871" s="8"/>
      <c r="BP871" s="8"/>
      <c r="BQ871" s="8"/>
      <c r="BR871" s="8"/>
    </row>
    <row r="872"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  <c r="BN872" s="8"/>
      <c r="BO872" s="8"/>
      <c r="BP872" s="8"/>
      <c r="BQ872" s="8"/>
      <c r="BR872" s="8"/>
    </row>
    <row r="873"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  <c r="BN873" s="8"/>
      <c r="BO873" s="8"/>
      <c r="BP873" s="8"/>
      <c r="BQ873" s="8"/>
      <c r="BR873" s="8"/>
    </row>
    <row r="874"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  <c r="BN874" s="8"/>
      <c r="BO874" s="8"/>
      <c r="BP874" s="8"/>
      <c r="BQ874" s="8"/>
      <c r="BR874" s="8"/>
    </row>
    <row r="875"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  <c r="BN875" s="8"/>
      <c r="BO875" s="8"/>
      <c r="BP875" s="8"/>
      <c r="BQ875" s="8"/>
      <c r="BR875" s="8"/>
    </row>
    <row r="876"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  <c r="BN876" s="8"/>
      <c r="BO876" s="8"/>
      <c r="BP876" s="8"/>
      <c r="BQ876" s="8"/>
      <c r="BR876" s="8"/>
    </row>
    <row r="877"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  <c r="BN877" s="8"/>
      <c r="BO877" s="8"/>
      <c r="BP877" s="8"/>
      <c r="BQ877" s="8"/>
      <c r="BR877" s="8"/>
    </row>
    <row r="878"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  <c r="BN878" s="8"/>
      <c r="BO878" s="8"/>
      <c r="BP878" s="8"/>
      <c r="BQ878" s="8"/>
      <c r="BR878" s="8"/>
    </row>
    <row r="879"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  <c r="BN879" s="8"/>
      <c r="BO879" s="8"/>
      <c r="BP879" s="8"/>
      <c r="BQ879" s="8"/>
      <c r="BR879" s="8"/>
    </row>
    <row r="880"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  <c r="BN880" s="8"/>
      <c r="BO880" s="8"/>
      <c r="BP880" s="8"/>
      <c r="BQ880" s="8"/>
      <c r="BR880" s="8"/>
    </row>
    <row r="881"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  <c r="BN881" s="8"/>
      <c r="BO881" s="8"/>
      <c r="BP881" s="8"/>
      <c r="BQ881" s="8"/>
      <c r="BR881" s="8"/>
    </row>
    <row r="882"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  <c r="BN882" s="8"/>
      <c r="BO882" s="8"/>
      <c r="BP882" s="8"/>
      <c r="BQ882" s="8"/>
      <c r="BR882" s="8"/>
    </row>
    <row r="883"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  <c r="BN883" s="8"/>
      <c r="BO883" s="8"/>
      <c r="BP883" s="8"/>
      <c r="BQ883" s="8"/>
      <c r="BR883" s="8"/>
    </row>
    <row r="884"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  <c r="BN884" s="8"/>
      <c r="BO884" s="8"/>
      <c r="BP884" s="8"/>
      <c r="BQ884" s="8"/>
      <c r="BR884" s="8"/>
    </row>
    <row r="885"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  <c r="BN885" s="8"/>
      <c r="BO885" s="8"/>
      <c r="BP885" s="8"/>
      <c r="BQ885" s="8"/>
      <c r="BR885" s="8"/>
    </row>
    <row r="886"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  <c r="BN886" s="8"/>
      <c r="BO886" s="8"/>
      <c r="BP886" s="8"/>
      <c r="BQ886" s="8"/>
      <c r="BR886" s="8"/>
    </row>
    <row r="887"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  <c r="BN887" s="8"/>
      <c r="BO887" s="8"/>
      <c r="BP887" s="8"/>
      <c r="BQ887" s="8"/>
      <c r="BR887" s="8"/>
    </row>
    <row r="888"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  <c r="BN888" s="8"/>
      <c r="BO888" s="8"/>
      <c r="BP888" s="8"/>
      <c r="BQ888" s="8"/>
      <c r="BR888" s="8"/>
    </row>
    <row r="889"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  <c r="BN889" s="8"/>
      <c r="BO889" s="8"/>
      <c r="BP889" s="8"/>
      <c r="BQ889" s="8"/>
      <c r="BR889" s="8"/>
    </row>
    <row r="890"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  <c r="BN890" s="8"/>
      <c r="BO890" s="8"/>
      <c r="BP890" s="8"/>
      <c r="BQ890" s="8"/>
      <c r="BR890" s="8"/>
    </row>
    <row r="891"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  <c r="BN891" s="8"/>
      <c r="BO891" s="8"/>
      <c r="BP891" s="8"/>
      <c r="BQ891" s="8"/>
      <c r="BR891" s="8"/>
    </row>
    <row r="892"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  <c r="BN892" s="8"/>
      <c r="BO892" s="8"/>
      <c r="BP892" s="8"/>
      <c r="BQ892" s="8"/>
      <c r="BR892" s="8"/>
    </row>
    <row r="893"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  <c r="BN893" s="8"/>
      <c r="BO893" s="8"/>
      <c r="BP893" s="8"/>
      <c r="BQ893" s="8"/>
      <c r="BR893" s="8"/>
    </row>
    <row r="894"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  <c r="BN894" s="8"/>
      <c r="BO894" s="8"/>
      <c r="BP894" s="8"/>
      <c r="BQ894" s="8"/>
      <c r="BR894" s="8"/>
    </row>
    <row r="895"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  <c r="BN895" s="8"/>
      <c r="BO895" s="8"/>
      <c r="BP895" s="8"/>
      <c r="BQ895" s="8"/>
      <c r="BR895" s="8"/>
    </row>
    <row r="896"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  <c r="BN896" s="8"/>
      <c r="BO896" s="8"/>
      <c r="BP896" s="8"/>
      <c r="BQ896" s="8"/>
      <c r="BR896" s="8"/>
    </row>
    <row r="897"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  <c r="BN897" s="8"/>
      <c r="BO897" s="8"/>
      <c r="BP897" s="8"/>
      <c r="BQ897" s="8"/>
      <c r="BR897" s="8"/>
    </row>
    <row r="898"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  <c r="BN898" s="8"/>
      <c r="BO898" s="8"/>
      <c r="BP898" s="8"/>
      <c r="BQ898" s="8"/>
      <c r="BR898" s="8"/>
    </row>
    <row r="899"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  <c r="BN899" s="8"/>
      <c r="BO899" s="8"/>
      <c r="BP899" s="8"/>
      <c r="BQ899" s="8"/>
      <c r="BR899" s="8"/>
    </row>
    <row r="900"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  <c r="BN900" s="8"/>
      <c r="BO900" s="8"/>
      <c r="BP900" s="8"/>
      <c r="BQ900" s="8"/>
      <c r="BR900" s="8"/>
    </row>
    <row r="901"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  <c r="BN901" s="8"/>
      <c r="BO901" s="8"/>
      <c r="BP901" s="8"/>
      <c r="BQ901" s="8"/>
      <c r="BR901" s="8"/>
    </row>
    <row r="902"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  <c r="BN902" s="8"/>
      <c r="BO902" s="8"/>
      <c r="BP902" s="8"/>
      <c r="BQ902" s="8"/>
      <c r="BR902" s="8"/>
    </row>
    <row r="903"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  <c r="BN903" s="8"/>
      <c r="BO903" s="8"/>
      <c r="BP903" s="8"/>
      <c r="BQ903" s="8"/>
      <c r="BR903" s="8"/>
    </row>
    <row r="904"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  <c r="BN904" s="8"/>
      <c r="BO904" s="8"/>
      <c r="BP904" s="8"/>
      <c r="BQ904" s="8"/>
      <c r="BR904" s="8"/>
    </row>
    <row r="905"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  <c r="BN905" s="8"/>
      <c r="BO905" s="8"/>
      <c r="BP905" s="8"/>
      <c r="BQ905" s="8"/>
      <c r="BR905" s="8"/>
    </row>
    <row r="906"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  <c r="BN906" s="8"/>
      <c r="BO906" s="8"/>
      <c r="BP906" s="8"/>
      <c r="BQ906" s="8"/>
      <c r="BR906" s="8"/>
    </row>
    <row r="907"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  <c r="BN907" s="8"/>
      <c r="BO907" s="8"/>
      <c r="BP907" s="8"/>
      <c r="BQ907" s="8"/>
      <c r="BR907" s="8"/>
    </row>
    <row r="908"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  <c r="BN908" s="8"/>
      <c r="BO908" s="8"/>
      <c r="BP908" s="8"/>
      <c r="BQ908" s="8"/>
      <c r="BR908" s="8"/>
    </row>
    <row r="909"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  <c r="BN909" s="8"/>
      <c r="BO909" s="8"/>
      <c r="BP909" s="8"/>
      <c r="BQ909" s="8"/>
      <c r="BR909" s="8"/>
    </row>
    <row r="910"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  <c r="BN910" s="8"/>
      <c r="BO910" s="8"/>
      <c r="BP910" s="8"/>
      <c r="BQ910" s="8"/>
      <c r="BR910" s="8"/>
    </row>
    <row r="911"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  <c r="BN911" s="8"/>
      <c r="BO911" s="8"/>
      <c r="BP911" s="8"/>
      <c r="BQ911" s="8"/>
      <c r="BR911" s="8"/>
    </row>
    <row r="912"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  <c r="BN912" s="8"/>
      <c r="BO912" s="8"/>
      <c r="BP912" s="8"/>
      <c r="BQ912" s="8"/>
      <c r="BR912" s="8"/>
    </row>
    <row r="913"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  <c r="BN913" s="8"/>
      <c r="BO913" s="8"/>
      <c r="BP913" s="8"/>
      <c r="BQ913" s="8"/>
      <c r="BR913" s="8"/>
    </row>
    <row r="914"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  <c r="BN914" s="8"/>
      <c r="BO914" s="8"/>
      <c r="BP914" s="8"/>
      <c r="BQ914" s="8"/>
      <c r="BR914" s="8"/>
    </row>
    <row r="915"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  <c r="BN915" s="8"/>
      <c r="BO915" s="8"/>
      <c r="BP915" s="8"/>
      <c r="BQ915" s="8"/>
      <c r="BR915" s="8"/>
    </row>
    <row r="916"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  <c r="BN916" s="8"/>
      <c r="BO916" s="8"/>
      <c r="BP916" s="8"/>
      <c r="BQ916" s="8"/>
      <c r="BR916" s="8"/>
    </row>
    <row r="917"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  <c r="BN917" s="8"/>
      <c r="BO917" s="8"/>
      <c r="BP917" s="8"/>
      <c r="BQ917" s="8"/>
      <c r="BR917" s="8"/>
    </row>
    <row r="918"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  <c r="BN918" s="8"/>
      <c r="BO918" s="8"/>
      <c r="BP918" s="8"/>
      <c r="BQ918" s="8"/>
      <c r="BR918" s="8"/>
    </row>
    <row r="919"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  <c r="BN919" s="8"/>
      <c r="BO919" s="8"/>
      <c r="BP919" s="8"/>
      <c r="BQ919" s="8"/>
      <c r="BR919" s="8"/>
    </row>
    <row r="920"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  <c r="BN920" s="8"/>
      <c r="BO920" s="8"/>
      <c r="BP920" s="8"/>
      <c r="BQ920" s="8"/>
      <c r="BR920" s="8"/>
    </row>
    <row r="921"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  <c r="BN921" s="8"/>
      <c r="BO921" s="8"/>
      <c r="BP921" s="8"/>
      <c r="BQ921" s="8"/>
      <c r="BR921" s="8"/>
    </row>
    <row r="922"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  <c r="BN922" s="8"/>
      <c r="BO922" s="8"/>
      <c r="BP922" s="8"/>
      <c r="BQ922" s="8"/>
      <c r="BR922" s="8"/>
    </row>
    <row r="923"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  <c r="BN923" s="8"/>
      <c r="BO923" s="8"/>
      <c r="BP923" s="8"/>
      <c r="BQ923" s="8"/>
      <c r="BR923" s="8"/>
    </row>
    <row r="924"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  <c r="BN924" s="8"/>
      <c r="BO924" s="8"/>
      <c r="BP924" s="8"/>
      <c r="BQ924" s="8"/>
      <c r="BR924" s="8"/>
    </row>
    <row r="925"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  <c r="BN925" s="8"/>
      <c r="BO925" s="8"/>
      <c r="BP925" s="8"/>
      <c r="BQ925" s="8"/>
      <c r="BR925" s="8"/>
    </row>
    <row r="926"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  <c r="BN926" s="8"/>
      <c r="BO926" s="8"/>
      <c r="BP926" s="8"/>
      <c r="BQ926" s="8"/>
      <c r="BR926" s="8"/>
    </row>
    <row r="927"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  <c r="BN927" s="8"/>
      <c r="BO927" s="8"/>
      <c r="BP927" s="8"/>
      <c r="BQ927" s="8"/>
      <c r="BR927" s="8"/>
    </row>
    <row r="928"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  <c r="BN928" s="8"/>
      <c r="BO928" s="8"/>
      <c r="BP928" s="8"/>
      <c r="BQ928" s="8"/>
      <c r="BR928" s="8"/>
    </row>
    <row r="929"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  <c r="BN929" s="8"/>
      <c r="BO929" s="8"/>
      <c r="BP929" s="8"/>
      <c r="BQ929" s="8"/>
      <c r="BR929" s="8"/>
    </row>
    <row r="930"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  <c r="BN930" s="8"/>
      <c r="BO930" s="8"/>
      <c r="BP930" s="8"/>
      <c r="BQ930" s="8"/>
      <c r="BR930" s="8"/>
    </row>
    <row r="931"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  <c r="BN931" s="8"/>
      <c r="BO931" s="8"/>
      <c r="BP931" s="8"/>
      <c r="BQ931" s="8"/>
      <c r="BR931" s="8"/>
    </row>
    <row r="932"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  <c r="BN932" s="8"/>
      <c r="BO932" s="8"/>
      <c r="BP932" s="8"/>
      <c r="BQ932" s="8"/>
      <c r="BR932" s="8"/>
    </row>
    <row r="933"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  <c r="BN933" s="8"/>
      <c r="BO933" s="8"/>
      <c r="BP933" s="8"/>
      <c r="BQ933" s="8"/>
      <c r="BR933" s="8"/>
    </row>
    <row r="934"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  <c r="BN934" s="8"/>
      <c r="BO934" s="8"/>
      <c r="BP934" s="8"/>
      <c r="BQ934" s="8"/>
      <c r="BR934" s="8"/>
    </row>
    <row r="935"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  <c r="BN935" s="8"/>
      <c r="BO935" s="8"/>
      <c r="BP935" s="8"/>
      <c r="BQ935" s="8"/>
      <c r="BR935" s="8"/>
    </row>
    <row r="936"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  <c r="BN936" s="8"/>
      <c r="BO936" s="8"/>
      <c r="BP936" s="8"/>
      <c r="BQ936" s="8"/>
      <c r="BR936" s="8"/>
    </row>
    <row r="937"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  <c r="BN937" s="8"/>
      <c r="BO937" s="8"/>
      <c r="BP937" s="8"/>
      <c r="BQ937" s="8"/>
      <c r="BR937" s="8"/>
    </row>
    <row r="938"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  <c r="BN938" s="8"/>
      <c r="BO938" s="8"/>
      <c r="BP938" s="8"/>
      <c r="BQ938" s="8"/>
      <c r="BR938" s="8"/>
    </row>
    <row r="939"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  <c r="BN939" s="8"/>
      <c r="BO939" s="8"/>
      <c r="BP939" s="8"/>
      <c r="BQ939" s="8"/>
      <c r="BR939" s="8"/>
    </row>
    <row r="940"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  <c r="BN940" s="8"/>
      <c r="BO940" s="8"/>
      <c r="BP940" s="8"/>
      <c r="BQ940" s="8"/>
      <c r="BR940" s="8"/>
    </row>
    <row r="941"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  <c r="BN941" s="8"/>
      <c r="BO941" s="8"/>
      <c r="BP941" s="8"/>
      <c r="BQ941" s="8"/>
      <c r="BR941" s="8"/>
    </row>
    <row r="942"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  <c r="BN942" s="8"/>
      <c r="BO942" s="8"/>
      <c r="BP942" s="8"/>
      <c r="BQ942" s="8"/>
      <c r="BR942" s="8"/>
    </row>
    <row r="943"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  <c r="BN943" s="8"/>
      <c r="BO943" s="8"/>
      <c r="BP943" s="8"/>
      <c r="BQ943" s="8"/>
      <c r="BR943" s="8"/>
    </row>
    <row r="944"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  <c r="BN944" s="8"/>
      <c r="BO944" s="8"/>
      <c r="BP944" s="8"/>
      <c r="BQ944" s="8"/>
      <c r="BR944" s="8"/>
    </row>
    <row r="945"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  <c r="BN945" s="8"/>
      <c r="BO945" s="8"/>
      <c r="BP945" s="8"/>
      <c r="BQ945" s="8"/>
      <c r="BR945" s="8"/>
    </row>
    <row r="946"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  <c r="BN946" s="8"/>
      <c r="BO946" s="8"/>
      <c r="BP946" s="8"/>
      <c r="BQ946" s="8"/>
      <c r="BR946" s="8"/>
    </row>
    <row r="947"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  <c r="BN947" s="8"/>
      <c r="BO947" s="8"/>
      <c r="BP947" s="8"/>
      <c r="BQ947" s="8"/>
      <c r="BR947" s="8"/>
    </row>
    <row r="948"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  <c r="BN948" s="8"/>
      <c r="BO948" s="8"/>
      <c r="BP948" s="8"/>
      <c r="BQ948" s="8"/>
      <c r="BR948" s="8"/>
    </row>
    <row r="949"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/>
      <c r="BQ949" s="8"/>
      <c r="BR949" s="8"/>
    </row>
    <row r="950"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  <c r="BN950" s="8"/>
      <c r="BO950" s="8"/>
      <c r="BP950" s="8"/>
      <c r="BQ950" s="8"/>
      <c r="BR950" s="8"/>
    </row>
    <row r="951"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  <c r="BN951" s="8"/>
      <c r="BO951" s="8"/>
      <c r="BP951" s="8"/>
      <c r="BQ951" s="8"/>
      <c r="BR951" s="8"/>
    </row>
    <row r="952"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  <c r="BN952" s="8"/>
      <c r="BO952" s="8"/>
      <c r="BP952" s="8"/>
      <c r="BQ952" s="8"/>
      <c r="BR952" s="8"/>
    </row>
    <row r="953"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  <c r="BN953" s="8"/>
      <c r="BO953" s="8"/>
      <c r="BP953" s="8"/>
      <c r="BQ953" s="8"/>
      <c r="BR953" s="8"/>
    </row>
    <row r="954"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  <c r="BN954" s="8"/>
      <c r="BO954" s="8"/>
      <c r="BP954" s="8"/>
      <c r="BQ954" s="8"/>
      <c r="BR954" s="8"/>
    </row>
    <row r="955"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  <c r="BN955" s="8"/>
      <c r="BO955" s="8"/>
      <c r="BP955" s="8"/>
      <c r="BQ955" s="8"/>
      <c r="BR955" s="8"/>
    </row>
    <row r="956"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  <c r="BN956" s="8"/>
      <c r="BO956" s="8"/>
      <c r="BP956" s="8"/>
      <c r="BQ956" s="8"/>
      <c r="BR956" s="8"/>
    </row>
    <row r="957"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  <c r="BN957" s="8"/>
      <c r="BO957" s="8"/>
      <c r="BP957" s="8"/>
      <c r="BQ957" s="8"/>
      <c r="BR957" s="8"/>
    </row>
    <row r="958"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  <c r="BN958" s="8"/>
      <c r="BO958" s="8"/>
      <c r="BP958" s="8"/>
      <c r="BQ958" s="8"/>
      <c r="BR958" s="8"/>
    </row>
    <row r="959"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  <c r="BN959" s="8"/>
      <c r="BO959" s="8"/>
      <c r="BP959" s="8"/>
      <c r="BQ959" s="8"/>
      <c r="BR959" s="8"/>
    </row>
    <row r="960"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  <c r="BN960" s="8"/>
      <c r="BO960" s="8"/>
      <c r="BP960" s="8"/>
      <c r="BQ960" s="8"/>
      <c r="BR960" s="8"/>
    </row>
    <row r="961"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  <c r="BN961" s="8"/>
      <c r="BO961" s="8"/>
      <c r="BP961" s="8"/>
      <c r="BQ961" s="8"/>
      <c r="BR961" s="8"/>
    </row>
    <row r="962"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  <c r="BN962" s="8"/>
      <c r="BO962" s="8"/>
      <c r="BP962" s="8"/>
      <c r="BQ962" s="8"/>
      <c r="BR962" s="8"/>
    </row>
    <row r="963"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  <c r="BN963" s="8"/>
      <c r="BO963" s="8"/>
      <c r="BP963" s="8"/>
      <c r="BQ963" s="8"/>
      <c r="BR963" s="8"/>
    </row>
    <row r="964"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  <c r="BN964" s="8"/>
      <c r="BO964" s="8"/>
      <c r="BP964" s="8"/>
      <c r="BQ964" s="8"/>
      <c r="BR964" s="8"/>
    </row>
    <row r="965"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  <c r="BN965" s="8"/>
      <c r="BO965" s="8"/>
      <c r="BP965" s="8"/>
      <c r="BQ965" s="8"/>
      <c r="BR965" s="8"/>
    </row>
    <row r="966"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  <c r="BN966" s="8"/>
      <c r="BO966" s="8"/>
      <c r="BP966" s="8"/>
      <c r="BQ966" s="8"/>
      <c r="BR966" s="8"/>
    </row>
    <row r="967"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  <c r="BN967" s="8"/>
      <c r="BO967" s="8"/>
      <c r="BP967" s="8"/>
      <c r="BQ967" s="8"/>
      <c r="BR967" s="8"/>
    </row>
    <row r="968"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  <c r="BN968" s="8"/>
      <c r="BO968" s="8"/>
      <c r="BP968" s="8"/>
      <c r="BQ968" s="8"/>
      <c r="BR968" s="8"/>
    </row>
    <row r="969"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  <c r="BN969" s="8"/>
      <c r="BO969" s="8"/>
      <c r="BP969" s="8"/>
      <c r="BQ969" s="8"/>
      <c r="BR969" s="8"/>
    </row>
    <row r="970"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  <c r="BN970" s="8"/>
      <c r="BO970" s="8"/>
      <c r="BP970" s="8"/>
      <c r="BQ970" s="8"/>
      <c r="BR970" s="8"/>
    </row>
    <row r="971"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  <c r="BN971" s="8"/>
      <c r="BO971" s="8"/>
      <c r="BP971" s="8"/>
      <c r="BQ971" s="8"/>
      <c r="BR971" s="8"/>
    </row>
    <row r="972"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  <c r="BN972" s="8"/>
      <c r="BO972" s="8"/>
      <c r="BP972" s="8"/>
      <c r="BQ972" s="8"/>
      <c r="BR972" s="8"/>
    </row>
    <row r="973"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  <c r="BN973" s="8"/>
      <c r="BO973" s="8"/>
      <c r="BP973" s="8"/>
      <c r="BQ973" s="8"/>
      <c r="BR973" s="8"/>
    </row>
    <row r="974"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  <c r="BN974" s="8"/>
      <c r="BO974" s="8"/>
      <c r="BP974" s="8"/>
      <c r="BQ974" s="8"/>
      <c r="BR974" s="8"/>
    </row>
    <row r="975"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  <c r="BN975" s="8"/>
      <c r="BO975" s="8"/>
      <c r="BP975" s="8"/>
      <c r="BQ975" s="8"/>
      <c r="BR975" s="8"/>
    </row>
    <row r="976"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  <c r="BN976" s="8"/>
      <c r="BO976" s="8"/>
      <c r="BP976" s="8"/>
      <c r="BQ976" s="8"/>
      <c r="BR976" s="8"/>
    </row>
    <row r="977"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  <c r="BN977" s="8"/>
      <c r="BO977" s="8"/>
      <c r="BP977" s="8"/>
      <c r="BQ977" s="8"/>
      <c r="BR977" s="8"/>
    </row>
    <row r="978"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  <c r="BN978" s="8"/>
      <c r="BO978" s="8"/>
      <c r="BP978" s="8"/>
      <c r="BQ978" s="8"/>
      <c r="BR978" s="8"/>
    </row>
    <row r="979"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  <c r="BN979" s="8"/>
      <c r="BO979" s="8"/>
      <c r="BP979" s="8"/>
      <c r="BQ979" s="8"/>
      <c r="BR979" s="8"/>
    </row>
    <row r="980"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  <c r="BN980" s="8"/>
      <c r="BO980" s="8"/>
      <c r="BP980" s="8"/>
      <c r="BQ980" s="8"/>
      <c r="BR980" s="8"/>
    </row>
    <row r="981"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  <c r="BN981" s="8"/>
      <c r="BO981" s="8"/>
      <c r="BP981" s="8"/>
      <c r="BQ981" s="8"/>
      <c r="BR981" s="8"/>
    </row>
    <row r="982"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  <c r="BN982" s="8"/>
      <c r="BO982" s="8"/>
      <c r="BP982" s="8"/>
      <c r="BQ982" s="8"/>
      <c r="BR982" s="8"/>
    </row>
    <row r="983"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  <c r="BN983" s="8"/>
      <c r="BO983" s="8"/>
      <c r="BP983" s="8"/>
      <c r="BQ983" s="8"/>
      <c r="BR983" s="8"/>
    </row>
    <row r="984"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  <c r="BN984" s="8"/>
      <c r="BO984" s="8"/>
      <c r="BP984" s="8"/>
      <c r="BQ984" s="8"/>
      <c r="BR984" s="8"/>
    </row>
    <row r="985"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  <c r="BN985" s="8"/>
      <c r="BO985" s="8"/>
      <c r="BP985" s="8"/>
      <c r="BQ985" s="8"/>
      <c r="BR985" s="8"/>
    </row>
    <row r="986"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  <c r="BN986" s="8"/>
      <c r="BO986" s="8"/>
      <c r="BP986" s="8"/>
      <c r="BQ986" s="8"/>
      <c r="BR986" s="8"/>
    </row>
    <row r="987"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  <c r="BN987" s="8"/>
      <c r="BO987" s="8"/>
      <c r="BP987" s="8"/>
      <c r="BQ987" s="8"/>
      <c r="BR987" s="8"/>
    </row>
    <row r="988"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  <c r="BN988" s="8"/>
      <c r="BO988" s="8"/>
      <c r="BP988" s="8"/>
      <c r="BQ988" s="8"/>
      <c r="BR988" s="8"/>
    </row>
    <row r="989"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  <c r="BN989" s="8"/>
      <c r="BO989" s="8"/>
      <c r="BP989" s="8"/>
      <c r="BQ989" s="8"/>
      <c r="BR989" s="8"/>
    </row>
    <row r="990"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  <c r="BN990" s="8"/>
      <c r="BO990" s="8"/>
      <c r="BP990" s="8"/>
      <c r="BQ990" s="8"/>
      <c r="BR990" s="8"/>
    </row>
    <row r="991"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/>
      <c r="BQ991" s="8"/>
      <c r="BR991" s="8"/>
    </row>
    <row r="992"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/>
      <c r="BQ992" s="8"/>
      <c r="BR992" s="8"/>
    </row>
    <row r="993"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  <c r="BN993" s="8"/>
      <c r="BO993" s="8"/>
      <c r="BP993" s="8"/>
      <c r="BQ993" s="8"/>
      <c r="BR993" s="8"/>
    </row>
    <row r="994"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  <c r="BN994" s="8"/>
      <c r="BO994" s="8"/>
      <c r="BP994" s="8"/>
      <c r="BQ994" s="8"/>
      <c r="BR994" s="8"/>
    </row>
    <row r="995"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  <c r="BN995" s="8"/>
      <c r="BO995" s="8"/>
      <c r="BP995" s="8"/>
      <c r="BQ995" s="8"/>
      <c r="BR995" s="8"/>
    </row>
    <row r="996"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  <c r="BN996" s="8"/>
      <c r="BO996" s="8"/>
      <c r="BP996" s="8"/>
      <c r="BQ996" s="8"/>
      <c r="BR996" s="8"/>
    </row>
    <row r="997"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  <c r="BN997" s="8"/>
      <c r="BO997" s="8"/>
      <c r="BP997" s="8"/>
      <c r="BQ997" s="8"/>
      <c r="BR997" s="8"/>
    </row>
    <row r="998"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/>
      <c r="BQ998" s="8"/>
      <c r="BR998" s="8"/>
    </row>
    <row r="999"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/>
      <c r="BQ999" s="8"/>
      <c r="BR999" s="8"/>
    </row>
    <row r="1000"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  <c r="BN1000" s="8"/>
      <c r="BO1000" s="8"/>
      <c r="BP1000" s="8"/>
      <c r="BQ1000" s="8"/>
      <c r="BR1000" s="8"/>
    </row>
  </sheetData>
  <conditionalFormatting sqref="AU2:AU26">
    <cfRule type="cellIs" dxfId="0" priority="1" operator="lessThan">
      <formula>0.05</formula>
    </cfRule>
  </conditionalFormatting>
  <conditionalFormatting sqref="BR2:BR26">
    <cfRule type="cellIs" dxfId="1" priority="2" operator="lessThan">
      <formula>0.05</formula>
    </cfRule>
  </conditionalFormatting>
  <drawing r:id="rId1"/>
</worksheet>
</file>