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A" sheetId="1" r:id="rId4"/>
    <sheet state="visible" name="9B" sheetId="2" r:id="rId5"/>
    <sheet state="visible" name="General average A" sheetId="3" r:id="rId6"/>
    <sheet state="visible" name="General average B" sheetId="4" r:id="rId7"/>
  </sheets>
  <definedNames>
    <definedName hidden="1" localSheetId="1" name="_xlnm._FilterDatabase">'9B'!$A$1:$AA$102</definedName>
  </definedNames>
  <calcPr/>
</workbook>
</file>

<file path=xl/sharedStrings.xml><?xml version="1.0" encoding="utf-8"?>
<sst xmlns="http://schemas.openxmlformats.org/spreadsheetml/2006/main" count="308" uniqueCount="76">
  <si>
    <t>Timestamp</t>
  </si>
  <si>
    <t>Aldur:</t>
  </si>
  <si>
    <t>Kyn:</t>
  </si>
  <si>
    <t>1. Nauðsynlegt er að tilkynna breytinguna yfirkjörstjórn innan viku.</t>
  </si>
  <si>
    <t>2. Sóttvarnalæknir mælist til að áhættuhópar njóti forgangs við bólusetningar.</t>
  </si>
  <si>
    <t>3. Snjónum tók að kyngja niður í Reykjanesbæ upp úr miðnætti.</t>
  </si>
  <si>
    <t>4. Ég myndi aldrei mæta fullur eða skrópa í vinnuna.</t>
  </si>
  <si>
    <t>5. Sumt fólk upplifir verkkvíða gagnvart því að byrja á verkefnum.</t>
  </si>
  <si>
    <t>6. Meirihluti borgarstjórnar samþykktu í dag fyrirkomulag næsta árs.</t>
  </si>
  <si>
    <t>7. Valda- og æruleysið svíður greinilega.</t>
  </si>
  <si>
    <t xml:space="preserve">8. Það vantaði lítið upp á að Chelsea næði stigi gegn Arsenal. </t>
  </si>
  <si>
    <t>9. Yfirvöld vilja ekki afhenda íbúum lóðina án þess að kanna málið.</t>
  </si>
  <si>
    <t>10. Hinrik er skemmtilegur að tala við fullan.</t>
  </si>
  <si>
    <t xml:space="preserve">11. Það er ekki hægt að ætlast til þess að fá allar sínar óskir uppfylltar. </t>
  </si>
  <si>
    <t>12. Eftir þennan atburð langar Karli ekki lengur að sækja um lán.</t>
  </si>
  <si>
    <t>13. Meiðslin angruðu hana alla síðustu leiktíð.</t>
  </si>
  <si>
    <t>14. Eftir slysið komst upp um að bíllinn var ótryggður.</t>
  </si>
  <si>
    <t>15. Stór hluti barnanna í skólanum hafa smitast af flensunni.</t>
  </si>
  <si>
    <t>16. Hann segist hafa tilkynnt starfsmönnum óhappið sama dag.</t>
  </si>
  <si>
    <t>17. Börn geta fundið upp á því að troða ótrúlegustu hlutum upp í nefið.</t>
  </si>
  <si>
    <t>18. Ef hann sé ekki góður við þig þá rassskelli ég hann.</t>
  </si>
  <si>
    <t>19. Þetta er raunveruleikinn sem þeir ræddu við hvern annan.</t>
  </si>
  <si>
    <t>20. Við getum ekki gengið út frá að sagan í þessari grein sé sönn.</t>
  </si>
  <si>
    <t>21. Eftir athöfnina var drifið sig heim til að skipta um föt og fara svo aftur á veitingastaðinn.</t>
  </si>
  <si>
    <t>22. Það var því miður rænt mig bæði veskinu og símanum á leiðinni til þín.</t>
  </si>
  <si>
    <t xml:space="preserve">23. Það er mælst til þess að mæta á flugvöllinn þremur tímum fyrir brottför. </t>
  </si>
  <si>
    <t>24. Jón ætlar að afhenda minnisblaðið blaðamönnum strax á morgun.</t>
  </si>
  <si>
    <t>25. Þetta er bara að versna og ég kvíði fyrir mánaðamótunum.</t>
  </si>
  <si>
    <t>Karl</t>
  </si>
  <si>
    <t>Kona</t>
  </si>
  <si>
    <t>1. Þetta er bara að versna og ég kvíði fyrir mánaðamótunum.</t>
  </si>
  <si>
    <t>2. Jón ætlar að afhenda blaðamönnum minnisblaðið strax á morgun.</t>
  </si>
  <si>
    <t xml:space="preserve">3. Það er mælst til að mæta á flugvöllinn þremur tímum fyrir brottför. </t>
  </si>
  <si>
    <t>4. Það var því miður rænt mig bæði veskinu og símanum á leiðinni til þín.</t>
  </si>
  <si>
    <t>5. Eftir athöfnina var drifið sig heim til að skipta um föt og fara svo aftur á veitingastaðinn.</t>
  </si>
  <si>
    <t>6. Við getum ekki gengið út frá því að sagan í þessari grein sé sönn.</t>
  </si>
  <si>
    <t>7. Þetta er raunveruleikinn sem þeir ræddu við hvern annan.</t>
  </si>
  <si>
    <t>8. Ef hann sé ekki góður við þig þá rassskelli ég hann.</t>
  </si>
  <si>
    <t>9. Börn geta fundið upp á að troða ótrúlegustu hlutum upp í nefið.</t>
  </si>
  <si>
    <t>10. Hann segist hafa tilkynnt óhappið starfsmönnum sama dag.</t>
  </si>
  <si>
    <t>11. Stór hluti barnanna í skólanum hafa smitast af flensunni.</t>
  </si>
  <si>
    <t>12. Eftir slysið komst upp um það að bíllinn var ótryggður.</t>
  </si>
  <si>
    <t>14. Eftir þennan atburð langar Karli ekki lengur að sækja um lán.</t>
  </si>
  <si>
    <t xml:space="preserve">15. Það er ekki hægt að ætlast til að fá allar sínar óskir uppfylltar. </t>
  </si>
  <si>
    <t>16. Hinrik er skemmtilegur að tala við fullan.</t>
  </si>
  <si>
    <t>17. Yfirvöld vilja ekki afhenda lóðina íbúum án þess að kanna málið.</t>
  </si>
  <si>
    <t xml:space="preserve">18. Það vantaði lítið upp á það að Chelsea næði stigi gegn Arsenal. </t>
  </si>
  <si>
    <t>19. Valda- og æruleysið svíður greinilega.</t>
  </si>
  <si>
    <t>20. Meirihluti borgarstjórnar samþykktu í dag fyrirkomulag næsta árs.</t>
  </si>
  <si>
    <t>21. Sumt fólk upplifir verkkvíða gagnvart að byrja á verkefnum.</t>
  </si>
  <si>
    <t>22. Ég myndi aldrei mæta fullur eða skrópa í vinnuna.</t>
  </si>
  <si>
    <t>23. Snjónum tók að kyngja niður í Reykjanesbæ upp úr miðnætti.</t>
  </si>
  <si>
    <t>24. Sóttvarnalæknir mælist til þess að áhættuhópar njóti forgangs við bólusetningar.</t>
  </si>
  <si>
    <t>25. Nauðsynlegt er að tilkynna yfirkjörstjórn breytinguna innan viku.</t>
  </si>
  <si>
    <t>ID</t>
  </si>
  <si>
    <t>Sentence</t>
  </si>
  <si>
    <t>Total</t>
  </si>
  <si>
    <t>Weighted average</t>
  </si>
  <si>
    <t>Age ranges</t>
  </si>
  <si>
    <t>Tot. Age 1</t>
  </si>
  <si>
    <t>Tot. Age 2</t>
  </si>
  <si>
    <t>Tot. Age 3</t>
  </si>
  <si>
    <t>W. average A</t>
  </si>
  <si>
    <t>W. average B</t>
  </si>
  <si>
    <t>W. average C</t>
  </si>
  <si>
    <t>Expected values</t>
  </si>
  <si>
    <t>P-value</t>
  </si>
  <si>
    <t>Tot. men A</t>
  </si>
  <si>
    <t>Tot. women A</t>
  </si>
  <si>
    <t>W. average Men</t>
  </si>
  <si>
    <t>W. average women</t>
  </si>
  <si>
    <t>Positive expected values</t>
  </si>
  <si>
    <t>Tot. men B</t>
  </si>
  <si>
    <t>Tot. women B</t>
  </si>
  <si>
    <t>Average Men</t>
  </si>
  <si>
    <t>Average 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</si>
</sst>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1" numFmtId="2" xfId="0" applyFont="1" applyNumberFormat="1"/>
    <xf borderId="0" fillId="0" fontId="1" numFmtId="165" xfId="0" applyFont="1" applyNumberFormat="1"/>
    <xf borderId="0" fillId="0" fontId="1" numFmtId="1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5.38"/>
    <col customWidth="1" min="3" max="3" width="4.88"/>
    <col customWidth="1" hidden="1" min="4" max="4" width="18.88"/>
    <col customWidth="1" min="5" max="5" width="18.88"/>
    <col customWidth="1" hidden="1" min="6" max="7" width="18.88"/>
    <col customWidth="1" min="8" max="8" width="18.88"/>
    <col customWidth="1" hidden="1" min="9" max="10" width="18.88"/>
    <col customWidth="1" min="11" max="11" width="18.88"/>
    <col customWidth="1" hidden="1" min="12" max="13" width="18.88"/>
    <col customWidth="1" min="14" max="14" width="18.88"/>
    <col customWidth="1" hidden="1" min="15" max="16" width="18.88"/>
    <col customWidth="1" min="17" max="17" width="18.88"/>
    <col customWidth="1" hidden="1" min="18" max="19" width="18.88"/>
    <col customWidth="1" min="20" max="20" width="18.88"/>
    <col customWidth="1" hidden="1" min="21" max="22" width="18.88"/>
    <col customWidth="1" min="23" max="23" width="18.88"/>
    <col customWidth="1" hidden="1" min="24" max="25" width="18.88"/>
    <col customWidth="1" min="26" max="26" width="18.88"/>
    <col customWidth="1" hidden="1" min="27" max="28" width="18.88"/>
    <col customWidth="1" min="29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45112.49123252315</v>
      </c>
      <c r="B2" s="3">
        <v>65.0</v>
      </c>
      <c r="C2" s="3" t="s">
        <v>28</v>
      </c>
      <c r="D2" s="3">
        <v>7.0</v>
      </c>
      <c r="E2" s="3">
        <v>7.0</v>
      </c>
      <c r="F2" s="3">
        <v>7.0</v>
      </c>
      <c r="G2" s="3">
        <v>3.0</v>
      </c>
      <c r="H2" s="3">
        <v>7.0</v>
      </c>
      <c r="I2" s="3">
        <v>2.0</v>
      </c>
      <c r="J2" s="3">
        <v>6.0</v>
      </c>
      <c r="K2" s="3">
        <v>7.0</v>
      </c>
      <c r="L2" s="3">
        <v>7.0</v>
      </c>
      <c r="M2" s="3">
        <v>7.0</v>
      </c>
      <c r="N2" s="3">
        <v>7.0</v>
      </c>
      <c r="O2" s="3">
        <v>1.0</v>
      </c>
      <c r="P2" s="3">
        <v>7.0</v>
      </c>
      <c r="Q2" s="3">
        <v>2.0</v>
      </c>
      <c r="R2" s="3">
        <v>5.0</v>
      </c>
      <c r="S2" s="3">
        <v>7.0</v>
      </c>
      <c r="T2" s="3">
        <v>7.0</v>
      </c>
      <c r="U2" s="3">
        <v>1.0</v>
      </c>
      <c r="V2" s="3">
        <v>7.0</v>
      </c>
      <c r="W2" s="3">
        <v>7.0</v>
      </c>
      <c r="X2" s="3">
        <v>1.0</v>
      </c>
      <c r="Y2" s="3">
        <v>1.0</v>
      </c>
      <c r="Z2" s="3">
        <v>7.0</v>
      </c>
      <c r="AA2" s="3">
        <v>7.0</v>
      </c>
      <c r="AB2" s="3">
        <v>7.0</v>
      </c>
    </row>
    <row r="3">
      <c r="A3" s="2">
        <v>45112.494196597225</v>
      </c>
      <c r="B3" s="3">
        <v>40.0</v>
      </c>
      <c r="C3" s="3" t="s">
        <v>29</v>
      </c>
      <c r="D3" s="3">
        <v>2.0</v>
      </c>
      <c r="E3" s="3">
        <v>4.0</v>
      </c>
      <c r="F3" s="3">
        <v>6.0</v>
      </c>
      <c r="G3" s="3">
        <v>6.0</v>
      </c>
      <c r="H3" s="3">
        <v>6.0</v>
      </c>
      <c r="I3" s="3">
        <v>3.0</v>
      </c>
      <c r="J3" s="3">
        <v>6.0</v>
      </c>
      <c r="K3" s="3">
        <v>7.0</v>
      </c>
      <c r="L3" s="3">
        <v>7.0</v>
      </c>
      <c r="M3" s="3">
        <v>3.0</v>
      </c>
      <c r="N3" s="3">
        <v>5.0</v>
      </c>
      <c r="O3" s="3">
        <v>3.0</v>
      </c>
      <c r="P3" s="3">
        <v>2.0</v>
      </c>
      <c r="Q3" s="3">
        <v>2.0</v>
      </c>
      <c r="R3" s="3">
        <v>2.0</v>
      </c>
      <c r="S3" s="3">
        <v>3.0</v>
      </c>
      <c r="T3" s="3">
        <v>4.0</v>
      </c>
      <c r="U3" s="3">
        <v>2.0</v>
      </c>
      <c r="V3" s="3">
        <v>1.0</v>
      </c>
      <c r="W3" s="3">
        <v>3.0</v>
      </c>
      <c r="X3" s="3">
        <v>1.0</v>
      </c>
      <c r="Y3" s="3">
        <v>2.0</v>
      </c>
      <c r="Z3" s="3">
        <v>4.0</v>
      </c>
      <c r="AA3" s="3">
        <v>4.0</v>
      </c>
      <c r="AB3" s="3">
        <v>7.0</v>
      </c>
    </row>
    <row r="4">
      <c r="A4" s="2">
        <v>45112.4971406713</v>
      </c>
      <c r="B4" s="3">
        <v>64.0</v>
      </c>
      <c r="C4" s="3" t="s">
        <v>28</v>
      </c>
      <c r="D4" s="3">
        <v>1.0</v>
      </c>
      <c r="E4" s="3">
        <v>7.0</v>
      </c>
      <c r="F4" s="3">
        <v>7.0</v>
      </c>
      <c r="G4" s="3">
        <v>2.0</v>
      </c>
      <c r="H4" s="3">
        <v>7.0</v>
      </c>
      <c r="I4" s="3">
        <v>2.0</v>
      </c>
      <c r="J4" s="3">
        <v>5.0</v>
      </c>
      <c r="K4" s="3">
        <v>7.0</v>
      </c>
      <c r="L4" s="3">
        <v>7.0</v>
      </c>
      <c r="M4" s="3">
        <v>1.0</v>
      </c>
      <c r="N4" s="3">
        <v>7.0</v>
      </c>
      <c r="O4" s="3">
        <v>1.0</v>
      </c>
      <c r="P4" s="3">
        <v>7.0</v>
      </c>
      <c r="Q4" s="3">
        <v>6.0</v>
      </c>
      <c r="R4" s="3">
        <v>2.0</v>
      </c>
      <c r="S4" s="3">
        <v>7.0</v>
      </c>
      <c r="T4" s="3">
        <v>7.0</v>
      </c>
      <c r="U4" s="3">
        <v>1.0</v>
      </c>
      <c r="V4" s="3">
        <v>2.0</v>
      </c>
      <c r="W4" s="3">
        <v>7.0</v>
      </c>
      <c r="X4" s="3">
        <v>6.0</v>
      </c>
      <c r="Y4" s="3">
        <v>1.0</v>
      </c>
      <c r="Z4" s="3">
        <v>7.0</v>
      </c>
      <c r="AA4" s="3">
        <v>3.0</v>
      </c>
      <c r="AB4" s="3">
        <v>7.0</v>
      </c>
    </row>
    <row r="5">
      <c r="A5" s="2">
        <v>45112.49775521991</v>
      </c>
      <c r="B5" s="3">
        <v>30.0</v>
      </c>
      <c r="C5" s="3" t="s">
        <v>29</v>
      </c>
      <c r="D5" s="3">
        <v>3.0</v>
      </c>
      <c r="E5" s="3">
        <v>6.0</v>
      </c>
      <c r="F5" s="3">
        <v>7.0</v>
      </c>
      <c r="G5" s="3">
        <v>7.0</v>
      </c>
      <c r="H5" s="3">
        <v>7.0</v>
      </c>
      <c r="I5" s="3">
        <v>5.0</v>
      </c>
      <c r="J5" s="3">
        <v>5.0</v>
      </c>
      <c r="K5" s="3">
        <v>7.0</v>
      </c>
      <c r="L5" s="3">
        <v>7.0</v>
      </c>
      <c r="M5" s="3">
        <v>5.0</v>
      </c>
      <c r="N5" s="3">
        <v>7.0</v>
      </c>
      <c r="O5" s="3">
        <v>2.0</v>
      </c>
      <c r="P5" s="3">
        <v>1.0</v>
      </c>
      <c r="Q5" s="3">
        <v>2.0</v>
      </c>
      <c r="R5" s="3">
        <v>6.0</v>
      </c>
      <c r="S5" s="3">
        <v>7.0</v>
      </c>
      <c r="T5" s="3">
        <v>7.0</v>
      </c>
      <c r="U5" s="3">
        <v>1.0</v>
      </c>
      <c r="V5" s="3">
        <v>3.0</v>
      </c>
      <c r="W5" s="3">
        <v>7.0</v>
      </c>
      <c r="X5" s="3">
        <v>1.0</v>
      </c>
      <c r="Y5" s="3">
        <v>1.0</v>
      </c>
      <c r="Z5" s="3">
        <v>7.0</v>
      </c>
      <c r="AA5" s="3">
        <v>3.0</v>
      </c>
      <c r="AB5" s="3">
        <v>7.0</v>
      </c>
    </row>
    <row r="6">
      <c r="A6" s="2">
        <v>45112.527548564816</v>
      </c>
      <c r="B6" s="3">
        <v>22.0</v>
      </c>
      <c r="C6" s="3" t="s">
        <v>29</v>
      </c>
      <c r="D6" s="3">
        <v>1.0</v>
      </c>
      <c r="E6" s="3">
        <v>2.0</v>
      </c>
      <c r="F6" s="3">
        <v>1.0</v>
      </c>
      <c r="G6" s="3">
        <v>5.0</v>
      </c>
      <c r="H6" s="3">
        <v>7.0</v>
      </c>
      <c r="I6" s="3">
        <v>1.0</v>
      </c>
      <c r="J6" s="3">
        <v>5.0</v>
      </c>
      <c r="K6" s="3">
        <v>7.0</v>
      </c>
      <c r="L6" s="3">
        <v>7.0</v>
      </c>
      <c r="M6" s="3">
        <v>1.0</v>
      </c>
      <c r="N6" s="3">
        <v>7.0</v>
      </c>
      <c r="O6" s="3">
        <v>1.0</v>
      </c>
      <c r="P6" s="3">
        <v>1.0</v>
      </c>
      <c r="Q6" s="3">
        <v>4.0</v>
      </c>
      <c r="R6" s="3">
        <v>1.0</v>
      </c>
      <c r="S6" s="3">
        <v>5.0</v>
      </c>
      <c r="T6" s="3">
        <v>7.0</v>
      </c>
      <c r="U6" s="3">
        <v>1.0</v>
      </c>
      <c r="V6" s="3">
        <v>6.0</v>
      </c>
      <c r="W6" s="3">
        <v>7.0</v>
      </c>
      <c r="X6" s="3">
        <v>1.0</v>
      </c>
      <c r="Y6" s="3">
        <v>1.0</v>
      </c>
      <c r="Z6" s="3">
        <v>7.0</v>
      </c>
      <c r="AA6" s="3">
        <v>5.0</v>
      </c>
      <c r="AB6" s="3">
        <v>6.0</v>
      </c>
    </row>
    <row r="7">
      <c r="A7" s="2">
        <v>45112.54060270834</v>
      </c>
      <c r="B7" s="3">
        <v>41.0</v>
      </c>
      <c r="C7" s="3" t="s">
        <v>29</v>
      </c>
      <c r="D7" s="3">
        <v>2.0</v>
      </c>
      <c r="E7" s="3">
        <v>7.0</v>
      </c>
      <c r="F7" s="3">
        <v>5.0</v>
      </c>
      <c r="G7" s="3">
        <v>3.0</v>
      </c>
      <c r="H7" s="3">
        <v>1.0</v>
      </c>
      <c r="I7" s="3">
        <v>1.0</v>
      </c>
      <c r="J7" s="3">
        <v>1.0</v>
      </c>
      <c r="K7" s="3">
        <v>5.0</v>
      </c>
      <c r="L7" s="3">
        <v>7.0</v>
      </c>
      <c r="M7" s="3">
        <v>1.0</v>
      </c>
      <c r="N7" s="3">
        <v>3.0</v>
      </c>
      <c r="O7" s="3">
        <v>1.0</v>
      </c>
      <c r="P7" s="3">
        <v>1.0</v>
      </c>
      <c r="Q7" s="3">
        <v>1.0</v>
      </c>
      <c r="R7" s="3">
        <v>1.0</v>
      </c>
      <c r="S7" s="3">
        <v>5.0</v>
      </c>
      <c r="T7" s="3">
        <v>7.0</v>
      </c>
      <c r="U7" s="3">
        <v>1.0</v>
      </c>
      <c r="V7" s="3">
        <v>1.0</v>
      </c>
      <c r="W7" s="3">
        <v>7.0</v>
      </c>
      <c r="X7" s="3">
        <v>1.0</v>
      </c>
      <c r="Y7" s="3">
        <v>1.0</v>
      </c>
      <c r="Z7" s="3">
        <v>3.0</v>
      </c>
      <c r="AA7" s="3">
        <v>1.0</v>
      </c>
      <c r="AB7" s="3">
        <v>3.0</v>
      </c>
    </row>
    <row r="8">
      <c r="A8" s="2">
        <v>45112.566040254635</v>
      </c>
      <c r="B8" s="3">
        <v>54.0</v>
      </c>
      <c r="C8" s="3" t="s">
        <v>29</v>
      </c>
      <c r="D8" s="3">
        <v>1.0</v>
      </c>
      <c r="E8" s="3">
        <v>2.0</v>
      </c>
      <c r="F8" s="3">
        <v>1.0</v>
      </c>
      <c r="G8" s="3">
        <v>7.0</v>
      </c>
      <c r="H8" s="3">
        <v>2.0</v>
      </c>
      <c r="I8" s="3">
        <v>1.0</v>
      </c>
      <c r="J8" s="3">
        <v>6.0</v>
      </c>
      <c r="K8" s="3">
        <v>7.0</v>
      </c>
      <c r="L8" s="3">
        <v>7.0</v>
      </c>
      <c r="M8" s="3">
        <v>1.0</v>
      </c>
      <c r="N8" s="3">
        <v>7.0</v>
      </c>
      <c r="O8" s="3">
        <v>7.0</v>
      </c>
      <c r="P8" s="3">
        <v>1.0</v>
      </c>
      <c r="Q8" s="3">
        <v>1.0</v>
      </c>
      <c r="R8" s="3">
        <v>1.0</v>
      </c>
      <c r="S8" s="3">
        <v>7.0</v>
      </c>
      <c r="T8" s="3">
        <v>7.0</v>
      </c>
      <c r="U8" s="3">
        <v>1.0</v>
      </c>
      <c r="V8" s="3">
        <v>2.0</v>
      </c>
      <c r="W8" s="3">
        <v>1.0</v>
      </c>
      <c r="X8" s="3">
        <v>1.0</v>
      </c>
      <c r="Y8" s="3">
        <v>1.0</v>
      </c>
      <c r="Z8" s="3">
        <v>7.0</v>
      </c>
      <c r="AA8" s="3">
        <v>6.0</v>
      </c>
      <c r="AB8" s="3">
        <v>7.0</v>
      </c>
    </row>
    <row r="9">
      <c r="A9" s="2">
        <v>45112.621028043985</v>
      </c>
      <c r="B9" s="3">
        <v>73.0</v>
      </c>
      <c r="C9" s="3" t="s">
        <v>28</v>
      </c>
      <c r="D9" s="3">
        <v>6.0</v>
      </c>
      <c r="E9" s="3">
        <v>7.0</v>
      </c>
      <c r="F9" s="3">
        <v>7.0</v>
      </c>
      <c r="G9" s="3">
        <v>7.0</v>
      </c>
      <c r="H9" s="3">
        <v>6.0</v>
      </c>
      <c r="I9" s="3">
        <v>7.0</v>
      </c>
      <c r="J9" s="3">
        <v>7.0</v>
      </c>
      <c r="K9" s="3">
        <v>7.0</v>
      </c>
      <c r="L9" s="3">
        <v>7.0</v>
      </c>
      <c r="M9" s="3">
        <v>1.0</v>
      </c>
      <c r="N9" s="3">
        <v>5.0</v>
      </c>
      <c r="O9" s="3">
        <v>2.0</v>
      </c>
      <c r="P9" s="3">
        <v>6.0</v>
      </c>
      <c r="Q9" s="3">
        <v>7.0</v>
      </c>
      <c r="R9" s="3">
        <v>3.0</v>
      </c>
      <c r="S9" s="3">
        <v>7.0</v>
      </c>
      <c r="T9" s="3">
        <v>7.0</v>
      </c>
      <c r="U9" s="3">
        <v>1.0</v>
      </c>
      <c r="V9" s="3">
        <v>4.0</v>
      </c>
      <c r="W9" s="3">
        <v>7.0</v>
      </c>
      <c r="X9" s="3">
        <v>3.0</v>
      </c>
      <c r="Y9" s="3">
        <v>1.0</v>
      </c>
      <c r="Z9" s="3">
        <v>3.0</v>
      </c>
      <c r="AA9" s="3">
        <v>3.0</v>
      </c>
      <c r="AB9" s="3">
        <v>7.0</v>
      </c>
    </row>
    <row r="10">
      <c r="A10" s="2">
        <v>45112.623990057866</v>
      </c>
      <c r="B10" s="3">
        <v>28.0</v>
      </c>
      <c r="C10" s="3" t="s">
        <v>29</v>
      </c>
      <c r="D10" s="3">
        <v>5.0</v>
      </c>
      <c r="E10" s="3">
        <v>7.0</v>
      </c>
      <c r="F10" s="3">
        <v>7.0</v>
      </c>
      <c r="G10" s="3">
        <v>7.0</v>
      </c>
      <c r="H10" s="3">
        <v>7.0</v>
      </c>
      <c r="I10" s="3">
        <v>1.0</v>
      </c>
      <c r="J10" s="3">
        <v>2.0</v>
      </c>
      <c r="K10" s="3">
        <v>7.0</v>
      </c>
      <c r="L10" s="3">
        <v>7.0</v>
      </c>
      <c r="M10" s="3">
        <v>1.0</v>
      </c>
      <c r="N10" s="3">
        <v>7.0</v>
      </c>
      <c r="O10" s="3">
        <v>7.0</v>
      </c>
      <c r="P10" s="3">
        <v>1.0</v>
      </c>
      <c r="Q10" s="3">
        <v>2.0</v>
      </c>
      <c r="R10" s="3">
        <v>2.0</v>
      </c>
      <c r="S10" s="3">
        <v>7.0</v>
      </c>
      <c r="T10" s="3">
        <v>7.0</v>
      </c>
      <c r="U10" s="3">
        <v>1.0</v>
      </c>
      <c r="V10" s="3">
        <v>7.0</v>
      </c>
      <c r="W10" s="3">
        <v>7.0</v>
      </c>
      <c r="X10" s="3">
        <v>5.0</v>
      </c>
      <c r="Y10" s="3">
        <v>1.0</v>
      </c>
      <c r="Z10" s="3">
        <v>7.0</v>
      </c>
      <c r="AA10" s="3">
        <v>6.0</v>
      </c>
      <c r="AB10" s="3">
        <v>7.0</v>
      </c>
    </row>
    <row r="11">
      <c r="A11" s="2">
        <v>45112.67554306713</v>
      </c>
      <c r="B11" s="3">
        <v>47.0</v>
      </c>
      <c r="C11" s="3" t="s">
        <v>29</v>
      </c>
      <c r="D11" s="3">
        <v>1.0</v>
      </c>
      <c r="E11" s="3">
        <v>7.0</v>
      </c>
      <c r="F11" s="3">
        <v>5.0</v>
      </c>
      <c r="G11" s="3">
        <v>1.0</v>
      </c>
      <c r="H11" s="3">
        <v>2.0</v>
      </c>
      <c r="I11" s="3">
        <v>1.0</v>
      </c>
      <c r="J11" s="3">
        <v>5.0</v>
      </c>
      <c r="K11" s="3">
        <v>5.0</v>
      </c>
      <c r="L11" s="3">
        <v>7.0</v>
      </c>
      <c r="M11" s="3">
        <v>1.0</v>
      </c>
      <c r="N11" s="3">
        <v>7.0</v>
      </c>
      <c r="O11" s="3">
        <v>1.0</v>
      </c>
      <c r="P11" s="3">
        <v>6.0</v>
      </c>
      <c r="Q11" s="3">
        <v>3.0</v>
      </c>
      <c r="R11" s="3">
        <v>1.0</v>
      </c>
      <c r="S11" s="3">
        <v>6.0</v>
      </c>
      <c r="T11" s="3">
        <v>7.0</v>
      </c>
      <c r="U11" s="3">
        <v>1.0</v>
      </c>
      <c r="V11" s="3">
        <v>3.0</v>
      </c>
      <c r="W11" s="3">
        <v>6.0</v>
      </c>
      <c r="X11" s="3">
        <v>1.0</v>
      </c>
      <c r="Y11" s="3">
        <v>1.0</v>
      </c>
      <c r="Z11" s="3">
        <v>6.0</v>
      </c>
      <c r="AA11" s="3">
        <v>2.0</v>
      </c>
      <c r="AB11" s="3">
        <v>7.0</v>
      </c>
    </row>
    <row r="12">
      <c r="A12" s="2">
        <v>45112.74412625</v>
      </c>
      <c r="B12" s="3">
        <v>64.0</v>
      </c>
      <c r="C12" s="3" t="s">
        <v>28</v>
      </c>
      <c r="D12" s="3">
        <v>2.0</v>
      </c>
      <c r="E12" s="3">
        <v>7.0</v>
      </c>
      <c r="F12" s="3">
        <v>7.0</v>
      </c>
      <c r="G12" s="3">
        <v>1.0</v>
      </c>
      <c r="H12" s="3">
        <v>5.0</v>
      </c>
      <c r="I12" s="3">
        <v>1.0</v>
      </c>
      <c r="J12" s="3">
        <v>7.0</v>
      </c>
      <c r="K12" s="3">
        <v>7.0</v>
      </c>
      <c r="L12" s="3">
        <v>7.0</v>
      </c>
      <c r="M12" s="3">
        <v>1.0</v>
      </c>
      <c r="N12" s="3">
        <v>6.0</v>
      </c>
      <c r="O12" s="3">
        <v>1.0</v>
      </c>
      <c r="P12" s="3">
        <v>1.0</v>
      </c>
      <c r="Q12" s="3">
        <v>3.0</v>
      </c>
      <c r="R12" s="3">
        <v>1.0</v>
      </c>
      <c r="S12" s="3">
        <v>7.0</v>
      </c>
      <c r="T12" s="3">
        <v>7.0</v>
      </c>
      <c r="U12" s="3">
        <v>1.0</v>
      </c>
      <c r="V12" s="3">
        <v>1.0</v>
      </c>
      <c r="W12" s="3">
        <v>6.0</v>
      </c>
      <c r="X12" s="3">
        <v>1.0</v>
      </c>
      <c r="Y12" s="3">
        <v>1.0</v>
      </c>
      <c r="Z12" s="3">
        <v>7.0</v>
      </c>
      <c r="AA12" s="3">
        <v>5.0</v>
      </c>
      <c r="AB12" s="3">
        <v>7.0</v>
      </c>
    </row>
    <row r="13">
      <c r="A13" s="2">
        <v>45112.93941127315</v>
      </c>
      <c r="B13" s="3">
        <v>67.0</v>
      </c>
      <c r="C13" s="3" t="s">
        <v>28</v>
      </c>
      <c r="D13" s="3">
        <v>1.0</v>
      </c>
      <c r="E13" s="3">
        <v>6.0</v>
      </c>
      <c r="F13" s="3">
        <v>7.0</v>
      </c>
      <c r="G13" s="3">
        <v>1.0</v>
      </c>
      <c r="H13" s="3">
        <v>2.0</v>
      </c>
      <c r="I13" s="3">
        <v>1.0</v>
      </c>
      <c r="J13" s="3">
        <v>5.0</v>
      </c>
      <c r="K13" s="3">
        <v>6.0</v>
      </c>
      <c r="L13" s="3">
        <v>1.0</v>
      </c>
      <c r="M13" s="3">
        <v>2.0</v>
      </c>
      <c r="N13" s="3">
        <v>2.0</v>
      </c>
      <c r="O13" s="3">
        <v>1.0</v>
      </c>
      <c r="P13" s="3">
        <v>1.0</v>
      </c>
      <c r="Q13" s="3">
        <v>2.0</v>
      </c>
      <c r="R13" s="3">
        <v>1.0</v>
      </c>
      <c r="S13" s="3">
        <v>6.0</v>
      </c>
      <c r="T13" s="3">
        <v>7.0</v>
      </c>
      <c r="U13" s="3">
        <v>1.0</v>
      </c>
      <c r="V13" s="3">
        <v>1.0</v>
      </c>
      <c r="W13" s="3">
        <v>6.0</v>
      </c>
      <c r="X13" s="3">
        <v>3.0</v>
      </c>
      <c r="Y13" s="3">
        <v>1.0</v>
      </c>
      <c r="Z13" s="3">
        <v>7.0</v>
      </c>
      <c r="AA13" s="3">
        <v>1.0</v>
      </c>
      <c r="AB13" s="3">
        <v>4.0</v>
      </c>
    </row>
    <row r="14">
      <c r="A14" s="2">
        <v>45112.99820944444</v>
      </c>
      <c r="B14" s="3">
        <v>60.0</v>
      </c>
      <c r="C14" s="3" t="s">
        <v>28</v>
      </c>
      <c r="D14" s="3">
        <v>1.0</v>
      </c>
      <c r="E14" s="3">
        <v>1.0</v>
      </c>
      <c r="F14" s="3">
        <v>1.0</v>
      </c>
      <c r="G14" s="3">
        <v>1.0</v>
      </c>
      <c r="H14" s="3">
        <v>1.0</v>
      </c>
      <c r="I14" s="3">
        <v>1.0</v>
      </c>
      <c r="J14" s="3">
        <v>7.0</v>
      </c>
      <c r="K14" s="3">
        <v>7.0</v>
      </c>
      <c r="L14" s="3">
        <v>7.0</v>
      </c>
      <c r="M14" s="3">
        <v>1.0</v>
      </c>
      <c r="N14" s="3">
        <v>7.0</v>
      </c>
      <c r="O14" s="3">
        <v>7.0</v>
      </c>
      <c r="P14" s="3">
        <v>1.0</v>
      </c>
      <c r="Q14" s="3">
        <v>1.0</v>
      </c>
      <c r="R14" s="3">
        <v>7.0</v>
      </c>
      <c r="S14" s="3">
        <v>7.0</v>
      </c>
      <c r="T14" s="3">
        <v>7.0</v>
      </c>
      <c r="U14" s="3">
        <v>1.0</v>
      </c>
      <c r="V14" s="3">
        <v>1.0</v>
      </c>
      <c r="W14" s="3">
        <v>1.0</v>
      </c>
      <c r="X14" s="3">
        <v>7.0</v>
      </c>
      <c r="Y14" s="3">
        <v>1.0</v>
      </c>
      <c r="Z14" s="3">
        <v>7.0</v>
      </c>
      <c r="AA14" s="3">
        <v>2.0</v>
      </c>
      <c r="AB14" s="3">
        <v>6.0</v>
      </c>
    </row>
    <row r="15">
      <c r="A15" s="2">
        <v>45113.04851994213</v>
      </c>
      <c r="B15" s="3">
        <v>58.0</v>
      </c>
      <c r="C15" s="3" t="s">
        <v>28</v>
      </c>
      <c r="D15" s="3">
        <v>6.0</v>
      </c>
      <c r="E15" s="3">
        <v>7.0</v>
      </c>
      <c r="F15" s="3">
        <v>7.0</v>
      </c>
      <c r="G15" s="3">
        <v>7.0</v>
      </c>
      <c r="H15" s="3">
        <v>7.0</v>
      </c>
      <c r="I15" s="3">
        <v>1.0</v>
      </c>
      <c r="J15" s="3">
        <v>7.0</v>
      </c>
      <c r="K15" s="3">
        <v>7.0</v>
      </c>
      <c r="L15" s="3">
        <v>7.0</v>
      </c>
      <c r="M15" s="3">
        <v>1.0</v>
      </c>
      <c r="N15" s="3">
        <v>7.0</v>
      </c>
      <c r="O15" s="3">
        <v>1.0</v>
      </c>
      <c r="P15" s="3">
        <v>1.0</v>
      </c>
      <c r="Q15" s="3">
        <v>1.0</v>
      </c>
      <c r="R15" s="3">
        <v>6.0</v>
      </c>
      <c r="S15" s="3">
        <v>2.0</v>
      </c>
      <c r="T15" s="3">
        <v>6.0</v>
      </c>
      <c r="U15" s="3">
        <v>6.0</v>
      </c>
      <c r="V15" s="3">
        <v>3.0</v>
      </c>
      <c r="W15" s="3">
        <v>7.0</v>
      </c>
      <c r="X15" s="3">
        <v>6.0</v>
      </c>
      <c r="Y15" s="3">
        <v>1.0</v>
      </c>
      <c r="Z15" s="3">
        <v>7.0</v>
      </c>
      <c r="AA15" s="3">
        <v>5.0</v>
      </c>
      <c r="AB15" s="3">
        <v>5.0</v>
      </c>
    </row>
    <row r="16">
      <c r="A16" s="2">
        <v>45113.38073013889</v>
      </c>
      <c r="B16" s="3">
        <v>59.0</v>
      </c>
      <c r="C16" s="3" t="s">
        <v>28</v>
      </c>
      <c r="D16" s="3">
        <v>1.0</v>
      </c>
      <c r="E16" s="3">
        <v>1.0</v>
      </c>
      <c r="F16" s="3">
        <v>1.0</v>
      </c>
      <c r="G16" s="3">
        <v>1.0</v>
      </c>
      <c r="H16" s="3">
        <v>1.0</v>
      </c>
      <c r="I16" s="3">
        <v>1.0</v>
      </c>
      <c r="J16" s="3">
        <v>1.0</v>
      </c>
      <c r="K16" s="3">
        <v>6.0</v>
      </c>
      <c r="L16" s="3">
        <v>1.0</v>
      </c>
      <c r="M16" s="3">
        <v>1.0</v>
      </c>
      <c r="N16" s="3">
        <v>1.0</v>
      </c>
      <c r="O16" s="3">
        <v>1.0</v>
      </c>
      <c r="P16" s="3">
        <v>1.0</v>
      </c>
      <c r="Q16" s="3">
        <v>1.0</v>
      </c>
      <c r="R16" s="3">
        <v>1.0</v>
      </c>
      <c r="S16" s="3">
        <v>1.0</v>
      </c>
      <c r="T16" s="3">
        <v>1.0</v>
      </c>
      <c r="U16" s="3">
        <v>1.0</v>
      </c>
      <c r="V16" s="3">
        <v>1.0</v>
      </c>
      <c r="W16" s="3">
        <v>1.0</v>
      </c>
      <c r="X16" s="3">
        <v>1.0</v>
      </c>
      <c r="Y16" s="3">
        <v>1.0</v>
      </c>
      <c r="Z16" s="3">
        <v>1.0</v>
      </c>
      <c r="AA16" s="3">
        <v>1.0</v>
      </c>
      <c r="AB16" s="3">
        <v>1.0</v>
      </c>
    </row>
    <row r="17">
      <c r="A17" s="2">
        <v>45113.482720451386</v>
      </c>
      <c r="B17" s="3">
        <v>51.0</v>
      </c>
      <c r="C17" s="3" t="s">
        <v>29</v>
      </c>
      <c r="D17" s="3">
        <v>1.0</v>
      </c>
      <c r="E17" s="3">
        <v>5.0</v>
      </c>
      <c r="F17" s="3">
        <v>6.0</v>
      </c>
      <c r="G17" s="3">
        <v>7.0</v>
      </c>
      <c r="H17" s="3">
        <v>5.0</v>
      </c>
      <c r="I17" s="3">
        <v>1.0</v>
      </c>
      <c r="J17" s="3">
        <v>3.0</v>
      </c>
      <c r="K17" s="3">
        <v>7.0</v>
      </c>
      <c r="L17" s="3">
        <v>7.0</v>
      </c>
      <c r="M17" s="3">
        <v>1.0</v>
      </c>
      <c r="N17" s="3">
        <v>7.0</v>
      </c>
      <c r="O17" s="3">
        <v>7.0</v>
      </c>
      <c r="P17" s="3">
        <v>1.0</v>
      </c>
      <c r="Q17" s="3">
        <v>2.0</v>
      </c>
      <c r="R17" s="3">
        <v>5.0</v>
      </c>
      <c r="S17" s="3">
        <v>7.0</v>
      </c>
      <c r="T17" s="3">
        <v>7.0</v>
      </c>
      <c r="U17" s="3">
        <v>1.0</v>
      </c>
      <c r="V17" s="3">
        <v>6.0</v>
      </c>
      <c r="W17" s="3">
        <v>7.0</v>
      </c>
      <c r="X17" s="3">
        <v>1.0</v>
      </c>
      <c r="Y17" s="3">
        <v>1.0</v>
      </c>
      <c r="Z17" s="3">
        <v>6.0</v>
      </c>
      <c r="AA17" s="3">
        <v>1.0</v>
      </c>
      <c r="AB17" s="3">
        <v>7.0</v>
      </c>
    </row>
    <row r="18">
      <c r="A18" s="2">
        <v>45113.49186782408</v>
      </c>
      <c r="B18" s="3">
        <v>27.0</v>
      </c>
      <c r="C18" s="3" t="s">
        <v>28</v>
      </c>
      <c r="D18" s="3">
        <v>5.0</v>
      </c>
      <c r="E18" s="3">
        <v>3.0</v>
      </c>
      <c r="F18" s="3">
        <v>5.0</v>
      </c>
      <c r="G18" s="3">
        <v>5.0</v>
      </c>
      <c r="H18" s="3">
        <v>5.0</v>
      </c>
      <c r="I18" s="3">
        <v>1.0</v>
      </c>
      <c r="J18" s="3">
        <v>6.0</v>
      </c>
      <c r="K18" s="3">
        <v>6.0</v>
      </c>
      <c r="L18" s="3">
        <v>6.0</v>
      </c>
      <c r="M18" s="3">
        <v>1.0</v>
      </c>
      <c r="N18" s="3">
        <v>6.0</v>
      </c>
      <c r="O18" s="3">
        <v>1.0</v>
      </c>
      <c r="P18" s="3">
        <v>1.0</v>
      </c>
      <c r="Q18" s="3">
        <v>2.0</v>
      </c>
      <c r="R18" s="3">
        <v>1.0</v>
      </c>
      <c r="S18" s="3">
        <v>4.0</v>
      </c>
      <c r="T18" s="3">
        <v>5.0</v>
      </c>
      <c r="U18" s="3">
        <v>1.0</v>
      </c>
      <c r="V18" s="3">
        <v>1.0</v>
      </c>
      <c r="W18" s="3">
        <v>2.0</v>
      </c>
      <c r="X18" s="3">
        <v>1.0</v>
      </c>
      <c r="Y18" s="3">
        <v>1.0</v>
      </c>
      <c r="Z18" s="3">
        <v>3.0</v>
      </c>
      <c r="AA18" s="3">
        <v>2.0</v>
      </c>
      <c r="AB18" s="3">
        <v>7.0</v>
      </c>
    </row>
    <row r="19">
      <c r="A19" s="2">
        <v>45113.91408574074</v>
      </c>
      <c r="B19" s="3">
        <v>54.0</v>
      </c>
      <c r="C19" s="3" t="s">
        <v>29</v>
      </c>
      <c r="D19" s="3">
        <v>1.0</v>
      </c>
      <c r="E19" s="3">
        <v>7.0</v>
      </c>
      <c r="F19" s="3">
        <v>7.0</v>
      </c>
      <c r="G19" s="3">
        <v>7.0</v>
      </c>
      <c r="H19" s="3">
        <v>7.0</v>
      </c>
      <c r="I19" s="3">
        <v>1.0</v>
      </c>
      <c r="J19" s="3">
        <v>7.0</v>
      </c>
      <c r="K19" s="3">
        <v>7.0</v>
      </c>
      <c r="L19" s="3">
        <v>7.0</v>
      </c>
      <c r="M19" s="3">
        <v>4.0</v>
      </c>
      <c r="N19" s="3">
        <v>7.0</v>
      </c>
      <c r="O19" s="3">
        <v>1.0</v>
      </c>
      <c r="P19" s="3">
        <v>7.0</v>
      </c>
      <c r="Q19" s="3">
        <v>6.0</v>
      </c>
      <c r="R19" s="3">
        <v>1.0</v>
      </c>
      <c r="S19" s="3">
        <v>7.0</v>
      </c>
      <c r="T19" s="3">
        <v>7.0</v>
      </c>
      <c r="U19" s="3">
        <v>1.0</v>
      </c>
      <c r="V19" s="3">
        <v>1.0</v>
      </c>
      <c r="W19" s="3">
        <v>7.0</v>
      </c>
      <c r="X19" s="3">
        <v>2.0</v>
      </c>
      <c r="Y19" s="3">
        <v>1.0</v>
      </c>
      <c r="Z19" s="3">
        <v>1.0</v>
      </c>
      <c r="AA19" s="3">
        <v>5.0</v>
      </c>
      <c r="AB19" s="3">
        <v>7.0</v>
      </c>
    </row>
    <row r="20">
      <c r="A20" s="2">
        <v>45119.44077569444</v>
      </c>
      <c r="B20" s="3">
        <v>49.0</v>
      </c>
      <c r="C20" s="3" t="s">
        <v>29</v>
      </c>
      <c r="D20" s="3">
        <v>1.0</v>
      </c>
      <c r="E20" s="3">
        <v>7.0</v>
      </c>
      <c r="F20" s="3">
        <v>7.0</v>
      </c>
      <c r="G20" s="3">
        <v>6.0</v>
      </c>
      <c r="H20" s="3">
        <v>7.0</v>
      </c>
      <c r="I20" s="3">
        <v>1.0</v>
      </c>
      <c r="J20" s="3">
        <v>7.0</v>
      </c>
      <c r="K20" s="3">
        <v>7.0</v>
      </c>
      <c r="L20" s="3">
        <v>7.0</v>
      </c>
      <c r="M20" s="3">
        <v>1.0</v>
      </c>
      <c r="N20" s="3">
        <v>7.0</v>
      </c>
      <c r="O20" s="3">
        <v>1.0</v>
      </c>
      <c r="P20" s="3">
        <v>1.0</v>
      </c>
      <c r="Q20" s="3">
        <v>1.0</v>
      </c>
      <c r="R20" s="3">
        <v>7.0</v>
      </c>
      <c r="S20" s="3">
        <v>1.0</v>
      </c>
      <c r="T20" s="3">
        <v>7.0</v>
      </c>
      <c r="U20" s="3">
        <v>1.0</v>
      </c>
      <c r="V20" s="3">
        <v>1.0</v>
      </c>
      <c r="W20" s="3">
        <v>1.0</v>
      </c>
      <c r="X20" s="3">
        <v>1.0</v>
      </c>
      <c r="Y20" s="3">
        <v>1.0</v>
      </c>
      <c r="Z20" s="3">
        <v>7.0</v>
      </c>
      <c r="AA20" s="3">
        <v>1.0</v>
      </c>
      <c r="AB20" s="3">
        <v>7.0</v>
      </c>
    </row>
    <row r="21">
      <c r="A21" s="2">
        <v>45119.44619365741</v>
      </c>
      <c r="B21" s="3">
        <v>43.0</v>
      </c>
      <c r="C21" s="3" t="s">
        <v>29</v>
      </c>
      <c r="D21" s="3">
        <v>3.0</v>
      </c>
      <c r="E21" s="3">
        <v>5.0</v>
      </c>
      <c r="F21" s="3">
        <v>7.0</v>
      </c>
      <c r="G21" s="3">
        <v>1.0</v>
      </c>
      <c r="H21" s="3">
        <v>6.0</v>
      </c>
      <c r="I21" s="3">
        <v>1.0</v>
      </c>
      <c r="J21" s="3">
        <v>7.0</v>
      </c>
      <c r="K21" s="3">
        <v>7.0</v>
      </c>
      <c r="L21" s="3">
        <v>7.0</v>
      </c>
      <c r="M21" s="3">
        <v>1.0</v>
      </c>
      <c r="N21" s="3">
        <v>7.0</v>
      </c>
      <c r="O21" s="3">
        <v>1.0</v>
      </c>
      <c r="P21" s="3">
        <v>1.0</v>
      </c>
      <c r="Q21" s="3">
        <v>1.0</v>
      </c>
      <c r="R21" s="3">
        <v>1.0</v>
      </c>
      <c r="S21" s="3">
        <v>1.0</v>
      </c>
      <c r="T21" s="3">
        <v>7.0</v>
      </c>
      <c r="U21" s="3">
        <v>1.0</v>
      </c>
      <c r="V21" s="3">
        <v>6.0</v>
      </c>
      <c r="W21" s="3">
        <v>6.0</v>
      </c>
      <c r="X21" s="3">
        <v>2.0</v>
      </c>
      <c r="Y21" s="3">
        <v>1.0</v>
      </c>
      <c r="Z21" s="3">
        <v>7.0</v>
      </c>
      <c r="AA21" s="3">
        <v>3.0</v>
      </c>
      <c r="AB21" s="3">
        <v>6.0</v>
      </c>
    </row>
    <row r="22">
      <c r="A22" s="2">
        <v>45119.45164047454</v>
      </c>
      <c r="B22" s="3">
        <v>34.0</v>
      </c>
      <c r="C22" s="3" t="s">
        <v>28</v>
      </c>
      <c r="D22" s="3">
        <v>1.0</v>
      </c>
      <c r="E22" s="3">
        <v>7.0</v>
      </c>
      <c r="F22" s="3">
        <v>7.0</v>
      </c>
      <c r="G22" s="3">
        <v>3.0</v>
      </c>
      <c r="H22" s="3">
        <v>3.0</v>
      </c>
      <c r="I22" s="3">
        <v>1.0</v>
      </c>
      <c r="J22" s="3">
        <v>5.0</v>
      </c>
      <c r="K22" s="3">
        <v>6.0</v>
      </c>
      <c r="L22" s="3">
        <v>7.0</v>
      </c>
      <c r="M22" s="3">
        <v>1.0</v>
      </c>
      <c r="N22" s="3">
        <v>7.0</v>
      </c>
      <c r="O22" s="3">
        <v>3.0</v>
      </c>
      <c r="P22" s="3">
        <v>5.0</v>
      </c>
      <c r="Q22" s="3">
        <v>1.0</v>
      </c>
      <c r="R22" s="3">
        <v>1.0</v>
      </c>
      <c r="S22" s="3">
        <v>5.0</v>
      </c>
      <c r="T22" s="3">
        <v>6.0</v>
      </c>
      <c r="U22" s="3">
        <v>1.0</v>
      </c>
      <c r="V22" s="3">
        <v>1.0</v>
      </c>
      <c r="W22" s="3">
        <v>2.0</v>
      </c>
      <c r="X22" s="3">
        <v>1.0</v>
      </c>
      <c r="Y22" s="3">
        <v>1.0</v>
      </c>
      <c r="Z22" s="3">
        <v>7.0</v>
      </c>
      <c r="AA22" s="3">
        <v>3.0</v>
      </c>
      <c r="AB22" s="3">
        <v>4.0</v>
      </c>
    </row>
    <row r="23">
      <c r="A23" s="2">
        <v>45119.453812858796</v>
      </c>
      <c r="B23" s="3">
        <v>55.0</v>
      </c>
      <c r="C23" s="3" t="s">
        <v>29</v>
      </c>
      <c r="D23" s="3">
        <v>2.0</v>
      </c>
      <c r="E23" s="3">
        <v>4.0</v>
      </c>
      <c r="F23" s="3">
        <v>7.0</v>
      </c>
      <c r="G23" s="3">
        <v>1.0</v>
      </c>
      <c r="H23" s="3">
        <v>6.0</v>
      </c>
      <c r="I23" s="3">
        <v>1.0</v>
      </c>
      <c r="J23" s="3">
        <v>3.0</v>
      </c>
      <c r="K23" s="3">
        <v>7.0</v>
      </c>
      <c r="L23" s="3">
        <v>7.0</v>
      </c>
      <c r="M23" s="3">
        <v>1.0</v>
      </c>
      <c r="N23" s="3">
        <v>7.0</v>
      </c>
      <c r="O23" s="3">
        <v>1.0</v>
      </c>
      <c r="P23" s="3">
        <v>1.0</v>
      </c>
      <c r="Q23" s="3">
        <v>3.0</v>
      </c>
      <c r="R23" s="3">
        <v>1.0</v>
      </c>
      <c r="S23" s="3">
        <v>6.0</v>
      </c>
      <c r="T23" s="3">
        <v>7.0</v>
      </c>
      <c r="U23" s="3">
        <v>1.0</v>
      </c>
      <c r="V23" s="3">
        <v>1.0</v>
      </c>
      <c r="W23" s="3">
        <v>2.0</v>
      </c>
      <c r="X23" s="3">
        <v>1.0</v>
      </c>
      <c r="Y23" s="3">
        <v>1.0</v>
      </c>
      <c r="Z23" s="3">
        <v>6.0</v>
      </c>
      <c r="AA23" s="3">
        <v>4.0</v>
      </c>
      <c r="AB23" s="3">
        <v>7.0</v>
      </c>
    </row>
    <row r="24">
      <c r="A24" s="2">
        <v>45119.456878287034</v>
      </c>
      <c r="B24" s="3">
        <v>56.0</v>
      </c>
      <c r="C24" s="3" t="s">
        <v>29</v>
      </c>
      <c r="D24" s="3">
        <v>3.0</v>
      </c>
      <c r="E24" s="3">
        <v>6.0</v>
      </c>
      <c r="F24" s="3">
        <v>7.0</v>
      </c>
      <c r="G24" s="3">
        <v>7.0</v>
      </c>
      <c r="H24" s="3">
        <v>7.0</v>
      </c>
      <c r="I24" s="3">
        <v>1.0</v>
      </c>
      <c r="J24" s="3">
        <v>3.0</v>
      </c>
      <c r="K24" s="3">
        <v>6.0</v>
      </c>
      <c r="L24" s="3">
        <v>7.0</v>
      </c>
      <c r="M24" s="3">
        <v>1.0</v>
      </c>
      <c r="N24" s="3">
        <v>7.0</v>
      </c>
      <c r="O24" s="3">
        <v>1.0</v>
      </c>
      <c r="P24" s="3">
        <v>5.0</v>
      </c>
      <c r="Q24" s="3">
        <v>1.0</v>
      </c>
      <c r="R24" s="3">
        <v>1.0</v>
      </c>
      <c r="S24" s="3">
        <v>1.0</v>
      </c>
      <c r="T24" s="3">
        <v>7.0</v>
      </c>
      <c r="U24" s="3">
        <v>1.0</v>
      </c>
      <c r="V24" s="3">
        <v>7.0</v>
      </c>
      <c r="W24" s="3">
        <v>1.0</v>
      </c>
      <c r="X24" s="3">
        <v>1.0</v>
      </c>
      <c r="Y24" s="3">
        <v>1.0</v>
      </c>
      <c r="Z24" s="3">
        <v>7.0</v>
      </c>
      <c r="AA24" s="3">
        <v>1.0</v>
      </c>
      <c r="AB24" s="3">
        <v>7.0</v>
      </c>
    </row>
    <row r="25">
      <c r="A25" s="2">
        <v>45119.4619400463</v>
      </c>
      <c r="B25" s="3">
        <v>44.0</v>
      </c>
      <c r="C25" s="3" t="s">
        <v>29</v>
      </c>
      <c r="D25" s="3">
        <v>4.0</v>
      </c>
      <c r="E25" s="3">
        <v>5.0</v>
      </c>
      <c r="F25" s="3">
        <v>6.0</v>
      </c>
      <c r="G25" s="3">
        <v>7.0</v>
      </c>
      <c r="H25" s="3">
        <v>7.0</v>
      </c>
      <c r="I25" s="3">
        <v>1.0</v>
      </c>
      <c r="J25" s="3">
        <v>7.0</v>
      </c>
      <c r="K25" s="3">
        <v>5.0</v>
      </c>
      <c r="L25" s="3">
        <v>7.0</v>
      </c>
      <c r="M25" s="3">
        <v>6.0</v>
      </c>
      <c r="N25" s="3">
        <v>6.0</v>
      </c>
      <c r="O25" s="3">
        <v>7.0</v>
      </c>
      <c r="P25" s="3">
        <v>1.0</v>
      </c>
      <c r="Q25" s="3">
        <v>3.0</v>
      </c>
      <c r="R25" s="3">
        <v>1.0</v>
      </c>
      <c r="S25" s="3">
        <v>7.0</v>
      </c>
      <c r="T25" s="3">
        <v>7.0</v>
      </c>
      <c r="U25" s="3">
        <v>1.0</v>
      </c>
      <c r="V25" s="3">
        <v>3.0</v>
      </c>
      <c r="W25" s="3">
        <v>4.0</v>
      </c>
      <c r="X25" s="3">
        <v>1.0</v>
      </c>
      <c r="Y25" s="3">
        <v>1.0</v>
      </c>
      <c r="Z25" s="3">
        <v>7.0</v>
      </c>
      <c r="AA25" s="3">
        <v>4.0</v>
      </c>
      <c r="AB25" s="3">
        <v>7.0</v>
      </c>
    </row>
    <row r="26">
      <c r="A26" s="2">
        <v>45119.465114942126</v>
      </c>
      <c r="B26" s="3">
        <v>70.0</v>
      </c>
      <c r="C26" s="3" t="s">
        <v>29</v>
      </c>
      <c r="D26" s="3">
        <v>1.0</v>
      </c>
      <c r="E26" s="3">
        <v>2.0</v>
      </c>
      <c r="F26" s="3">
        <v>6.0</v>
      </c>
      <c r="G26" s="3">
        <v>1.0</v>
      </c>
      <c r="H26" s="3">
        <v>5.0</v>
      </c>
      <c r="I26" s="3">
        <v>1.0</v>
      </c>
      <c r="J26" s="3">
        <v>1.0</v>
      </c>
      <c r="K26" s="3">
        <v>6.0</v>
      </c>
      <c r="L26" s="3">
        <v>1.0</v>
      </c>
      <c r="M26" s="3">
        <v>1.0</v>
      </c>
      <c r="N26" s="3">
        <v>7.0</v>
      </c>
      <c r="O26" s="3">
        <v>1.0</v>
      </c>
      <c r="P26" s="3">
        <v>1.0</v>
      </c>
      <c r="Q26" s="3">
        <v>2.0</v>
      </c>
      <c r="R26" s="3">
        <v>6.0</v>
      </c>
      <c r="S26" s="3">
        <v>1.0</v>
      </c>
      <c r="T26" s="3">
        <v>6.0</v>
      </c>
      <c r="U26" s="3">
        <v>1.0</v>
      </c>
      <c r="V26" s="3">
        <v>1.0</v>
      </c>
      <c r="W26" s="3">
        <v>6.0</v>
      </c>
      <c r="X26" s="3">
        <v>1.0</v>
      </c>
      <c r="Y26" s="3">
        <v>1.0</v>
      </c>
      <c r="Z26" s="3">
        <v>1.0</v>
      </c>
      <c r="AA26" s="3">
        <v>7.0</v>
      </c>
      <c r="AB26" s="3">
        <v>6.0</v>
      </c>
    </row>
    <row r="27">
      <c r="A27" s="2">
        <v>45119.467822719904</v>
      </c>
      <c r="B27" s="3">
        <v>65.0</v>
      </c>
      <c r="C27" s="3" t="s">
        <v>28</v>
      </c>
      <c r="D27" s="3">
        <v>1.0</v>
      </c>
      <c r="E27" s="3">
        <v>7.0</v>
      </c>
      <c r="F27" s="3">
        <v>7.0</v>
      </c>
      <c r="G27" s="3">
        <v>7.0</v>
      </c>
      <c r="H27" s="3">
        <v>6.0</v>
      </c>
      <c r="I27" s="3">
        <v>1.0</v>
      </c>
      <c r="J27" s="3">
        <v>7.0</v>
      </c>
      <c r="K27" s="3">
        <v>7.0</v>
      </c>
      <c r="L27" s="3">
        <v>7.0</v>
      </c>
      <c r="M27" s="3">
        <v>5.0</v>
      </c>
      <c r="N27" s="3">
        <v>7.0</v>
      </c>
      <c r="O27" s="3">
        <v>1.0</v>
      </c>
      <c r="P27" s="3">
        <v>1.0</v>
      </c>
      <c r="Q27" s="3">
        <v>1.0</v>
      </c>
      <c r="R27" s="3">
        <v>1.0</v>
      </c>
      <c r="S27" s="3">
        <v>7.0</v>
      </c>
      <c r="T27" s="3">
        <v>7.0</v>
      </c>
      <c r="U27" s="3">
        <v>1.0</v>
      </c>
      <c r="V27" s="3">
        <v>1.0</v>
      </c>
      <c r="W27" s="3">
        <v>1.0</v>
      </c>
      <c r="X27" s="3">
        <v>1.0</v>
      </c>
      <c r="Y27" s="3">
        <v>1.0</v>
      </c>
      <c r="Z27" s="3">
        <v>7.0</v>
      </c>
      <c r="AA27" s="3">
        <v>7.0</v>
      </c>
      <c r="AB27" s="3">
        <v>7.0</v>
      </c>
    </row>
    <row r="28">
      <c r="A28" s="2">
        <v>45119.46858021991</v>
      </c>
      <c r="B28" s="3">
        <v>49.0</v>
      </c>
      <c r="C28" s="3" t="s">
        <v>29</v>
      </c>
      <c r="D28" s="3">
        <v>1.0</v>
      </c>
      <c r="E28" s="3">
        <v>5.0</v>
      </c>
      <c r="F28" s="3">
        <v>7.0</v>
      </c>
      <c r="G28" s="3">
        <v>7.0</v>
      </c>
      <c r="H28" s="3">
        <v>4.0</v>
      </c>
      <c r="I28" s="3">
        <v>2.0</v>
      </c>
      <c r="J28" s="3">
        <v>2.0</v>
      </c>
      <c r="K28" s="3">
        <v>2.0</v>
      </c>
      <c r="L28" s="3">
        <v>2.0</v>
      </c>
      <c r="M28" s="3">
        <v>1.0</v>
      </c>
      <c r="N28" s="3">
        <v>1.0</v>
      </c>
      <c r="O28" s="3">
        <v>1.0</v>
      </c>
      <c r="P28" s="3">
        <v>4.0</v>
      </c>
      <c r="Q28" s="3">
        <v>2.0</v>
      </c>
      <c r="R28" s="3">
        <v>2.0</v>
      </c>
      <c r="S28" s="3">
        <v>5.0</v>
      </c>
      <c r="T28" s="3">
        <v>6.0</v>
      </c>
      <c r="U28" s="3">
        <v>7.0</v>
      </c>
      <c r="V28" s="3">
        <v>6.0</v>
      </c>
      <c r="W28" s="3">
        <v>5.0</v>
      </c>
      <c r="X28" s="3">
        <v>2.0</v>
      </c>
      <c r="Y28" s="3">
        <v>1.0</v>
      </c>
      <c r="Z28" s="3">
        <v>7.0</v>
      </c>
      <c r="AA28" s="3">
        <v>3.0</v>
      </c>
      <c r="AB28" s="3">
        <v>6.0</v>
      </c>
    </row>
    <row r="29">
      <c r="A29" s="2">
        <v>45119.46876802083</v>
      </c>
      <c r="B29" s="3">
        <v>59.0</v>
      </c>
      <c r="C29" s="3" t="s">
        <v>29</v>
      </c>
      <c r="D29" s="3">
        <v>1.0</v>
      </c>
      <c r="E29" s="3">
        <v>7.0</v>
      </c>
      <c r="F29" s="3">
        <v>1.0</v>
      </c>
      <c r="G29" s="3">
        <v>7.0</v>
      </c>
      <c r="H29" s="3">
        <v>1.0</v>
      </c>
      <c r="I29" s="3">
        <v>7.0</v>
      </c>
      <c r="J29" s="3">
        <v>1.0</v>
      </c>
      <c r="K29" s="3">
        <v>7.0</v>
      </c>
      <c r="L29" s="3">
        <v>7.0</v>
      </c>
      <c r="M29" s="3">
        <v>1.0</v>
      </c>
      <c r="N29" s="3">
        <v>7.0</v>
      </c>
      <c r="O29" s="3">
        <v>1.0</v>
      </c>
      <c r="P29" s="3">
        <v>1.0</v>
      </c>
      <c r="Q29" s="3">
        <v>1.0</v>
      </c>
      <c r="R29" s="3">
        <v>7.0</v>
      </c>
      <c r="S29" s="3">
        <v>7.0</v>
      </c>
      <c r="T29" s="3">
        <v>7.0</v>
      </c>
      <c r="U29" s="3">
        <v>1.0</v>
      </c>
      <c r="V29" s="3">
        <v>1.0</v>
      </c>
      <c r="W29" s="3">
        <v>7.0</v>
      </c>
      <c r="X29" s="3">
        <v>1.0</v>
      </c>
      <c r="Y29" s="3">
        <v>1.0</v>
      </c>
      <c r="Z29" s="3">
        <v>7.0</v>
      </c>
      <c r="AA29" s="3">
        <v>7.0</v>
      </c>
      <c r="AB29" s="3">
        <v>1.0</v>
      </c>
    </row>
    <row r="30">
      <c r="A30" s="2">
        <v>45119.47132496528</v>
      </c>
      <c r="B30" s="3">
        <v>37.0</v>
      </c>
      <c r="C30" s="3" t="s">
        <v>29</v>
      </c>
      <c r="D30" s="3">
        <v>2.0</v>
      </c>
      <c r="E30" s="3">
        <v>6.0</v>
      </c>
      <c r="F30" s="3">
        <v>7.0</v>
      </c>
      <c r="G30" s="3">
        <v>7.0</v>
      </c>
      <c r="H30" s="3">
        <v>7.0</v>
      </c>
      <c r="I30" s="3">
        <v>2.0</v>
      </c>
      <c r="J30" s="3">
        <v>1.0</v>
      </c>
      <c r="K30" s="3">
        <v>7.0</v>
      </c>
      <c r="L30" s="3">
        <v>7.0</v>
      </c>
      <c r="M30" s="3">
        <v>1.0</v>
      </c>
      <c r="N30" s="3">
        <v>7.0</v>
      </c>
      <c r="O30" s="3">
        <v>2.0</v>
      </c>
      <c r="P30" s="3">
        <v>1.0</v>
      </c>
      <c r="Q30" s="3">
        <v>1.0</v>
      </c>
      <c r="R30" s="3">
        <v>7.0</v>
      </c>
      <c r="S30" s="3">
        <v>7.0</v>
      </c>
      <c r="T30" s="3">
        <v>6.0</v>
      </c>
      <c r="U30" s="3">
        <v>2.0</v>
      </c>
      <c r="V30" s="3">
        <v>1.0</v>
      </c>
      <c r="W30" s="3">
        <v>7.0</v>
      </c>
      <c r="X30" s="3">
        <v>3.0</v>
      </c>
      <c r="Y30" s="3">
        <v>1.0</v>
      </c>
      <c r="Z30" s="3">
        <v>6.0</v>
      </c>
      <c r="AA30" s="3">
        <v>3.0</v>
      </c>
      <c r="AB30" s="3">
        <v>7.0</v>
      </c>
    </row>
    <row r="31">
      <c r="A31" s="2">
        <v>45119.47240033565</v>
      </c>
      <c r="B31" s="3">
        <v>39.0</v>
      </c>
      <c r="C31" s="3" t="s">
        <v>29</v>
      </c>
      <c r="D31" s="3">
        <v>3.0</v>
      </c>
      <c r="E31" s="3">
        <v>6.0</v>
      </c>
      <c r="F31" s="3">
        <v>6.0</v>
      </c>
      <c r="G31" s="3">
        <v>1.0</v>
      </c>
      <c r="H31" s="3">
        <v>3.0</v>
      </c>
      <c r="I31" s="3">
        <v>1.0</v>
      </c>
      <c r="J31" s="3">
        <v>2.0</v>
      </c>
      <c r="K31" s="3">
        <v>6.0</v>
      </c>
      <c r="L31" s="3">
        <v>5.0</v>
      </c>
      <c r="M31" s="3">
        <v>1.0</v>
      </c>
      <c r="N31" s="3">
        <v>7.0</v>
      </c>
      <c r="O31" s="3">
        <v>2.0</v>
      </c>
      <c r="P31" s="3">
        <v>1.0</v>
      </c>
      <c r="Q31" s="3">
        <v>1.0</v>
      </c>
      <c r="R31" s="3">
        <v>1.0</v>
      </c>
      <c r="S31" s="3">
        <v>1.0</v>
      </c>
      <c r="T31" s="3">
        <v>5.0</v>
      </c>
      <c r="U31" s="3">
        <v>1.0</v>
      </c>
      <c r="V31" s="3">
        <v>1.0</v>
      </c>
      <c r="W31" s="3">
        <v>3.0</v>
      </c>
      <c r="X31" s="3">
        <v>1.0</v>
      </c>
      <c r="Y31" s="3">
        <v>1.0</v>
      </c>
      <c r="Z31" s="3">
        <v>6.0</v>
      </c>
      <c r="AA31" s="3">
        <v>5.0</v>
      </c>
      <c r="AB31" s="3">
        <v>5.0</v>
      </c>
    </row>
    <row r="32">
      <c r="A32" s="2">
        <v>45119.47891181713</v>
      </c>
      <c r="B32" s="3">
        <v>72.0</v>
      </c>
      <c r="C32" s="3" t="s">
        <v>29</v>
      </c>
      <c r="D32" s="3">
        <v>1.0</v>
      </c>
      <c r="E32" s="3">
        <v>7.0</v>
      </c>
      <c r="F32" s="3">
        <v>1.0</v>
      </c>
      <c r="G32" s="3">
        <v>1.0</v>
      </c>
      <c r="H32" s="3">
        <v>7.0</v>
      </c>
      <c r="I32" s="3">
        <v>1.0</v>
      </c>
      <c r="J32" s="3">
        <v>7.0</v>
      </c>
      <c r="K32" s="3">
        <v>7.0</v>
      </c>
      <c r="L32" s="3">
        <v>6.0</v>
      </c>
      <c r="M32" s="3">
        <v>1.0</v>
      </c>
      <c r="N32" s="3">
        <v>7.0</v>
      </c>
      <c r="O32" s="3">
        <v>1.0</v>
      </c>
      <c r="P32" s="3">
        <v>1.0</v>
      </c>
      <c r="Q32" s="3">
        <v>3.0</v>
      </c>
      <c r="R32" s="3">
        <v>6.0</v>
      </c>
      <c r="S32" s="3">
        <v>7.0</v>
      </c>
      <c r="T32" s="3">
        <v>7.0</v>
      </c>
      <c r="U32" s="3">
        <v>1.0</v>
      </c>
      <c r="V32" s="3">
        <v>3.0</v>
      </c>
      <c r="W32" s="3">
        <v>1.0</v>
      </c>
      <c r="X32" s="3">
        <v>7.0</v>
      </c>
      <c r="Y32" s="3">
        <v>7.0</v>
      </c>
      <c r="Z32" s="3">
        <v>7.0</v>
      </c>
      <c r="AA32" s="3">
        <v>1.0</v>
      </c>
      <c r="AB32" s="3">
        <v>2.0</v>
      </c>
    </row>
    <row r="33">
      <c r="A33" s="2">
        <v>45119.48179149306</v>
      </c>
      <c r="B33" s="3">
        <v>41.0</v>
      </c>
      <c r="C33" s="3" t="s">
        <v>29</v>
      </c>
      <c r="D33" s="3">
        <v>1.0</v>
      </c>
      <c r="E33" s="3">
        <v>7.0</v>
      </c>
      <c r="F33" s="3">
        <v>7.0</v>
      </c>
      <c r="G33" s="3">
        <v>2.0</v>
      </c>
      <c r="H33" s="3">
        <v>7.0</v>
      </c>
      <c r="I33" s="3">
        <v>7.0</v>
      </c>
      <c r="J33" s="3">
        <v>1.0</v>
      </c>
      <c r="K33" s="3">
        <v>4.0</v>
      </c>
      <c r="L33" s="3">
        <v>7.0</v>
      </c>
      <c r="M33" s="3">
        <v>1.0</v>
      </c>
      <c r="N33" s="3">
        <v>5.0</v>
      </c>
      <c r="O33" s="3">
        <v>6.0</v>
      </c>
      <c r="P33" s="3">
        <v>1.0</v>
      </c>
      <c r="Q33" s="3">
        <v>1.0</v>
      </c>
      <c r="R33" s="3">
        <v>7.0</v>
      </c>
      <c r="S33" s="3">
        <v>4.0</v>
      </c>
      <c r="T33" s="3">
        <v>6.0</v>
      </c>
      <c r="U33" s="3">
        <v>1.0</v>
      </c>
      <c r="V33" s="3">
        <v>1.0</v>
      </c>
      <c r="W33" s="3">
        <v>1.0</v>
      </c>
      <c r="X33" s="3">
        <v>1.0</v>
      </c>
      <c r="Y33" s="3">
        <v>1.0</v>
      </c>
      <c r="Z33" s="3">
        <v>7.0</v>
      </c>
      <c r="AA33" s="3">
        <v>1.0</v>
      </c>
      <c r="AB33" s="3">
        <v>7.0</v>
      </c>
    </row>
    <row r="34">
      <c r="A34" s="2">
        <v>45119.48274659722</v>
      </c>
      <c r="B34" s="3">
        <v>20.0</v>
      </c>
      <c r="C34" s="3" t="s">
        <v>29</v>
      </c>
      <c r="D34" s="3">
        <v>1.0</v>
      </c>
      <c r="E34" s="3">
        <v>2.0</v>
      </c>
      <c r="F34" s="3">
        <v>3.0</v>
      </c>
      <c r="G34" s="3">
        <v>3.0</v>
      </c>
      <c r="H34" s="3">
        <v>3.0</v>
      </c>
      <c r="I34" s="3">
        <v>5.0</v>
      </c>
      <c r="J34" s="3">
        <v>2.0</v>
      </c>
      <c r="K34" s="3">
        <v>7.0</v>
      </c>
      <c r="L34" s="3">
        <v>7.0</v>
      </c>
      <c r="M34" s="3">
        <v>1.0</v>
      </c>
      <c r="N34" s="3">
        <v>7.0</v>
      </c>
      <c r="O34" s="3">
        <v>6.0</v>
      </c>
      <c r="P34" s="3">
        <v>6.0</v>
      </c>
      <c r="Q34" s="3">
        <v>3.0</v>
      </c>
      <c r="R34" s="3">
        <v>7.0</v>
      </c>
      <c r="S34" s="3">
        <v>7.0</v>
      </c>
      <c r="T34" s="3">
        <v>7.0</v>
      </c>
      <c r="U34" s="3">
        <v>1.0</v>
      </c>
      <c r="V34" s="3">
        <v>3.0</v>
      </c>
      <c r="W34" s="3">
        <v>5.0</v>
      </c>
      <c r="X34" s="3">
        <v>7.0</v>
      </c>
      <c r="Y34" s="3">
        <v>5.0</v>
      </c>
      <c r="Z34" s="3">
        <v>3.0</v>
      </c>
      <c r="AA34" s="3">
        <v>1.0</v>
      </c>
      <c r="AB34" s="3">
        <v>7.0</v>
      </c>
    </row>
    <row r="35">
      <c r="A35" s="2">
        <v>45119.48384730324</v>
      </c>
      <c r="B35" s="3">
        <v>29.0</v>
      </c>
      <c r="C35" s="3" t="s">
        <v>29</v>
      </c>
      <c r="D35" s="3">
        <v>1.0</v>
      </c>
      <c r="E35" s="3">
        <v>2.0</v>
      </c>
      <c r="F35" s="3">
        <v>7.0</v>
      </c>
      <c r="G35" s="3">
        <v>6.0</v>
      </c>
      <c r="H35" s="3">
        <v>6.0</v>
      </c>
      <c r="I35" s="3">
        <v>1.0</v>
      </c>
      <c r="J35" s="3">
        <v>3.0</v>
      </c>
      <c r="K35" s="3">
        <v>2.0</v>
      </c>
      <c r="L35" s="3">
        <v>7.0</v>
      </c>
      <c r="M35" s="3">
        <v>2.0</v>
      </c>
      <c r="N35" s="3">
        <v>7.0</v>
      </c>
      <c r="O35" s="3">
        <v>1.0</v>
      </c>
      <c r="P35" s="3">
        <v>1.0</v>
      </c>
      <c r="Q35" s="3">
        <v>1.0</v>
      </c>
      <c r="R35" s="3">
        <v>5.0</v>
      </c>
      <c r="S35" s="3">
        <v>5.0</v>
      </c>
      <c r="T35" s="3">
        <v>1.0</v>
      </c>
      <c r="U35" s="3">
        <v>1.0</v>
      </c>
      <c r="V35" s="3">
        <v>1.0</v>
      </c>
      <c r="W35" s="3">
        <v>6.0</v>
      </c>
      <c r="X35" s="3">
        <v>2.0</v>
      </c>
      <c r="Y35" s="3">
        <v>4.0</v>
      </c>
      <c r="Z35" s="3">
        <v>4.0</v>
      </c>
      <c r="AA35" s="3">
        <v>2.0</v>
      </c>
      <c r="AB35" s="3">
        <v>1.0</v>
      </c>
    </row>
    <row r="36">
      <c r="A36" s="2">
        <v>45119.48786810185</v>
      </c>
      <c r="B36" s="3">
        <v>35.0</v>
      </c>
      <c r="C36" s="3" t="s">
        <v>29</v>
      </c>
      <c r="D36" s="3">
        <v>2.0</v>
      </c>
      <c r="E36" s="3">
        <v>5.0</v>
      </c>
      <c r="F36" s="3">
        <v>2.0</v>
      </c>
      <c r="G36" s="3">
        <v>1.0</v>
      </c>
      <c r="H36" s="3">
        <v>5.0</v>
      </c>
      <c r="I36" s="3">
        <v>1.0</v>
      </c>
      <c r="J36" s="3">
        <v>2.0</v>
      </c>
      <c r="K36" s="3">
        <v>7.0</v>
      </c>
      <c r="L36" s="3">
        <v>7.0</v>
      </c>
      <c r="M36" s="3">
        <v>1.0</v>
      </c>
      <c r="N36" s="3">
        <v>7.0</v>
      </c>
      <c r="O36" s="3">
        <v>7.0</v>
      </c>
      <c r="P36" s="3">
        <v>1.0</v>
      </c>
      <c r="Q36" s="3">
        <v>1.0</v>
      </c>
      <c r="R36" s="3">
        <v>3.0</v>
      </c>
      <c r="S36" s="3">
        <v>7.0</v>
      </c>
      <c r="T36" s="3">
        <v>3.0</v>
      </c>
      <c r="U36" s="3">
        <v>1.0</v>
      </c>
      <c r="V36" s="3">
        <v>7.0</v>
      </c>
      <c r="W36" s="3">
        <v>6.0</v>
      </c>
      <c r="X36" s="3">
        <v>2.0</v>
      </c>
      <c r="Y36" s="3">
        <v>1.0</v>
      </c>
      <c r="Z36" s="3">
        <v>7.0</v>
      </c>
      <c r="AA36" s="3">
        <v>7.0</v>
      </c>
      <c r="AB36" s="3">
        <v>7.0</v>
      </c>
    </row>
    <row r="37">
      <c r="A37" s="2">
        <v>45119.494942199075</v>
      </c>
      <c r="B37" s="3">
        <v>54.0</v>
      </c>
      <c r="C37" s="3" t="s">
        <v>29</v>
      </c>
      <c r="D37" s="3">
        <v>2.0</v>
      </c>
      <c r="E37" s="3">
        <v>7.0</v>
      </c>
      <c r="F37" s="3">
        <v>7.0</v>
      </c>
      <c r="G37" s="3">
        <v>6.0</v>
      </c>
      <c r="H37" s="3">
        <v>7.0</v>
      </c>
      <c r="I37" s="3">
        <v>1.0</v>
      </c>
      <c r="J37" s="3">
        <v>7.0</v>
      </c>
      <c r="K37" s="3">
        <v>6.0</v>
      </c>
      <c r="L37" s="3">
        <v>6.0</v>
      </c>
      <c r="M37" s="3">
        <v>1.0</v>
      </c>
      <c r="N37" s="3">
        <v>2.0</v>
      </c>
      <c r="O37" s="3">
        <v>1.0</v>
      </c>
      <c r="P37" s="3">
        <v>1.0</v>
      </c>
      <c r="Q37" s="3">
        <v>1.0</v>
      </c>
      <c r="R37" s="3">
        <v>7.0</v>
      </c>
      <c r="S37" s="3">
        <v>7.0</v>
      </c>
      <c r="T37" s="3">
        <v>7.0</v>
      </c>
      <c r="U37" s="3">
        <v>1.0</v>
      </c>
      <c r="V37" s="3">
        <v>1.0</v>
      </c>
      <c r="W37" s="3">
        <v>7.0</v>
      </c>
      <c r="X37" s="3">
        <v>1.0</v>
      </c>
      <c r="Y37" s="3">
        <v>1.0</v>
      </c>
      <c r="Z37" s="3">
        <v>3.0</v>
      </c>
      <c r="AA37" s="3">
        <v>4.0</v>
      </c>
      <c r="AB37" s="3">
        <v>3.0</v>
      </c>
    </row>
    <row r="38">
      <c r="A38" s="2">
        <v>45119.497038483794</v>
      </c>
      <c r="B38" s="3">
        <v>48.0</v>
      </c>
      <c r="C38" s="3" t="s">
        <v>29</v>
      </c>
      <c r="D38" s="3">
        <v>1.0</v>
      </c>
      <c r="E38" s="3">
        <v>3.0</v>
      </c>
      <c r="F38" s="3">
        <v>5.0</v>
      </c>
      <c r="G38" s="3">
        <v>6.0</v>
      </c>
      <c r="H38" s="3">
        <v>5.0</v>
      </c>
      <c r="I38" s="3">
        <v>1.0</v>
      </c>
      <c r="J38" s="3">
        <v>2.0</v>
      </c>
      <c r="K38" s="3">
        <v>7.0</v>
      </c>
      <c r="L38" s="3">
        <v>7.0</v>
      </c>
      <c r="M38" s="3">
        <v>2.0</v>
      </c>
      <c r="N38" s="3">
        <v>7.0</v>
      </c>
      <c r="O38" s="3">
        <v>6.0</v>
      </c>
      <c r="P38" s="3">
        <v>1.0</v>
      </c>
      <c r="Q38" s="3">
        <v>6.0</v>
      </c>
      <c r="R38" s="3">
        <v>1.0</v>
      </c>
      <c r="S38" s="3">
        <v>6.0</v>
      </c>
      <c r="T38" s="3">
        <v>7.0</v>
      </c>
      <c r="U38" s="3">
        <v>1.0</v>
      </c>
      <c r="V38" s="3">
        <v>6.0</v>
      </c>
      <c r="W38" s="3">
        <v>7.0</v>
      </c>
      <c r="X38" s="3">
        <v>1.0</v>
      </c>
      <c r="Y38" s="3">
        <v>1.0</v>
      </c>
      <c r="Z38" s="3">
        <v>7.0</v>
      </c>
      <c r="AA38" s="3">
        <v>1.0</v>
      </c>
      <c r="AB38" s="3">
        <v>6.0</v>
      </c>
    </row>
    <row r="39">
      <c r="A39" s="2">
        <v>45119.503325972226</v>
      </c>
      <c r="B39" s="3">
        <v>58.0</v>
      </c>
      <c r="C39" s="3" t="s">
        <v>29</v>
      </c>
      <c r="D39" s="3">
        <v>1.0</v>
      </c>
      <c r="E39" s="3">
        <v>6.0</v>
      </c>
      <c r="F39" s="3">
        <v>6.0</v>
      </c>
      <c r="G39" s="3">
        <v>7.0</v>
      </c>
      <c r="H39" s="3">
        <v>2.0</v>
      </c>
      <c r="I39" s="3">
        <v>1.0</v>
      </c>
      <c r="J39" s="3">
        <v>1.0</v>
      </c>
      <c r="K39" s="3">
        <v>7.0</v>
      </c>
      <c r="L39" s="3">
        <v>7.0</v>
      </c>
      <c r="M39" s="3">
        <v>1.0</v>
      </c>
      <c r="N39" s="3">
        <v>7.0</v>
      </c>
      <c r="O39" s="3">
        <v>6.0</v>
      </c>
      <c r="P39" s="3">
        <v>3.0</v>
      </c>
      <c r="Q39" s="3">
        <v>1.0</v>
      </c>
      <c r="R39" s="3">
        <v>6.0</v>
      </c>
      <c r="S39" s="3">
        <v>7.0</v>
      </c>
      <c r="T39" s="3">
        <v>7.0</v>
      </c>
      <c r="U39" s="3">
        <v>1.0</v>
      </c>
      <c r="V39" s="3">
        <v>2.0</v>
      </c>
      <c r="W39" s="3">
        <v>7.0</v>
      </c>
      <c r="X39" s="3">
        <v>1.0</v>
      </c>
      <c r="Y39" s="3">
        <v>1.0</v>
      </c>
      <c r="Z39" s="3">
        <v>7.0</v>
      </c>
      <c r="AA39" s="3">
        <v>1.0</v>
      </c>
      <c r="AB39" s="3">
        <v>7.0</v>
      </c>
    </row>
    <row r="40">
      <c r="A40" s="2">
        <v>45119.50646488426</v>
      </c>
      <c r="B40" s="3">
        <v>69.0</v>
      </c>
      <c r="C40" s="3" t="s">
        <v>29</v>
      </c>
      <c r="D40" s="3">
        <v>1.0</v>
      </c>
      <c r="E40" s="3">
        <v>7.0</v>
      </c>
      <c r="F40" s="3">
        <v>6.0</v>
      </c>
      <c r="G40" s="3">
        <v>1.0</v>
      </c>
      <c r="H40" s="3">
        <v>5.0</v>
      </c>
      <c r="I40" s="3">
        <v>1.0</v>
      </c>
      <c r="J40" s="3">
        <v>5.0</v>
      </c>
      <c r="K40" s="3">
        <v>5.0</v>
      </c>
      <c r="L40" s="3">
        <v>6.0</v>
      </c>
      <c r="M40" s="3">
        <v>1.0</v>
      </c>
      <c r="N40" s="3">
        <v>7.0</v>
      </c>
      <c r="O40" s="3">
        <v>1.0</v>
      </c>
      <c r="P40" s="3">
        <v>1.0</v>
      </c>
      <c r="Q40" s="3">
        <v>1.0</v>
      </c>
      <c r="R40" s="3">
        <v>7.0</v>
      </c>
      <c r="S40" s="3">
        <v>7.0</v>
      </c>
      <c r="T40" s="3">
        <v>7.0</v>
      </c>
      <c r="U40" s="3">
        <v>1.0</v>
      </c>
      <c r="V40" s="3">
        <v>5.0</v>
      </c>
      <c r="W40" s="3">
        <v>7.0</v>
      </c>
      <c r="X40" s="3">
        <v>2.0</v>
      </c>
      <c r="Y40" s="3">
        <v>1.0</v>
      </c>
      <c r="Z40" s="3">
        <v>7.0</v>
      </c>
      <c r="AA40" s="3">
        <v>5.0</v>
      </c>
      <c r="AB40" s="3">
        <v>6.0</v>
      </c>
    </row>
    <row r="41">
      <c r="A41" s="2">
        <v>45119.515510682875</v>
      </c>
      <c r="B41" s="3">
        <v>30.0</v>
      </c>
      <c r="C41" s="3" t="s">
        <v>29</v>
      </c>
      <c r="D41" s="3">
        <v>1.0</v>
      </c>
      <c r="E41" s="3">
        <v>6.0</v>
      </c>
      <c r="F41" s="3">
        <v>5.0</v>
      </c>
      <c r="G41" s="3">
        <v>5.0</v>
      </c>
      <c r="H41" s="3">
        <v>6.0</v>
      </c>
      <c r="I41" s="3">
        <v>3.0</v>
      </c>
      <c r="J41" s="3">
        <v>2.0</v>
      </c>
      <c r="K41" s="3">
        <v>6.0</v>
      </c>
      <c r="L41" s="3">
        <v>5.0</v>
      </c>
      <c r="M41" s="3">
        <v>1.0</v>
      </c>
      <c r="N41" s="3">
        <v>7.0</v>
      </c>
      <c r="O41" s="3">
        <v>5.0</v>
      </c>
      <c r="P41" s="3">
        <v>2.0</v>
      </c>
      <c r="Q41" s="3">
        <v>5.0</v>
      </c>
      <c r="R41" s="3">
        <v>3.0</v>
      </c>
      <c r="S41" s="3">
        <v>5.0</v>
      </c>
      <c r="T41" s="3">
        <v>3.0</v>
      </c>
      <c r="U41" s="3">
        <v>1.0</v>
      </c>
      <c r="V41" s="3">
        <v>3.0</v>
      </c>
      <c r="W41" s="3">
        <v>5.0</v>
      </c>
      <c r="X41" s="3">
        <v>3.0</v>
      </c>
      <c r="Y41" s="3">
        <v>1.0</v>
      </c>
      <c r="Z41" s="3">
        <v>5.0</v>
      </c>
      <c r="AA41" s="3">
        <v>3.0</v>
      </c>
      <c r="AB41" s="3">
        <v>2.0</v>
      </c>
    </row>
    <row r="42">
      <c r="A42" s="2">
        <v>45119.519154525464</v>
      </c>
      <c r="B42" s="3">
        <v>57.0</v>
      </c>
      <c r="C42" s="3" t="s">
        <v>29</v>
      </c>
      <c r="D42" s="3">
        <v>2.0</v>
      </c>
      <c r="E42" s="3">
        <v>4.0</v>
      </c>
      <c r="F42" s="3">
        <v>1.0</v>
      </c>
      <c r="G42" s="3">
        <v>4.0</v>
      </c>
      <c r="H42" s="3">
        <v>4.0</v>
      </c>
      <c r="I42" s="3">
        <v>1.0</v>
      </c>
      <c r="J42" s="3">
        <v>2.0</v>
      </c>
      <c r="K42" s="3">
        <v>3.0</v>
      </c>
      <c r="L42" s="3">
        <v>3.0</v>
      </c>
      <c r="M42" s="3">
        <v>1.0</v>
      </c>
      <c r="N42" s="3">
        <v>4.0</v>
      </c>
      <c r="O42" s="3">
        <v>1.0</v>
      </c>
      <c r="P42" s="3">
        <v>1.0</v>
      </c>
      <c r="Q42" s="3">
        <v>1.0</v>
      </c>
      <c r="R42" s="3">
        <v>1.0</v>
      </c>
      <c r="S42" s="3">
        <v>2.0</v>
      </c>
      <c r="T42" s="3">
        <v>2.0</v>
      </c>
      <c r="U42" s="3">
        <v>1.0</v>
      </c>
      <c r="V42" s="3">
        <v>1.0</v>
      </c>
      <c r="W42" s="3">
        <v>4.0</v>
      </c>
      <c r="X42" s="3">
        <v>1.0</v>
      </c>
      <c r="Y42" s="3">
        <v>1.0</v>
      </c>
      <c r="Z42" s="3">
        <v>5.0</v>
      </c>
      <c r="AA42" s="3">
        <v>2.0</v>
      </c>
      <c r="AB42" s="3">
        <v>3.0</v>
      </c>
    </row>
    <row r="43">
      <c r="A43" s="2">
        <v>45119.519976192125</v>
      </c>
      <c r="B43" s="3">
        <v>56.0</v>
      </c>
      <c r="C43" s="3" t="s">
        <v>29</v>
      </c>
      <c r="D43" s="3">
        <v>1.0</v>
      </c>
      <c r="E43" s="3">
        <v>7.0</v>
      </c>
      <c r="F43" s="3">
        <v>7.0</v>
      </c>
      <c r="G43" s="3">
        <v>7.0</v>
      </c>
      <c r="H43" s="3">
        <v>5.0</v>
      </c>
      <c r="I43" s="3">
        <v>1.0</v>
      </c>
      <c r="J43" s="3">
        <v>2.0</v>
      </c>
      <c r="K43" s="3">
        <v>7.0</v>
      </c>
      <c r="L43" s="3">
        <v>7.0</v>
      </c>
      <c r="M43" s="3">
        <v>1.0</v>
      </c>
      <c r="N43" s="3">
        <v>6.0</v>
      </c>
      <c r="O43" s="3">
        <v>7.0</v>
      </c>
      <c r="P43" s="3">
        <v>1.0</v>
      </c>
      <c r="Q43" s="3">
        <v>1.0</v>
      </c>
      <c r="R43" s="3">
        <v>7.0</v>
      </c>
      <c r="S43" s="3">
        <v>7.0</v>
      </c>
      <c r="T43" s="3">
        <v>7.0</v>
      </c>
      <c r="U43" s="3">
        <v>1.0</v>
      </c>
      <c r="V43" s="3">
        <v>1.0</v>
      </c>
      <c r="W43" s="3">
        <v>6.0</v>
      </c>
      <c r="X43" s="3">
        <v>1.0</v>
      </c>
      <c r="Y43" s="3">
        <v>1.0</v>
      </c>
      <c r="Z43" s="3">
        <v>7.0</v>
      </c>
      <c r="AA43" s="3">
        <v>1.0</v>
      </c>
      <c r="AB43" s="3">
        <v>7.0</v>
      </c>
    </row>
    <row r="44">
      <c r="A44" s="2">
        <v>45119.52080322917</v>
      </c>
      <c r="B44" s="3">
        <v>34.0</v>
      </c>
      <c r="C44" s="3" t="s">
        <v>29</v>
      </c>
      <c r="D44" s="3">
        <v>1.0</v>
      </c>
      <c r="E44" s="3">
        <v>1.0</v>
      </c>
      <c r="F44" s="3">
        <v>5.0</v>
      </c>
      <c r="G44" s="3">
        <v>1.0</v>
      </c>
      <c r="H44" s="3">
        <v>4.0</v>
      </c>
      <c r="I44" s="3">
        <v>6.0</v>
      </c>
      <c r="J44" s="3">
        <v>1.0</v>
      </c>
      <c r="K44" s="3">
        <v>5.0</v>
      </c>
      <c r="L44" s="3">
        <v>7.0</v>
      </c>
      <c r="M44" s="3">
        <v>1.0</v>
      </c>
      <c r="N44" s="3">
        <v>5.0</v>
      </c>
      <c r="O44" s="3">
        <v>1.0</v>
      </c>
      <c r="P44" s="3">
        <v>1.0</v>
      </c>
      <c r="Q44" s="3">
        <v>6.0</v>
      </c>
      <c r="R44" s="3">
        <v>1.0</v>
      </c>
      <c r="S44" s="3">
        <v>6.0</v>
      </c>
      <c r="T44" s="3">
        <v>4.0</v>
      </c>
      <c r="U44" s="3">
        <v>1.0</v>
      </c>
      <c r="V44" s="3">
        <v>1.0</v>
      </c>
      <c r="W44" s="3">
        <v>1.0</v>
      </c>
      <c r="X44" s="3">
        <v>3.0</v>
      </c>
      <c r="Y44" s="3">
        <v>1.0</v>
      </c>
      <c r="Z44" s="3">
        <v>6.0</v>
      </c>
      <c r="AA44" s="3">
        <v>5.0</v>
      </c>
      <c r="AB44" s="3">
        <v>7.0</v>
      </c>
    </row>
    <row r="45">
      <c r="A45" s="2">
        <v>45119.53201547454</v>
      </c>
      <c r="B45" s="3">
        <v>46.0</v>
      </c>
      <c r="C45" s="3" t="s">
        <v>28</v>
      </c>
      <c r="D45" s="3">
        <v>1.0</v>
      </c>
      <c r="E45" s="3">
        <v>7.0</v>
      </c>
      <c r="F45" s="3">
        <v>6.0</v>
      </c>
      <c r="G45" s="3">
        <v>7.0</v>
      </c>
      <c r="H45" s="3">
        <v>6.0</v>
      </c>
      <c r="I45" s="3">
        <v>1.0</v>
      </c>
      <c r="J45" s="3">
        <v>1.0</v>
      </c>
      <c r="K45" s="3">
        <v>6.0</v>
      </c>
      <c r="L45" s="3">
        <v>7.0</v>
      </c>
      <c r="M45" s="3">
        <v>1.0</v>
      </c>
      <c r="N45" s="3">
        <v>7.0</v>
      </c>
      <c r="O45" s="3">
        <v>5.0</v>
      </c>
      <c r="P45" s="3">
        <v>1.0</v>
      </c>
      <c r="Q45" s="3">
        <v>1.0</v>
      </c>
      <c r="R45" s="3">
        <v>1.0</v>
      </c>
      <c r="S45" s="3">
        <v>7.0</v>
      </c>
      <c r="T45" s="3">
        <v>7.0</v>
      </c>
      <c r="U45" s="3">
        <v>1.0</v>
      </c>
      <c r="V45" s="3">
        <v>1.0</v>
      </c>
      <c r="W45" s="3">
        <v>3.0</v>
      </c>
      <c r="X45" s="3">
        <v>7.0</v>
      </c>
      <c r="Y45" s="3">
        <v>1.0</v>
      </c>
      <c r="Z45" s="3">
        <v>7.0</v>
      </c>
      <c r="AA45" s="3">
        <v>1.0</v>
      </c>
      <c r="AB45" s="3">
        <v>6.0</v>
      </c>
    </row>
    <row r="46">
      <c r="A46" s="2">
        <v>45119.54133216436</v>
      </c>
      <c r="B46" s="3">
        <v>59.0</v>
      </c>
      <c r="C46" s="3" t="s">
        <v>29</v>
      </c>
      <c r="D46" s="3">
        <v>3.0</v>
      </c>
      <c r="E46" s="3">
        <v>7.0</v>
      </c>
      <c r="F46" s="3">
        <v>6.0</v>
      </c>
      <c r="G46" s="3">
        <v>1.0</v>
      </c>
      <c r="H46" s="3">
        <v>6.0</v>
      </c>
      <c r="I46" s="3">
        <v>1.0</v>
      </c>
      <c r="J46" s="3">
        <v>6.0</v>
      </c>
      <c r="K46" s="3">
        <v>7.0</v>
      </c>
      <c r="L46" s="3">
        <v>7.0</v>
      </c>
      <c r="M46" s="3">
        <v>2.0</v>
      </c>
      <c r="N46" s="3">
        <v>2.0</v>
      </c>
      <c r="O46" s="3">
        <v>1.0</v>
      </c>
      <c r="P46" s="3">
        <v>6.0</v>
      </c>
      <c r="Q46" s="3">
        <v>5.0</v>
      </c>
      <c r="R46" s="3">
        <v>1.0</v>
      </c>
      <c r="S46" s="3">
        <v>7.0</v>
      </c>
      <c r="T46" s="3">
        <v>6.0</v>
      </c>
      <c r="U46" s="3">
        <v>1.0</v>
      </c>
      <c r="V46" s="3">
        <v>2.0</v>
      </c>
      <c r="W46" s="3">
        <v>7.0</v>
      </c>
      <c r="X46" s="3">
        <v>1.0</v>
      </c>
      <c r="Y46" s="3">
        <v>1.0</v>
      </c>
      <c r="Z46" s="3">
        <v>6.0</v>
      </c>
      <c r="AA46" s="3">
        <v>4.0</v>
      </c>
      <c r="AB46" s="3">
        <v>6.0</v>
      </c>
    </row>
    <row r="47">
      <c r="A47" s="2">
        <v>45119.543260439816</v>
      </c>
      <c r="B47" s="3">
        <v>55.0</v>
      </c>
      <c r="C47" s="3" t="s">
        <v>29</v>
      </c>
      <c r="D47" s="3">
        <v>1.0</v>
      </c>
      <c r="E47" s="3">
        <v>7.0</v>
      </c>
      <c r="F47" s="3">
        <v>7.0</v>
      </c>
      <c r="G47" s="3">
        <v>7.0</v>
      </c>
      <c r="H47" s="3">
        <v>1.0</v>
      </c>
      <c r="I47" s="3">
        <v>1.0</v>
      </c>
      <c r="J47" s="3">
        <v>4.0</v>
      </c>
      <c r="K47" s="3">
        <v>7.0</v>
      </c>
      <c r="L47" s="3">
        <v>7.0</v>
      </c>
      <c r="M47" s="3">
        <v>1.0</v>
      </c>
      <c r="N47" s="3">
        <v>7.0</v>
      </c>
      <c r="O47" s="3">
        <v>1.0</v>
      </c>
      <c r="P47" s="3">
        <v>1.0</v>
      </c>
      <c r="Q47" s="3">
        <v>7.0</v>
      </c>
      <c r="R47" s="3">
        <v>1.0</v>
      </c>
      <c r="S47" s="3">
        <v>1.0</v>
      </c>
      <c r="T47" s="3">
        <v>7.0</v>
      </c>
      <c r="U47" s="3">
        <v>1.0</v>
      </c>
      <c r="V47" s="3">
        <v>1.0</v>
      </c>
      <c r="W47" s="3">
        <v>7.0</v>
      </c>
      <c r="X47" s="3">
        <v>1.0</v>
      </c>
      <c r="Y47" s="3">
        <v>1.0</v>
      </c>
      <c r="Z47" s="3">
        <v>7.0</v>
      </c>
      <c r="AA47" s="3">
        <v>1.0</v>
      </c>
      <c r="AB47" s="3">
        <v>7.0</v>
      </c>
    </row>
    <row r="48">
      <c r="A48" s="2">
        <v>45119.54349171296</v>
      </c>
      <c r="B48" s="3">
        <v>59.0</v>
      </c>
      <c r="C48" s="3" t="s">
        <v>29</v>
      </c>
      <c r="D48" s="3">
        <v>1.0</v>
      </c>
      <c r="E48" s="3">
        <v>6.0</v>
      </c>
      <c r="F48" s="3">
        <v>7.0</v>
      </c>
      <c r="G48" s="3">
        <v>1.0</v>
      </c>
      <c r="H48" s="3">
        <v>6.0</v>
      </c>
      <c r="I48" s="3">
        <v>1.0</v>
      </c>
      <c r="J48" s="3">
        <v>1.0</v>
      </c>
      <c r="K48" s="3">
        <v>6.0</v>
      </c>
      <c r="L48" s="3">
        <v>5.0</v>
      </c>
      <c r="M48" s="3">
        <v>1.0</v>
      </c>
      <c r="N48" s="3">
        <v>7.0</v>
      </c>
      <c r="O48" s="3">
        <v>1.0</v>
      </c>
      <c r="P48" s="3">
        <v>1.0</v>
      </c>
      <c r="Q48" s="3">
        <v>1.0</v>
      </c>
      <c r="R48" s="3">
        <v>5.0</v>
      </c>
      <c r="S48" s="3">
        <v>3.0</v>
      </c>
      <c r="T48" s="3">
        <v>6.0</v>
      </c>
      <c r="U48" s="3">
        <v>1.0</v>
      </c>
      <c r="V48" s="3">
        <v>1.0</v>
      </c>
      <c r="W48" s="3">
        <v>3.0</v>
      </c>
      <c r="X48" s="3">
        <v>1.0</v>
      </c>
      <c r="Y48" s="3">
        <v>1.0</v>
      </c>
      <c r="Z48" s="3">
        <v>6.0</v>
      </c>
      <c r="AA48" s="3">
        <v>1.0</v>
      </c>
      <c r="AB48" s="3">
        <v>1.0</v>
      </c>
    </row>
    <row r="49">
      <c r="A49" s="2">
        <v>45119.54603136574</v>
      </c>
      <c r="B49" s="3">
        <v>57.0</v>
      </c>
      <c r="C49" s="3" t="s">
        <v>29</v>
      </c>
      <c r="D49" s="3">
        <v>2.0</v>
      </c>
      <c r="E49" s="3">
        <v>3.0</v>
      </c>
      <c r="F49" s="3">
        <v>6.0</v>
      </c>
      <c r="G49" s="3">
        <v>1.0</v>
      </c>
      <c r="H49" s="3">
        <v>2.0</v>
      </c>
      <c r="I49" s="3">
        <v>2.0</v>
      </c>
      <c r="J49" s="3">
        <v>2.0</v>
      </c>
      <c r="K49" s="3">
        <v>5.0</v>
      </c>
      <c r="L49" s="3">
        <v>3.0</v>
      </c>
      <c r="M49" s="3">
        <v>2.0</v>
      </c>
      <c r="N49" s="3">
        <v>5.0</v>
      </c>
      <c r="O49" s="3">
        <v>5.0</v>
      </c>
      <c r="P49" s="3">
        <v>2.0</v>
      </c>
      <c r="Q49" s="3">
        <v>2.0</v>
      </c>
      <c r="R49" s="3">
        <v>6.0</v>
      </c>
      <c r="S49" s="3">
        <v>5.0</v>
      </c>
      <c r="T49" s="3">
        <v>6.0</v>
      </c>
      <c r="U49" s="3">
        <v>5.0</v>
      </c>
      <c r="V49" s="3">
        <v>2.0</v>
      </c>
      <c r="W49" s="3">
        <v>5.0</v>
      </c>
      <c r="X49" s="3">
        <v>2.0</v>
      </c>
      <c r="Y49" s="3">
        <v>1.0</v>
      </c>
      <c r="Z49" s="3">
        <v>5.0</v>
      </c>
      <c r="AA49" s="3">
        <v>1.0</v>
      </c>
      <c r="AB49" s="3">
        <v>5.0</v>
      </c>
    </row>
    <row r="50">
      <c r="A50" s="2">
        <v>45119.551030925926</v>
      </c>
      <c r="B50" s="3">
        <v>38.0</v>
      </c>
      <c r="C50" s="3" t="s">
        <v>29</v>
      </c>
      <c r="D50" s="3">
        <v>5.0</v>
      </c>
      <c r="E50" s="3">
        <v>6.0</v>
      </c>
      <c r="F50" s="3">
        <v>7.0</v>
      </c>
      <c r="G50" s="3">
        <v>6.0</v>
      </c>
      <c r="H50" s="3">
        <v>7.0</v>
      </c>
      <c r="I50" s="3">
        <v>1.0</v>
      </c>
      <c r="J50" s="3">
        <v>7.0</v>
      </c>
      <c r="K50" s="3">
        <v>7.0</v>
      </c>
      <c r="L50" s="3">
        <v>7.0</v>
      </c>
      <c r="M50" s="3">
        <v>6.0</v>
      </c>
      <c r="N50" s="3">
        <v>6.0</v>
      </c>
      <c r="O50" s="3">
        <v>1.0</v>
      </c>
      <c r="P50" s="3">
        <v>1.0</v>
      </c>
      <c r="Q50" s="3">
        <v>1.0</v>
      </c>
      <c r="R50" s="3">
        <v>1.0</v>
      </c>
      <c r="S50" s="3">
        <v>6.0</v>
      </c>
      <c r="T50" s="3">
        <v>6.0</v>
      </c>
      <c r="U50" s="3">
        <v>1.0</v>
      </c>
      <c r="V50" s="3">
        <v>3.0</v>
      </c>
      <c r="W50" s="3">
        <v>6.0</v>
      </c>
      <c r="X50" s="3">
        <v>1.0</v>
      </c>
      <c r="Y50" s="3">
        <v>1.0</v>
      </c>
      <c r="Z50" s="3">
        <v>7.0</v>
      </c>
      <c r="AA50" s="3">
        <v>5.0</v>
      </c>
      <c r="AB50" s="3">
        <v>2.0</v>
      </c>
    </row>
    <row r="51">
      <c r="A51" s="2">
        <v>45119.55599648148</v>
      </c>
      <c r="B51" s="3">
        <v>29.0</v>
      </c>
      <c r="C51" s="3" t="s">
        <v>29</v>
      </c>
      <c r="D51" s="3">
        <v>1.0</v>
      </c>
      <c r="E51" s="3">
        <v>7.0</v>
      </c>
      <c r="F51" s="3">
        <v>7.0</v>
      </c>
      <c r="G51" s="3">
        <v>7.0</v>
      </c>
      <c r="H51" s="3">
        <v>1.0</v>
      </c>
      <c r="I51" s="3">
        <v>1.0</v>
      </c>
      <c r="J51" s="3">
        <v>7.0</v>
      </c>
      <c r="K51" s="3">
        <v>7.0</v>
      </c>
      <c r="L51" s="3">
        <v>7.0</v>
      </c>
      <c r="M51" s="3">
        <v>1.0</v>
      </c>
      <c r="N51" s="3">
        <v>7.0</v>
      </c>
      <c r="O51" s="3">
        <v>7.0</v>
      </c>
      <c r="P51" s="3">
        <v>1.0</v>
      </c>
      <c r="Q51" s="3">
        <v>7.0</v>
      </c>
      <c r="R51" s="3">
        <v>7.0</v>
      </c>
      <c r="S51" s="3">
        <v>7.0</v>
      </c>
      <c r="T51" s="3">
        <v>7.0</v>
      </c>
      <c r="U51" s="3">
        <v>1.0</v>
      </c>
      <c r="V51" s="3">
        <v>5.0</v>
      </c>
      <c r="W51" s="3">
        <v>7.0</v>
      </c>
      <c r="X51" s="3">
        <v>2.0</v>
      </c>
      <c r="Y51" s="3">
        <v>2.0</v>
      </c>
      <c r="Z51" s="3">
        <v>7.0</v>
      </c>
      <c r="AA51" s="3">
        <v>6.0</v>
      </c>
      <c r="AB51" s="3">
        <v>7.0</v>
      </c>
    </row>
    <row r="52">
      <c r="A52" s="2">
        <v>45119.55693924769</v>
      </c>
      <c r="B52" s="3">
        <v>50.0</v>
      </c>
      <c r="C52" s="3" t="s">
        <v>29</v>
      </c>
      <c r="D52" s="3">
        <v>1.0</v>
      </c>
      <c r="E52" s="3">
        <v>5.0</v>
      </c>
      <c r="F52" s="3">
        <v>5.0</v>
      </c>
      <c r="G52" s="3">
        <v>6.0</v>
      </c>
      <c r="H52" s="3">
        <v>3.0</v>
      </c>
      <c r="I52" s="3">
        <v>6.0</v>
      </c>
      <c r="J52" s="3">
        <v>1.0</v>
      </c>
      <c r="K52" s="3">
        <v>6.0</v>
      </c>
      <c r="L52" s="3">
        <v>6.0</v>
      </c>
      <c r="M52" s="3">
        <v>1.0</v>
      </c>
      <c r="N52" s="3">
        <v>6.0</v>
      </c>
      <c r="O52" s="3">
        <v>5.0</v>
      </c>
      <c r="P52" s="3">
        <v>1.0</v>
      </c>
      <c r="Q52" s="3">
        <v>1.0</v>
      </c>
      <c r="R52" s="3">
        <v>2.0</v>
      </c>
      <c r="S52" s="3">
        <v>5.0</v>
      </c>
      <c r="T52" s="3">
        <v>6.0</v>
      </c>
      <c r="U52" s="3">
        <v>1.0</v>
      </c>
      <c r="V52" s="3">
        <v>2.0</v>
      </c>
      <c r="W52" s="3">
        <v>5.0</v>
      </c>
      <c r="X52" s="3">
        <v>2.0</v>
      </c>
      <c r="Y52" s="3">
        <v>1.0</v>
      </c>
      <c r="Z52" s="3">
        <v>2.0</v>
      </c>
      <c r="AA52" s="3">
        <v>1.0</v>
      </c>
      <c r="AB52" s="3">
        <v>5.0</v>
      </c>
    </row>
    <row r="53">
      <c r="A53" s="2">
        <v>45119.56013986111</v>
      </c>
      <c r="B53" s="3">
        <v>18.0</v>
      </c>
      <c r="C53" s="3" t="s">
        <v>29</v>
      </c>
      <c r="D53" s="3">
        <v>1.0</v>
      </c>
      <c r="E53" s="3">
        <v>3.0</v>
      </c>
      <c r="F53" s="3">
        <v>7.0</v>
      </c>
      <c r="G53" s="3">
        <v>1.0</v>
      </c>
      <c r="H53" s="3">
        <v>6.0</v>
      </c>
      <c r="I53" s="3">
        <v>7.0</v>
      </c>
      <c r="J53" s="3">
        <v>3.0</v>
      </c>
      <c r="K53" s="3">
        <v>1.0</v>
      </c>
      <c r="L53" s="3">
        <v>7.0</v>
      </c>
      <c r="M53" s="3">
        <v>1.0</v>
      </c>
      <c r="N53" s="3">
        <v>7.0</v>
      </c>
      <c r="O53" s="3">
        <v>3.0</v>
      </c>
      <c r="P53" s="3">
        <v>7.0</v>
      </c>
      <c r="Q53" s="3">
        <v>5.0</v>
      </c>
      <c r="R53" s="3">
        <v>7.0</v>
      </c>
      <c r="S53" s="3">
        <v>7.0</v>
      </c>
      <c r="T53" s="3">
        <v>5.0</v>
      </c>
      <c r="U53" s="3">
        <v>1.0</v>
      </c>
      <c r="V53" s="3">
        <v>3.0</v>
      </c>
      <c r="W53" s="3">
        <v>7.0</v>
      </c>
      <c r="X53" s="3">
        <v>3.0</v>
      </c>
      <c r="Y53" s="3">
        <v>1.0</v>
      </c>
      <c r="Z53" s="3">
        <v>4.0</v>
      </c>
      <c r="AA53" s="3">
        <v>2.0</v>
      </c>
      <c r="AB53" s="3">
        <v>7.0</v>
      </c>
    </row>
    <row r="54">
      <c r="A54" s="2">
        <v>45119.5652040625</v>
      </c>
      <c r="B54" s="3">
        <v>58.0</v>
      </c>
      <c r="C54" s="3" t="s">
        <v>29</v>
      </c>
      <c r="D54" s="3">
        <v>6.0</v>
      </c>
      <c r="E54" s="3">
        <v>7.0</v>
      </c>
      <c r="F54" s="3">
        <v>5.0</v>
      </c>
      <c r="G54" s="3">
        <v>7.0</v>
      </c>
      <c r="H54" s="3">
        <v>7.0</v>
      </c>
      <c r="I54" s="3">
        <v>1.0</v>
      </c>
      <c r="J54" s="3">
        <v>7.0</v>
      </c>
      <c r="K54" s="3">
        <v>6.0</v>
      </c>
      <c r="L54" s="3">
        <v>6.0</v>
      </c>
      <c r="M54" s="3">
        <v>2.0</v>
      </c>
      <c r="N54" s="3">
        <v>6.0</v>
      </c>
      <c r="O54" s="3">
        <v>1.0</v>
      </c>
      <c r="P54" s="3">
        <v>1.0</v>
      </c>
      <c r="Q54" s="3">
        <v>6.0</v>
      </c>
      <c r="R54" s="3">
        <v>7.0</v>
      </c>
      <c r="S54" s="3">
        <v>5.0</v>
      </c>
      <c r="T54" s="3">
        <v>7.0</v>
      </c>
      <c r="U54" s="3">
        <v>1.0</v>
      </c>
      <c r="V54" s="3">
        <v>5.0</v>
      </c>
      <c r="W54" s="3">
        <v>5.0</v>
      </c>
      <c r="X54" s="3">
        <v>1.0</v>
      </c>
      <c r="Y54" s="3">
        <v>1.0</v>
      </c>
      <c r="Z54" s="3">
        <v>6.0</v>
      </c>
      <c r="AA54" s="3">
        <v>5.0</v>
      </c>
      <c r="AB54" s="3">
        <v>7.0</v>
      </c>
    </row>
    <row r="55">
      <c r="A55" s="2">
        <v>45119.565891087965</v>
      </c>
      <c r="B55" s="3">
        <v>65.0</v>
      </c>
      <c r="C55" s="3" t="s">
        <v>29</v>
      </c>
      <c r="D55" s="3">
        <v>1.0</v>
      </c>
      <c r="E55" s="3">
        <v>7.0</v>
      </c>
      <c r="F55" s="3">
        <v>1.0</v>
      </c>
      <c r="G55" s="3">
        <v>1.0</v>
      </c>
      <c r="H55" s="3">
        <v>1.0</v>
      </c>
      <c r="I55" s="3">
        <v>7.0</v>
      </c>
      <c r="J55" s="3">
        <v>2.0</v>
      </c>
      <c r="K55" s="3">
        <v>7.0</v>
      </c>
      <c r="L55" s="3">
        <v>7.0</v>
      </c>
      <c r="M55" s="3">
        <v>1.0</v>
      </c>
      <c r="N55" s="3">
        <v>7.0</v>
      </c>
      <c r="O55" s="3">
        <v>1.0</v>
      </c>
      <c r="P55" s="3">
        <v>4.0</v>
      </c>
      <c r="Q55" s="3">
        <v>1.0</v>
      </c>
      <c r="R55" s="3">
        <v>4.0</v>
      </c>
      <c r="S55" s="3">
        <v>7.0</v>
      </c>
      <c r="T55" s="3">
        <v>7.0</v>
      </c>
      <c r="U55" s="3">
        <v>1.0</v>
      </c>
      <c r="V55" s="3">
        <v>1.0</v>
      </c>
      <c r="W55" s="3">
        <v>1.0</v>
      </c>
      <c r="X55" s="3">
        <v>1.0</v>
      </c>
      <c r="Y55" s="3">
        <v>1.0</v>
      </c>
      <c r="Z55" s="3">
        <v>7.0</v>
      </c>
      <c r="AA55" s="3">
        <v>1.0</v>
      </c>
      <c r="AB55" s="3">
        <v>1.0</v>
      </c>
    </row>
    <row r="56">
      <c r="A56" s="2">
        <v>45119.56936635417</v>
      </c>
      <c r="B56" s="3">
        <v>60.0</v>
      </c>
      <c r="C56" s="3" t="s">
        <v>28</v>
      </c>
      <c r="D56" s="3">
        <v>2.0</v>
      </c>
      <c r="E56" s="3">
        <v>7.0</v>
      </c>
      <c r="F56" s="3">
        <v>6.0</v>
      </c>
      <c r="G56" s="3">
        <v>1.0</v>
      </c>
      <c r="H56" s="3">
        <v>2.0</v>
      </c>
      <c r="I56" s="3">
        <v>1.0</v>
      </c>
      <c r="J56" s="3">
        <v>2.0</v>
      </c>
      <c r="K56" s="3">
        <v>6.0</v>
      </c>
      <c r="L56" s="3">
        <v>7.0</v>
      </c>
      <c r="M56" s="3">
        <v>7.0</v>
      </c>
      <c r="N56" s="3">
        <v>6.0</v>
      </c>
      <c r="O56" s="3">
        <v>6.0</v>
      </c>
      <c r="P56" s="3">
        <v>5.0</v>
      </c>
      <c r="Q56" s="3">
        <v>1.0</v>
      </c>
      <c r="R56" s="3">
        <v>7.0</v>
      </c>
      <c r="S56" s="3">
        <v>7.0</v>
      </c>
      <c r="T56" s="3">
        <v>6.0</v>
      </c>
      <c r="U56" s="3">
        <v>1.0</v>
      </c>
      <c r="V56" s="3">
        <v>1.0</v>
      </c>
      <c r="W56" s="3">
        <v>2.0</v>
      </c>
      <c r="X56" s="3">
        <v>2.0</v>
      </c>
      <c r="Y56" s="3">
        <v>1.0</v>
      </c>
      <c r="Z56" s="3">
        <v>7.0</v>
      </c>
      <c r="AA56" s="3">
        <v>7.0</v>
      </c>
      <c r="AB56" s="3">
        <v>3.0</v>
      </c>
    </row>
    <row r="57">
      <c r="A57" s="2">
        <v>45119.58657108796</v>
      </c>
      <c r="B57" s="3">
        <v>33.0</v>
      </c>
      <c r="C57" s="3" t="s">
        <v>29</v>
      </c>
      <c r="D57" s="3">
        <v>2.0</v>
      </c>
      <c r="E57" s="3">
        <v>7.0</v>
      </c>
      <c r="F57" s="3">
        <v>5.0</v>
      </c>
      <c r="G57" s="3">
        <v>7.0</v>
      </c>
      <c r="H57" s="3">
        <v>6.0</v>
      </c>
      <c r="I57" s="3">
        <v>2.0</v>
      </c>
      <c r="J57" s="3">
        <v>3.0</v>
      </c>
      <c r="K57" s="3">
        <v>5.0</v>
      </c>
      <c r="L57" s="3">
        <v>6.0</v>
      </c>
      <c r="M57" s="3">
        <v>1.0</v>
      </c>
      <c r="N57" s="3">
        <v>7.0</v>
      </c>
      <c r="O57" s="3">
        <v>6.0</v>
      </c>
      <c r="P57" s="3">
        <v>6.0</v>
      </c>
      <c r="Q57" s="3">
        <v>5.0</v>
      </c>
      <c r="R57" s="3">
        <v>6.0</v>
      </c>
      <c r="S57" s="3">
        <v>5.0</v>
      </c>
      <c r="T57" s="3">
        <v>7.0</v>
      </c>
      <c r="U57" s="3">
        <v>1.0</v>
      </c>
      <c r="V57" s="3">
        <v>1.0</v>
      </c>
      <c r="W57" s="3">
        <v>6.0</v>
      </c>
      <c r="X57" s="3">
        <v>1.0</v>
      </c>
      <c r="Y57" s="3">
        <v>2.0</v>
      </c>
      <c r="Z57" s="3">
        <v>6.0</v>
      </c>
      <c r="AA57" s="3">
        <v>2.0</v>
      </c>
      <c r="AB57" s="3">
        <v>6.0</v>
      </c>
    </row>
    <row r="58">
      <c r="A58" s="2">
        <v>45119.610193761575</v>
      </c>
      <c r="B58" s="3">
        <v>72.0</v>
      </c>
      <c r="C58" s="3" t="s">
        <v>29</v>
      </c>
      <c r="D58" s="3">
        <v>2.0</v>
      </c>
      <c r="E58" s="3">
        <v>1.0</v>
      </c>
      <c r="F58" s="3">
        <v>2.0</v>
      </c>
      <c r="G58" s="3">
        <v>3.0</v>
      </c>
      <c r="H58" s="3">
        <v>1.0</v>
      </c>
      <c r="I58" s="3">
        <v>2.0</v>
      </c>
      <c r="J58" s="3">
        <v>4.0</v>
      </c>
      <c r="K58" s="3">
        <v>3.0</v>
      </c>
      <c r="L58" s="3">
        <v>1.0</v>
      </c>
      <c r="M58" s="3">
        <v>7.0</v>
      </c>
      <c r="N58" s="3">
        <v>2.0</v>
      </c>
      <c r="O58" s="3">
        <v>3.0</v>
      </c>
      <c r="P58" s="3">
        <v>2.0</v>
      </c>
      <c r="Q58" s="3">
        <v>4.0</v>
      </c>
      <c r="R58" s="3">
        <v>3.0</v>
      </c>
      <c r="S58" s="3">
        <v>2.0</v>
      </c>
      <c r="T58" s="3">
        <v>1.0</v>
      </c>
      <c r="U58" s="3">
        <v>5.0</v>
      </c>
      <c r="V58" s="3">
        <v>7.0</v>
      </c>
      <c r="W58" s="3">
        <v>5.0</v>
      </c>
      <c r="X58" s="3">
        <v>7.0</v>
      </c>
      <c r="Y58" s="3">
        <v>7.0</v>
      </c>
      <c r="Z58" s="3">
        <v>4.0</v>
      </c>
      <c r="AA58" s="3">
        <v>5.0</v>
      </c>
      <c r="AB58" s="3">
        <v>6.0</v>
      </c>
    </row>
    <row r="59">
      <c r="A59" s="2">
        <v>45119.61420834491</v>
      </c>
      <c r="B59" s="3">
        <v>61.0</v>
      </c>
      <c r="C59" s="3" t="s">
        <v>28</v>
      </c>
      <c r="D59" s="3">
        <v>1.0</v>
      </c>
      <c r="E59" s="3">
        <v>1.0</v>
      </c>
      <c r="F59" s="3">
        <v>7.0</v>
      </c>
      <c r="G59" s="3">
        <v>5.0</v>
      </c>
      <c r="H59" s="3">
        <v>2.0</v>
      </c>
      <c r="I59" s="3">
        <v>1.0</v>
      </c>
      <c r="J59" s="3">
        <v>5.0</v>
      </c>
      <c r="K59" s="3">
        <v>7.0</v>
      </c>
      <c r="L59" s="3">
        <v>5.0</v>
      </c>
      <c r="M59" s="3">
        <v>1.0</v>
      </c>
      <c r="N59" s="3">
        <v>6.0</v>
      </c>
      <c r="O59" s="3">
        <v>1.0</v>
      </c>
      <c r="P59" s="3">
        <v>5.0</v>
      </c>
      <c r="Q59" s="3">
        <v>2.0</v>
      </c>
      <c r="R59" s="3">
        <v>6.0</v>
      </c>
      <c r="S59" s="3">
        <v>7.0</v>
      </c>
      <c r="T59" s="3">
        <v>7.0</v>
      </c>
      <c r="U59" s="3">
        <v>1.0</v>
      </c>
      <c r="V59" s="3">
        <v>1.0</v>
      </c>
      <c r="W59" s="3">
        <v>2.0</v>
      </c>
      <c r="X59" s="3">
        <v>1.0</v>
      </c>
      <c r="Y59" s="3">
        <v>1.0</v>
      </c>
      <c r="Z59" s="3">
        <v>7.0</v>
      </c>
      <c r="AA59" s="3">
        <v>6.0</v>
      </c>
      <c r="AB59" s="3">
        <v>7.0</v>
      </c>
    </row>
    <row r="60">
      <c r="A60" s="2">
        <v>45119.61822179398</v>
      </c>
      <c r="B60" s="3">
        <v>56.0</v>
      </c>
      <c r="C60" s="3" t="s">
        <v>28</v>
      </c>
      <c r="D60" s="3">
        <v>1.0</v>
      </c>
      <c r="E60" s="3">
        <v>7.0</v>
      </c>
      <c r="F60" s="3">
        <v>7.0</v>
      </c>
      <c r="G60" s="3">
        <v>7.0</v>
      </c>
      <c r="H60" s="3">
        <v>7.0</v>
      </c>
      <c r="I60" s="3">
        <v>1.0</v>
      </c>
      <c r="J60" s="3">
        <v>7.0</v>
      </c>
      <c r="K60" s="3">
        <v>7.0</v>
      </c>
      <c r="L60" s="3">
        <v>7.0</v>
      </c>
      <c r="M60" s="3">
        <v>1.0</v>
      </c>
      <c r="N60" s="3">
        <v>7.0</v>
      </c>
      <c r="O60" s="3">
        <v>7.0</v>
      </c>
      <c r="P60" s="3">
        <v>1.0</v>
      </c>
      <c r="Q60" s="3">
        <v>1.0</v>
      </c>
      <c r="R60" s="3">
        <v>7.0</v>
      </c>
      <c r="S60" s="3">
        <v>7.0</v>
      </c>
      <c r="T60" s="3">
        <v>7.0</v>
      </c>
      <c r="U60" s="3">
        <v>1.0</v>
      </c>
      <c r="V60" s="3">
        <v>1.0</v>
      </c>
      <c r="W60" s="3">
        <v>7.0</v>
      </c>
      <c r="X60" s="3">
        <v>1.0</v>
      </c>
      <c r="Y60" s="3">
        <v>1.0</v>
      </c>
      <c r="Z60" s="3">
        <v>7.0</v>
      </c>
      <c r="AA60" s="3">
        <v>1.0</v>
      </c>
      <c r="AB60" s="3">
        <v>7.0</v>
      </c>
    </row>
    <row r="61">
      <c r="A61" s="2">
        <v>45119.65589476852</v>
      </c>
      <c r="B61" s="3">
        <v>26.0</v>
      </c>
      <c r="C61" s="3" t="s">
        <v>29</v>
      </c>
      <c r="D61" s="3">
        <v>1.0</v>
      </c>
      <c r="E61" s="3">
        <v>5.0</v>
      </c>
      <c r="F61" s="3">
        <v>7.0</v>
      </c>
      <c r="G61" s="3">
        <v>7.0</v>
      </c>
      <c r="H61" s="3">
        <v>7.0</v>
      </c>
      <c r="I61" s="3">
        <v>1.0</v>
      </c>
      <c r="J61" s="3">
        <v>7.0</v>
      </c>
      <c r="K61" s="3">
        <v>4.0</v>
      </c>
      <c r="L61" s="3">
        <v>7.0</v>
      </c>
      <c r="M61" s="3">
        <v>3.0</v>
      </c>
      <c r="N61" s="3">
        <v>7.0</v>
      </c>
      <c r="O61" s="3">
        <v>6.0</v>
      </c>
      <c r="P61" s="3">
        <v>1.0</v>
      </c>
      <c r="Q61" s="3">
        <v>1.0</v>
      </c>
      <c r="R61" s="3">
        <v>7.0</v>
      </c>
      <c r="S61" s="3">
        <v>7.0</v>
      </c>
      <c r="T61" s="3">
        <v>7.0</v>
      </c>
      <c r="U61" s="3">
        <v>1.0</v>
      </c>
      <c r="V61" s="3">
        <v>7.0</v>
      </c>
      <c r="W61" s="3">
        <v>2.0</v>
      </c>
      <c r="X61" s="3">
        <v>2.0</v>
      </c>
      <c r="Y61" s="3">
        <v>1.0</v>
      </c>
      <c r="Z61" s="3">
        <v>2.0</v>
      </c>
      <c r="AA61" s="3">
        <v>7.0</v>
      </c>
      <c r="AB61" s="3">
        <v>6.0</v>
      </c>
    </row>
    <row r="62">
      <c r="A62" s="2">
        <v>45119.668587974535</v>
      </c>
      <c r="B62" s="3">
        <v>40.0</v>
      </c>
      <c r="C62" s="3" t="s">
        <v>29</v>
      </c>
      <c r="D62" s="3">
        <v>1.0</v>
      </c>
      <c r="E62" s="3">
        <v>7.0</v>
      </c>
      <c r="F62" s="3">
        <v>7.0</v>
      </c>
      <c r="G62" s="3">
        <v>4.0</v>
      </c>
      <c r="H62" s="3">
        <v>4.0</v>
      </c>
      <c r="I62" s="3">
        <v>2.0</v>
      </c>
      <c r="J62" s="3">
        <v>1.0</v>
      </c>
      <c r="K62" s="3">
        <v>5.0</v>
      </c>
      <c r="L62" s="3">
        <v>7.0</v>
      </c>
      <c r="M62" s="3">
        <v>1.0</v>
      </c>
      <c r="N62" s="3">
        <v>1.0</v>
      </c>
      <c r="O62" s="3">
        <v>1.0</v>
      </c>
      <c r="P62" s="3">
        <v>1.0</v>
      </c>
      <c r="Q62" s="3">
        <v>6.0</v>
      </c>
      <c r="R62" s="3">
        <v>1.0</v>
      </c>
      <c r="S62" s="3">
        <v>7.0</v>
      </c>
      <c r="T62" s="3">
        <v>7.0</v>
      </c>
      <c r="U62" s="3">
        <v>1.0</v>
      </c>
      <c r="V62" s="3">
        <v>3.0</v>
      </c>
      <c r="W62" s="3">
        <v>5.0</v>
      </c>
      <c r="X62" s="3">
        <v>1.0</v>
      </c>
      <c r="Y62" s="3">
        <v>1.0</v>
      </c>
      <c r="Z62" s="3">
        <v>5.0</v>
      </c>
      <c r="AA62" s="3">
        <v>1.0</v>
      </c>
      <c r="AB62" s="3">
        <v>6.0</v>
      </c>
    </row>
    <row r="63">
      <c r="A63" s="2">
        <v>45119.67910061343</v>
      </c>
      <c r="B63" s="3">
        <v>65.0</v>
      </c>
      <c r="C63" s="3" t="s">
        <v>28</v>
      </c>
      <c r="D63" s="3">
        <v>2.0</v>
      </c>
      <c r="E63" s="3">
        <v>7.0</v>
      </c>
      <c r="F63" s="3">
        <v>7.0</v>
      </c>
      <c r="G63" s="3">
        <v>1.0</v>
      </c>
      <c r="H63" s="3">
        <v>3.0</v>
      </c>
      <c r="I63" s="3">
        <v>1.0</v>
      </c>
      <c r="J63" s="3">
        <v>7.0</v>
      </c>
      <c r="K63" s="3">
        <v>7.0</v>
      </c>
      <c r="L63" s="3">
        <v>7.0</v>
      </c>
      <c r="M63" s="3">
        <v>2.0</v>
      </c>
      <c r="N63" s="3">
        <v>6.0</v>
      </c>
      <c r="O63" s="3">
        <v>7.0</v>
      </c>
      <c r="P63" s="3">
        <v>1.0</v>
      </c>
      <c r="Q63" s="3">
        <v>1.0</v>
      </c>
      <c r="R63" s="3">
        <v>1.0</v>
      </c>
      <c r="S63" s="3">
        <v>6.0</v>
      </c>
      <c r="T63" s="3">
        <v>7.0</v>
      </c>
      <c r="U63" s="3">
        <v>1.0</v>
      </c>
      <c r="V63" s="3">
        <v>1.0</v>
      </c>
      <c r="W63" s="3">
        <v>7.0</v>
      </c>
      <c r="X63" s="3">
        <v>1.0</v>
      </c>
      <c r="Y63" s="3">
        <v>1.0</v>
      </c>
      <c r="Z63" s="3">
        <v>7.0</v>
      </c>
      <c r="AA63" s="3">
        <v>6.0</v>
      </c>
      <c r="AB63" s="3">
        <v>7.0</v>
      </c>
    </row>
    <row r="64">
      <c r="A64" s="2">
        <v>45119.68018099537</v>
      </c>
      <c r="B64" s="3">
        <v>63.0</v>
      </c>
      <c r="C64" s="3" t="s">
        <v>28</v>
      </c>
      <c r="D64" s="3">
        <v>7.0</v>
      </c>
      <c r="E64" s="3">
        <v>7.0</v>
      </c>
      <c r="F64" s="3">
        <v>1.0</v>
      </c>
      <c r="G64" s="3">
        <v>7.0</v>
      </c>
      <c r="H64" s="3">
        <v>6.0</v>
      </c>
      <c r="I64" s="3">
        <v>1.0</v>
      </c>
      <c r="J64" s="3">
        <v>7.0</v>
      </c>
      <c r="K64" s="3">
        <v>7.0</v>
      </c>
      <c r="L64" s="3">
        <v>7.0</v>
      </c>
      <c r="M64" s="3">
        <v>7.0</v>
      </c>
      <c r="N64" s="3">
        <v>7.0</v>
      </c>
      <c r="O64" s="3">
        <v>1.0</v>
      </c>
      <c r="P64" s="3">
        <v>7.0</v>
      </c>
      <c r="Q64" s="3">
        <v>1.0</v>
      </c>
      <c r="R64" s="3">
        <v>1.0</v>
      </c>
      <c r="S64" s="3">
        <v>1.0</v>
      </c>
      <c r="T64" s="3">
        <v>7.0</v>
      </c>
      <c r="U64" s="3">
        <v>1.0</v>
      </c>
      <c r="V64" s="3">
        <v>1.0</v>
      </c>
      <c r="W64" s="3">
        <v>1.0</v>
      </c>
      <c r="X64" s="3">
        <v>1.0</v>
      </c>
      <c r="Y64" s="3">
        <v>1.0</v>
      </c>
      <c r="Z64" s="3">
        <v>1.0</v>
      </c>
      <c r="AA64" s="3">
        <v>1.0</v>
      </c>
      <c r="AB64" s="3">
        <v>7.0</v>
      </c>
    </row>
    <row r="65">
      <c r="A65" s="2">
        <v>45119.681855358795</v>
      </c>
      <c r="B65" s="3">
        <v>47.0</v>
      </c>
      <c r="C65" s="3" t="s">
        <v>28</v>
      </c>
      <c r="D65" s="3">
        <v>1.0</v>
      </c>
      <c r="E65" s="3">
        <v>3.0</v>
      </c>
      <c r="F65" s="3">
        <v>1.0</v>
      </c>
      <c r="G65" s="3">
        <v>6.0</v>
      </c>
      <c r="H65" s="3">
        <v>4.0</v>
      </c>
      <c r="I65" s="3">
        <v>1.0</v>
      </c>
      <c r="J65" s="3">
        <v>3.0</v>
      </c>
      <c r="K65" s="3">
        <v>5.0</v>
      </c>
      <c r="L65" s="3">
        <v>4.0</v>
      </c>
      <c r="M65" s="3">
        <v>1.0</v>
      </c>
      <c r="N65" s="3">
        <v>3.0</v>
      </c>
      <c r="O65" s="3">
        <v>5.0</v>
      </c>
      <c r="P65" s="3">
        <v>1.0</v>
      </c>
      <c r="Q65" s="3">
        <v>1.0</v>
      </c>
      <c r="R65" s="3">
        <v>3.0</v>
      </c>
      <c r="S65" s="3">
        <v>5.0</v>
      </c>
      <c r="T65" s="3">
        <v>3.0</v>
      </c>
      <c r="U65" s="3">
        <v>1.0</v>
      </c>
      <c r="V65" s="3">
        <v>3.0</v>
      </c>
      <c r="W65" s="3">
        <v>5.0</v>
      </c>
      <c r="X65" s="3">
        <v>1.0</v>
      </c>
      <c r="Y65" s="3">
        <v>1.0</v>
      </c>
      <c r="Z65" s="3">
        <v>6.0</v>
      </c>
      <c r="AA65" s="3">
        <v>1.0</v>
      </c>
      <c r="AB65" s="3">
        <v>5.0</v>
      </c>
    </row>
    <row r="66">
      <c r="A66" s="2">
        <v>45119.790771747685</v>
      </c>
      <c r="B66" s="3">
        <v>59.0</v>
      </c>
      <c r="C66" s="3" t="s">
        <v>29</v>
      </c>
      <c r="D66" s="3">
        <v>2.0</v>
      </c>
      <c r="E66" s="3">
        <v>7.0</v>
      </c>
      <c r="F66" s="3">
        <v>1.0</v>
      </c>
      <c r="G66" s="3">
        <v>1.0</v>
      </c>
      <c r="H66" s="3">
        <v>6.0</v>
      </c>
      <c r="I66" s="3">
        <v>1.0</v>
      </c>
      <c r="J66" s="3">
        <v>1.0</v>
      </c>
      <c r="K66" s="3">
        <v>7.0</v>
      </c>
      <c r="L66" s="3">
        <v>3.0</v>
      </c>
      <c r="M66" s="3">
        <v>1.0</v>
      </c>
      <c r="N66" s="3">
        <v>6.0</v>
      </c>
      <c r="O66" s="3">
        <v>1.0</v>
      </c>
      <c r="P66" s="3">
        <v>1.0</v>
      </c>
      <c r="Q66" s="3">
        <v>2.0</v>
      </c>
      <c r="R66" s="3">
        <v>6.0</v>
      </c>
      <c r="S66" s="3">
        <v>7.0</v>
      </c>
      <c r="T66" s="3">
        <v>6.0</v>
      </c>
      <c r="U66" s="3">
        <v>1.0</v>
      </c>
      <c r="V66" s="3">
        <v>1.0</v>
      </c>
      <c r="W66" s="3">
        <v>6.0</v>
      </c>
      <c r="X66" s="3">
        <v>1.0</v>
      </c>
      <c r="Y66" s="3">
        <v>1.0</v>
      </c>
      <c r="Z66" s="3">
        <v>7.0</v>
      </c>
      <c r="AA66" s="3">
        <v>6.0</v>
      </c>
      <c r="AB66" s="3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5.38"/>
    <col customWidth="1" min="3" max="3" width="4.88"/>
    <col customWidth="1" hidden="1" min="4" max="5" width="18.88"/>
    <col customWidth="1" min="6" max="6" width="18.88"/>
    <col customWidth="1" hidden="1" min="7" max="8" width="18.88"/>
    <col customWidth="1" min="9" max="9" width="18.88"/>
    <col customWidth="1" hidden="1" min="10" max="11" width="18.88"/>
    <col customWidth="1" min="12" max="12" width="18.88"/>
    <col customWidth="1" hidden="1" min="13" max="14" width="18.88"/>
    <col customWidth="1" min="15" max="15" width="18.88"/>
    <col customWidth="1" hidden="1" min="16" max="17" width="18.88"/>
    <col customWidth="1" min="18" max="18" width="18.88"/>
    <col customWidth="1" hidden="1" min="19" max="20" width="18.88"/>
    <col customWidth="1" min="21" max="21" width="18.88"/>
    <col customWidth="1" hidden="1" min="22" max="23" width="18.88"/>
    <col customWidth="1" min="24" max="24" width="18.88"/>
    <col customWidth="1" hidden="1" min="25" max="26" width="18.88"/>
    <col customWidth="1" min="27" max="27" width="18.88"/>
    <col customWidth="1" hidden="1" min="28" max="28" width="18.88"/>
    <col customWidth="1" min="29" max="34" width="18.88"/>
  </cols>
  <sheetData>
    <row r="1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15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</row>
    <row r="2">
      <c r="A2" s="2">
        <v>45119.011664861115</v>
      </c>
      <c r="B2" s="3">
        <v>20.0</v>
      </c>
      <c r="C2" s="3" t="s">
        <v>29</v>
      </c>
      <c r="D2" s="3">
        <v>2.0</v>
      </c>
      <c r="E2" s="3">
        <v>5.0</v>
      </c>
      <c r="F2" s="3">
        <v>1.0</v>
      </c>
      <c r="G2" s="3">
        <v>1.0</v>
      </c>
      <c r="H2" s="3">
        <v>5.0</v>
      </c>
      <c r="I2" s="3">
        <v>6.0</v>
      </c>
      <c r="J2" s="3">
        <v>2.0</v>
      </c>
      <c r="K2" s="3">
        <v>7.0</v>
      </c>
      <c r="L2" s="3">
        <v>7.0</v>
      </c>
      <c r="M2" s="3">
        <v>2.0</v>
      </c>
      <c r="N2" s="3">
        <v>7.0</v>
      </c>
      <c r="O2" s="3">
        <v>7.0</v>
      </c>
      <c r="P2" s="3">
        <v>7.0</v>
      </c>
      <c r="Q2" s="3">
        <v>6.0</v>
      </c>
      <c r="R2" s="3">
        <v>7.0</v>
      </c>
      <c r="S2" s="3">
        <v>1.0</v>
      </c>
      <c r="T2" s="3">
        <v>2.0</v>
      </c>
      <c r="U2" s="3">
        <v>7.0</v>
      </c>
      <c r="V2" s="3">
        <v>1.0</v>
      </c>
      <c r="W2" s="3">
        <v>7.0</v>
      </c>
      <c r="X2" s="3">
        <v>3.0</v>
      </c>
      <c r="Y2" s="3">
        <v>7.0</v>
      </c>
      <c r="Z2" s="3">
        <v>6.0</v>
      </c>
      <c r="AA2" s="3">
        <v>5.0</v>
      </c>
      <c r="AB2" s="3">
        <v>5.0</v>
      </c>
    </row>
    <row r="3">
      <c r="A3" s="2">
        <v>45119.34754614583</v>
      </c>
      <c r="B3" s="3">
        <v>25.0</v>
      </c>
      <c r="C3" s="3" t="s">
        <v>29</v>
      </c>
      <c r="D3" s="3">
        <v>7.0</v>
      </c>
      <c r="E3" s="3">
        <v>7.0</v>
      </c>
      <c r="F3" s="3">
        <v>7.0</v>
      </c>
      <c r="G3" s="3">
        <v>1.0</v>
      </c>
      <c r="H3" s="3">
        <v>1.0</v>
      </c>
      <c r="I3" s="3">
        <v>7.0</v>
      </c>
      <c r="J3" s="3">
        <v>4.0</v>
      </c>
      <c r="K3" s="3">
        <v>1.0</v>
      </c>
      <c r="L3" s="3">
        <v>7.0</v>
      </c>
      <c r="M3" s="3">
        <v>1.0</v>
      </c>
      <c r="N3" s="3">
        <v>7.0</v>
      </c>
      <c r="O3" s="3">
        <v>4.0</v>
      </c>
      <c r="P3" s="3">
        <v>7.0</v>
      </c>
      <c r="Q3" s="3">
        <v>7.0</v>
      </c>
      <c r="R3" s="3">
        <v>7.0</v>
      </c>
      <c r="S3" s="3">
        <v>1.0</v>
      </c>
      <c r="T3" s="3">
        <v>1.0</v>
      </c>
      <c r="U3" s="3">
        <v>7.0</v>
      </c>
      <c r="V3" s="3">
        <v>7.0</v>
      </c>
      <c r="W3" s="3">
        <v>7.0</v>
      </c>
      <c r="X3" s="3">
        <v>7.0</v>
      </c>
      <c r="Y3" s="3">
        <v>7.0</v>
      </c>
      <c r="Z3" s="3">
        <v>7.0</v>
      </c>
      <c r="AA3" s="3">
        <v>7.0</v>
      </c>
      <c r="AB3" s="3">
        <v>7.0</v>
      </c>
    </row>
    <row r="4">
      <c r="A4" s="2">
        <v>45119.352898530095</v>
      </c>
      <c r="B4" s="3">
        <v>63.0</v>
      </c>
      <c r="C4" s="3" t="s">
        <v>28</v>
      </c>
      <c r="D4" s="3">
        <v>7.0</v>
      </c>
      <c r="E4" s="3">
        <v>7.0</v>
      </c>
      <c r="F4" s="3">
        <v>7.0</v>
      </c>
      <c r="G4" s="3">
        <v>1.0</v>
      </c>
      <c r="H4" s="3">
        <v>1.0</v>
      </c>
      <c r="I4" s="3">
        <v>7.0</v>
      </c>
      <c r="J4" s="3">
        <v>2.0</v>
      </c>
      <c r="K4" s="3">
        <v>1.0</v>
      </c>
      <c r="L4" s="3">
        <v>7.0</v>
      </c>
      <c r="M4" s="3">
        <v>1.0</v>
      </c>
      <c r="N4" s="3">
        <v>7.0</v>
      </c>
      <c r="O4" s="3">
        <v>1.0</v>
      </c>
      <c r="P4" s="3">
        <v>1.0</v>
      </c>
      <c r="Q4" s="3">
        <v>1.0</v>
      </c>
      <c r="R4" s="3">
        <v>7.0</v>
      </c>
      <c r="S4" s="3">
        <v>2.0</v>
      </c>
      <c r="T4" s="3">
        <v>7.0</v>
      </c>
      <c r="U4" s="3">
        <v>1.0</v>
      </c>
      <c r="V4" s="3">
        <v>6.0</v>
      </c>
      <c r="W4" s="3">
        <v>1.0</v>
      </c>
      <c r="X4" s="3">
        <v>1.0</v>
      </c>
      <c r="Y4" s="3">
        <v>1.0</v>
      </c>
      <c r="Z4" s="3">
        <v>7.0</v>
      </c>
      <c r="AA4" s="3">
        <v>6.0</v>
      </c>
      <c r="AB4" s="3">
        <v>7.0</v>
      </c>
    </row>
    <row r="5">
      <c r="A5" s="2">
        <v>45119.353295925925</v>
      </c>
      <c r="B5" s="3">
        <v>50.0</v>
      </c>
      <c r="C5" s="3" t="s">
        <v>29</v>
      </c>
      <c r="D5" s="3">
        <v>3.0</v>
      </c>
      <c r="E5" s="3">
        <v>6.0</v>
      </c>
      <c r="F5" s="3">
        <v>4.0</v>
      </c>
      <c r="G5" s="3">
        <v>1.0</v>
      </c>
      <c r="H5" s="3">
        <v>1.0</v>
      </c>
      <c r="I5" s="3">
        <v>7.0</v>
      </c>
      <c r="J5" s="3">
        <v>6.0</v>
      </c>
      <c r="K5" s="3">
        <v>1.0</v>
      </c>
      <c r="L5" s="3">
        <v>7.0</v>
      </c>
      <c r="M5" s="3">
        <v>1.0</v>
      </c>
      <c r="N5" s="3">
        <v>7.0</v>
      </c>
      <c r="O5" s="3">
        <v>3.0</v>
      </c>
      <c r="P5" s="3">
        <v>7.0</v>
      </c>
      <c r="Q5" s="3">
        <v>1.0</v>
      </c>
      <c r="R5" s="3">
        <v>6.0</v>
      </c>
      <c r="S5" s="3">
        <v>1.0</v>
      </c>
      <c r="T5" s="3">
        <v>6.0</v>
      </c>
      <c r="U5" s="3">
        <v>5.0</v>
      </c>
      <c r="V5" s="3">
        <v>6.0</v>
      </c>
      <c r="W5" s="3">
        <v>1.0</v>
      </c>
      <c r="X5" s="3">
        <v>6.0</v>
      </c>
      <c r="Y5" s="3">
        <v>2.0</v>
      </c>
      <c r="Z5" s="3">
        <v>7.0</v>
      </c>
      <c r="AA5" s="3">
        <v>7.0</v>
      </c>
      <c r="AB5" s="3">
        <v>5.0</v>
      </c>
    </row>
    <row r="6">
      <c r="A6" s="2">
        <v>45119.357686539355</v>
      </c>
      <c r="B6" s="3">
        <v>64.0</v>
      </c>
      <c r="C6" s="3" t="s">
        <v>29</v>
      </c>
      <c r="D6" s="3">
        <v>6.0</v>
      </c>
      <c r="E6" s="3">
        <v>6.0</v>
      </c>
      <c r="F6" s="3">
        <v>6.0</v>
      </c>
      <c r="G6" s="3">
        <v>1.0</v>
      </c>
      <c r="H6" s="3">
        <v>1.0</v>
      </c>
      <c r="I6" s="3">
        <v>7.0</v>
      </c>
      <c r="J6" s="3">
        <v>4.0</v>
      </c>
      <c r="K6" s="3">
        <v>1.0</v>
      </c>
      <c r="L6" s="3">
        <v>2.0</v>
      </c>
      <c r="M6" s="3">
        <v>2.0</v>
      </c>
      <c r="N6" s="3">
        <v>3.0</v>
      </c>
      <c r="O6" s="3">
        <v>1.0</v>
      </c>
      <c r="P6" s="3">
        <v>1.0</v>
      </c>
      <c r="Q6" s="3">
        <v>1.0</v>
      </c>
      <c r="R6" s="3">
        <v>1.0</v>
      </c>
      <c r="S6" s="3">
        <v>1.0</v>
      </c>
      <c r="T6" s="3">
        <v>1.0</v>
      </c>
      <c r="U6" s="3">
        <v>1.0</v>
      </c>
      <c r="V6" s="3">
        <v>1.0</v>
      </c>
      <c r="W6" s="3">
        <v>1.0</v>
      </c>
      <c r="X6" s="3">
        <v>1.0</v>
      </c>
      <c r="Y6" s="3">
        <v>3.0</v>
      </c>
      <c r="Z6" s="3">
        <v>2.0</v>
      </c>
      <c r="AA6" s="3">
        <v>7.0</v>
      </c>
      <c r="AB6" s="3">
        <v>3.0</v>
      </c>
    </row>
    <row r="7">
      <c r="A7" s="2">
        <v>45119.35811042824</v>
      </c>
      <c r="B7" s="3">
        <v>28.0</v>
      </c>
      <c r="C7" s="3" t="s">
        <v>29</v>
      </c>
      <c r="D7" s="3">
        <v>5.0</v>
      </c>
      <c r="E7" s="3">
        <v>7.0</v>
      </c>
      <c r="F7" s="3">
        <v>7.0</v>
      </c>
      <c r="G7" s="3">
        <v>1.0</v>
      </c>
      <c r="H7" s="3">
        <v>1.0</v>
      </c>
      <c r="I7" s="3">
        <v>7.0</v>
      </c>
      <c r="J7" s="3">
        <v>3.0</v>
      </c>
      <c r="K7" s="3">
        <v>1.0</v>
      </c>
      <c r="L7" s="3">
        <v>7.0</v>
      </c>
      <c r="M7" s="3">
        <v>3.0</v>
      </c>
      <c r="N7" s="3">
        <v>5.0</v>
      </c>
      <c r="O7" s="3">
        <v>3.0</v>
      </c>
      <c r="P7" s="3">
        <v>6.0</v>
      </c>
      <c r="Q7" s="3">
        <v>1.0</v>
      </c>
      <c r="R7" s="3">
        <v>5.0</v>
      </c>
      <c r="S7" s="3">
        <v>1.0</v>
      </c>
      <c r="T7" s="3">
        <v>6.0</v>
      </c>
      <c r="U7" s="3">
        <v>5.0</v>
      </c>
      <c r="V7" s="3">
        <v>5.0</v>
      </c>
      <c r="W7" s="3">
        <v>2.0</v>
      </c>
      <c r="X7" s="3">
        <v>5.0</v>
      </c>
      <c r="Y7" s="3">
        <v>7.0</v>
      </c>
      <c r="Z7" s="3">
        <v>2.0</v>
      </c>
      <c r="AA7" s="3">
        <v>7.0</v>
      </c>
      <c r="AB7" s="3">
        <v>3.0</v>
      </c>
    </row>
    <row r="8">
      <c r="A8" s="2">
        <v>45119.36094368056</v>
      </c>
      <c r="B8" s="3">
        <v>59.0</v>
      </c>
      <c r="C8" s="3" t="s">
        <v>28</v>
      </c>
      <c r="D8" s="3">
        <v>6.0</v>
      </c>
      <c r="E8" s="3">
        <v>4.0</v>
      </c>
      <c r="F8" s="3">
        <v>1.0</v>
      </c>
      <c r="G8" s="3">
        <v>1.0</v>
      </c>
      <c r="H8" s="3">
        <v>1.0</v>
      </c>
      <c r="I8" s="3">
        <v>7.0</v>
      </c>
      <c r="J8" s="3">
        <v>1.0</v>
      </c>
      <c r="K8" s="3">
        <v>1.0</v>
      </c>
      <c r="L8" s="3">
        <v>6.0</v>
      </c>
      <c r="M8" s="3">
        <v>1.0</v>
      </c>
      <c r="N8" s="3">
        <v>5.0</v>
      </c>
      <c r="O8" s="3">
        <v>2.0</v>
      </c>
      <c r="P8" s="3">
        <v>1.0</v>
      </c>
      <c r="Q8" s="3">
        <v>1.0</v>
      </c>
      <c r="R8" s="3">
        <v>7.0</v>
      </c>
      <c r="S8" s="3">
        <v>1.0</v>
      </c>
      <c r="T8" s="3">
        <v>1.0</v>
      </c>
      <c r="U8" s="3">
        <v>6.0</v>
      </c>
      <c r="V8" s="3">
        <v>2.0</v>
      </c>
      <c r="W8" s="3">
        <v>1.0</v>
      </c>
      <c r="X8" s="3">
        <v>1.0</v>
      </c>
      <c r="Y8" s="3">
        <v>1.0</v>
      </c>
      <c r="Z8" s="3">
        <v>6.0</v>
      </c>
      <c r="AA8" s="3">
        <v>7.0</v>
      </c>
      <c r="AB8" s="3">
        <v>6.0</v>
      </c>
    </row>
    <row r="9">
      <c r="A9" s="2">
        <v>45119.3628462037</v>
      </c>
      <c r="B9" s="3">
        <v>69.0</v>
      </c>
      <c r="C9" s="3" t="s">
        <v>29</v>
      </c>
      <c r="D9" s="3">
        <v>7.0</v>
      </c>
      <c r="E9" s="3">
        <v>7.0</v>
      </c>
      <c r="F9" s="3">
        <v>5.0</v>
      </c>
      <c r="G9" s="3">
        <v>1.0</v>
      </c>
      <c r="H9" s="3">
        <v>1.0</v>
      </c>
      <c r="I9" s="3">
        <v>7.0</v>
      </c>
      <c r="J9" s="3">
        <v>1.0</v>
      </c>
      <c r="K9" s="3">
        <v>1.0</v>
      </c>
      <c r="L9" s="3">
        <v>7.0</v>
      </c>
      <c r="M9" s="3">
        <v>1.0</v>
      </c>
      <c r="N9" s="3">
        <v>1.0</v>
      </c>
      <c r="O9" s="3">
        <v>7.0</v>
      </c>
      <c r="P9" s="3">
        <v>1.0</v>
      </c>
      <c r="Q9" s="3">
        <v>1.0</v>
      </c>
      <c r="R9" s="3">
        <v>7.0</v>
      </c>
      <c r="S9" s="3">
        <v>1.0</v>
      </c>
      <c r="T9" s="3">
        <v>1.0</v>
      </c>
      <c r="U9" s="3">
        <v>7.0</v>
      </c>
      <c r="V9" s="3">
        <v>3.0</v>
      </c>
      <c r="W9" s="3">
        <v>1.0</v>
      </c>
      <c r="X9" s="3">
        <v>6.0</v>
      </c>
      <c r="Y9" s="3">
        <v>1.0</v>
      </c>
      <c r="Z9" s="3">
        <v>7.0</v>
      </c>
      <c r="AA9" s="3">
        <v>7.0</v>
      </c>
      <c r="AB9" s="3">
        <v>7.0</v>
      </c>
    </row>
    <row r="10">
      <c r="A10" s="2">
        <v>45119.369078958334</v>
      </c>
      <c r="B10" s="3">
        <v>51.0</v>
      </c>
      <c r="C10" s="3" t="s">
        <v>29</v>
      </c>
      <c r="D10" s="3">
        <v>1.0</v>
      </c>
      <c r="E10" s="3">
        <v>4.0</v>
      </c>
      <c r="F10" s="3">
        <v>1.0</v>
      </c>
      <c r="G10" s="3">
        <v>1.0</v>
      </c>
      <c r="H10" s="3">
        <v>1.0</v>
      </c>
      <c r="I10" s="3">
        <v>7.0</v>
      </c>
      <c r="J10" s="3">
        <v>7.0</v>
      </c>
      <c r="K10" s="3">
        <v>1.0</v>
      </c>
      <c r="L10" s="3">
        <v>7.0</v>
      </c>
      <c r="M10" s="3">
        <v>1.0</v>
      </c>
      <c r="N10" s="3">
        <v>7.0</v>
      </c>
      <c r="O10" s="3">
        <v>1.0</v>
      </c>
      <c r="P10" s="3">
        <v>1.0</v>
      </c>
      <c r="Q10" s="3">
        <v>7.0</v>
      </c>
      <c r="R10" s="3">
        <v>1.0</v>
      </c>
      <c r="S10" s="3">
        <v>1.0</v>
      </c>
      <c r="T10" s="3">
        <v>1.0</v>
      </c>
      <c r="U10" s="3">
        <v>7.0</v>
      </c>
      <c r="V10" s="3">
        <v>1.0</v>
      </c>
      <c r="W10" s="3">
        <v>6.0</v>
      </c>
      <c r="X10" s="3">
        <v>1.0</v>
      </c>
      <c r="Y10" s="3">
        <v>1.0</v>
      </c>
      <c r="Z10" s="3">
        <v>7.0</v>
      </c>
      <c r="AA10" s="3">
        <v>7.0</v>
      </c>
      <c r="AB10" s="3">
        <v>7.0</v>
      </c>
    </row>
    <row r="11">
      <c r="A11" s="2">
        <v>45119.36913475694</v>
      </c>
      <c r="B11" s="3">
        <v>57.0</v>
      </c>
      <c r="C11" s="3" t="s">
        <v>29</v>
      </c>
      <c r="D11" s="3">
        <v>6.0</v>
      </c>
      <c r="E11" s="3">
        <v>6.0</v>
      </c>
      <c r="F11" s="3">
        <v>1.0</v>
      </c>
      <c r="G11" s="3">
        <v>1.0</v>
      </c>
      <c r="H11" s="3">
        <v>1.0</v>
      </c>
      <c r="I11" s="3">
        <v>6.0</v>
      </c>
      <c r="J11" s="3">
        <v>1.0</v>
      </c>
      <c r="K11" s="3">
        <v>1.0</v>
      </c>
      <c r="L11" s="3">
        <v>6.0</v>
      </c>
      <c r="M11" s="3">
        <v>1.0</v>
      </c>
      <c r="N11" s="3">
        <v>6.0</v>
      </c>
      <c r="O11" s="3">
        <v>6.0</v>
      </c>
      <c r="P11" s="3">
        <v>2.0</v>
      </c>
      <c r="Q11" s="3">
        <v>6.0</v>
      </c>
      <c r="R11" s="3">
        <v>6.0</v>
      </c>
      <c r="S11" s="3">
        <v>1.0</v>
      </c>
      <c r="T11" s="3">
        <v>2.0</v>
      </c>
      <c r="U11" s="3">
        <v>4.0</v>
      </c>
      <c r="V11" s="3">
        <v>4.0</v>
      </c>
      <c r="W11" s="3">
        <v>6.0</v>
      </c>
      <c r="X11" s="3">
        <v>2.0</v>
      </c>
      <c r="Y11" s="3">
        <v>6.0</v>
      </c>
      <c r="Z11" s="3">
        <v>6.0</v>
      </c>
      <c r="AA11" s="3">
        <v>6.0</v>
      </c>
      <c r="AB11" s="3">
        <v>6.0</v>
      </c>
    </row>
    <row r="12">
      <c r="A12" s="2">
        <v>45119.3722175</v>
      </c>
      <c r="B12" s="3">
        <v>59.0</v>
      </c>
      <c r="C12" s="3" t="s">
        <v>28</v>
      </c>
      <c r="D12" s="3">
        <v>6.0</v>
      </c>
      <c r="E12" s="3">
        <v>6.0</v>
      </c>
      <c r="F12" s="3">
        <v>2.0</v>
      </c>
      <c r="G12" s="3">
        <v>1.0</v>
      </c>
      <c r="H12" s="3">
        <v>1.0</v>
      </c>
      <c r="I12" s="3">
        <v>6.0</v>
      </c>
      <c r="J12" s="3">
        <v>1.0</v>
      </c>
      <c r="K12" s="3">
        <v>1.0</v>
      </c>
      <c r="L12" s="3">
        <v>6.0</v>
      </c>
      <c r="M12" s="3">
        <v>1.0</v>
      </c>
      <c r="N12" s="3">
        <v>6.0</v>
      </c>
      <c r="O12" s="3">
        <v>1.0</v>
      </c>
      <c r="P12" s="3">
        <v>1.0</v>
      </c>
      <c r="Q12" s="3">
        <v>1.0</v>
      </c>
      <c r="R12" s="3">
        <v>1.0</v>
      </c>
      <c r="S12" s="3">
        <v>1.0</v>
      </c>
      <c r="T12" s="3">
        <v>1.0</v>
      </c>
      <c r="U12" s="3">
        <v>1.0</v>
      </c>
      <c r="V12" s="3">
        <v>1.0</v>
      </c>
      <c r="W12" s="3">
        <v>1.0</v>
      </c>
      <c r="X12" s="3">
        <v>1.0</v>
      </c>
      <c r="Y12" s="3">
        <v>1.0</v>
      </c>
      <c r="Z12" s="3">
        <v>6.0</v>
      </c>
      <c r="AA12" s="3">
        <v>6.0</v>
      </c>
      <c r="AB12" s="3">
        <v>6.0</v>
      </c>
    </row>
    <row r="13">
      <c r="A13" s="2">
        <v>45119.37323671296</v>
      </c>
      <c r="B13" s="3">
        <v>57.0</v>
      </c>
      <c r="C13" s="3" t="s">
        <v>29</v>
      </c>
      <c r="D13" s="3">
        <v>6.0</v>
      </c>
      <c r="E13" s="3">
        <v>7.0</v>
      </c>
      <c r="F13" s="3">
        <v>7.0</v>
      </c>
      <c r="G13" s="3">
        <v>1.0</v>
      </c>
      <c r="H13" s="3">
        <v>1.0</v>
      </c>
      <c r="I13" s="3">
        <v>7.0</v>
      </c>
      <c r="J13" s="3">
        <v>2.0</v>
      </c>
      <c r="K13" s="3">
        <v>1.0</v>
      </c>
      <c r="L13" s="3">
        <v>7.0</v>
      </c>
      <c r="M13" s="3">
        <v>5.0</v>
      </c>
      <c r="N13" s="3">
        <v>7.0</v>
      </c>
      <c r="O13" s="3">
        <v>6.0</v>
      </c>
      <c r="P13" s="3">
        <v>1.0</v>
      </c>
      <c r="Q13" s="3">
        <v>1.0</v>
      </c>
      <c r="R13" s="3">
        <v>6.0</v>
      </c>
      <c r="S13" s="3">
        <v>2.0</v>
      </c>
      <c r="T13" s="3">
        <v>6.0</v>
      </c>
      <c r="U13" s="3">
        <v>6.0</v>
      </c>
      <c r="V13" s="3">
        <v>7.0</v>
      </c>
      <c r="W13" s="3">
        <v>2.0</v>
      </c>
      <c r="X13" s="3">
        <v>2.0</v>
      </c>
      <c r="Y13" s="3">
        <v>6.0</v>
      </c>
      <c r="Z13" s="3">
        <v>2.0</v>
      </c>
      <c r="AA13" s="3">
        <v>6.0</v>
      </c>
      <c r="AB13" s="3">
        <v>6.0</v>
      </c>
    </row>
    <row r="14">
      <c r="A14" s="2">
        <v>45119.37482899305</v>
      </c>
      <c r="B14" s="3">
        <v>48.0</v>
      </c>
      <c r="C14" s="3" t="s">
        <v>29</v>
      </c>
      <c r="D14" s="3">
        <v>2.0</v>
      </c>
      <c r="E14" s="3">
        <v>6.0</v>
      </c>
      <c r="F14" s="3">
        <v>3.0</v>
      </c>
      <c r="G14" s="3">
        <v>1.0</v>
      </c>
      <c r="H14" s="3">
        <v>1.0</v>
      </c>
      <c r="I14" s="3">
        <v>4.0</v>
      </c>
      <c r="J14" s="3">
        <v>3.0</v>
      </c>
      <c r="K14" s="3">
        <v>1.0</v>
      </c>
      <c r="L14" s="3">
        <v>7.0</v>
      </c>
      <c r="M14" s="3">
        <v>5.0</v>
      </c>
      <c r="N14" s="3">
        <v>6.0</v>
      </c>
      <c r="O14" s="3">
        <v>7.0</v>
      </c>
      <c r="P14" s="3">
        <v>1.0</v>
      </c>
      <c r="Q14" s="3">
        <v>1.0</v>
      </c>
      <c r="R14" s="3">
        <v>6.0</v>
      </c>
      <c r="S14" s="3">
        <v>1.0</v>
      </c>
      <c r="T14" s="3">
        <v>2.0</v>
      </c>
      <c r="U14" s="3">
        <v>3.0</v>
      </c>
      <c r="V14" s="3">
        <v>5.0</v>
      </c>
      <c r="W14" s="3">
        <v>2.0</v>
      </c>
      <c r="X14" s="3">
        <v>1.0</v>
      </c>
      <c r="Y14" s="3">
        <v>6.0</v>
      </c>
      <c r="Z14" s="3">
        <v>6.0</v>
      </c>
      <c r="AA14" s="3">
        <v>6.0</v>
      </c>
      <c r="AB14" s="3">
        <v>3.0</v>
      </c>
    </row>
    <row r="15">
      <c r="A15" s="2">
        <v>45119.379084305554</v>
      </c>
      <c r="B15" s="3">
        <v>52.0</v>
      </c>
      <c r="C15" s="3" t="s">
        <v>28</v>
      </c>
      <c r="D15" s="3">
        <v>1.0</v>
      </c>
      <c r="E15" s="3">
        <v>1.0</v>
      </c>
      <c r="F15" s="3">
        <v>1.0</v>
      </c>
      <c r="G15" s="3">
        <v>1.0</v>
      </c>
      <c r="H15" s="3">
        <v>1.0</v>
      </c>
      <c r="I15" s="3">
        <v>1.0</v>
      </c>
      <c r="J15" s="3">
        <v>1.0</v>
      </c>
      <c r="K15" s="3">
        <v>1.0</v>
      </c>
      <c r="L15" s="3">
        <v>7.0</v>
      </c>
      <c r="M15" s="3">
        <v>1.0</v>
      </c>
      <c r="N15" s="3">
        <v>7.0</v>
      </c>
      <c r="O15" s="3">
        <v>5.0</v>
      </c>
      <c r="P15" s="3">
        <v>1.0</v>
      </c>
      <c r="Q15" s="3">
        <v>1.0</v>
      </c>
      <c r="R15" s="3">
        <v>7.0</v>
      </c>
      <c r="S15" s="3">
        <v>1.0</v>
      </c>
      <c r="T15" s="3">
        <v>7.0</v>
      </c>
      <c r="U15" s="3">
        <v>1.0</v>
      </c>
      <c r="V15" s="3">
        <v>1.0</v>
      </c>
      <c r="W15" s="3">
        <v>1.0</v>
      </c>
      <c r="X15" s="3">
        <v>2.0</v>
      </c>
      <c r="Y15" s="3">
        <v>1.0</v>
      </c>
      <c r="Z15" s="3">
        <v>7.0</v>
      </c>
      <c r="AA15" s="3">
        <v>7.0</v>
      </c>
      <c r="AB15" s="3">
        <v>1.0</v>
      </c>
    </row>
    <row r="16">
      <c r="A16" s="2">
        <v>45119.37959329861</v>
      </c>
      <c r="B16" s="3">
        <v>47.0</v>
      </c>
      <c r="C16" s="3" t="s">
        <v>29</v>
      </c>
      <c r="D16" s="3">
        <v>5.0</v>
      </c>
      <c r="E16" s="3">
        <v>7.0</v>
      </c>
      <c r="F16" s="3">
        <v>2.0</v>
      </c>
      <c r="G16" s="3">
        <v>1.0</v>
      </c>
      <c r="H16" s="3">
        <v>1.0</v>
      </c>
      <c r="I16" s="3">
        <v>7.0</v>
      </c>
      <c r="J16" s="3">
        <v>3.0</v>
      </c>
      <c r="K16" s="3">
        <v>1.0</v>
      </c>
      <c r="L16" s="3">
        <v>7.0</v>
      </c>
      <c r="M16" s="3">
        <v>2.0</v>
      </c>
      <c r="N16" s="3">
        <v>2.0</v>
      </c>
      <c r="O16" s="3">
        <v>1.0</v>
      </c>
      <c r="P16" s="3">
        <v>2.0</v>
      </c>
      <c r="Q16" s="3">
        <v>1.0</v>
      </c>
      <c r="R16" s="3">
        <v>7.0</v>
      </c>
      <c r="S16" s="3">
        <v>1.0</v>
      </c>
      <c r="T16" s="3">
        <v>2.0</v>
      </c>
      <c r="U16" s="3">
        <v>7.0</v>
      </c>
      <c r="V16" s="3">
        <v>7.0</v>
      </c>
      <c r="W16" s="3">
        <v>1.0</v>
      </c>
      <c r="X16" s="3">
        <v>2.0</v>
      </c>
      <c r="Y16" s="3">
        <v>7.0</v>
      </c>
      <c r="Z16" s="3">
        <v>3.0</v>
      </c>
      <c r="AA16" s="3">
        <v>7.0</v>
      </c>
      <c r="AB16" s="3">
        <v>1.0</v>
      </c>
    </row>
    <row r="17">
      <c r="A17" s="2">
        <v>45119.38034935185</v>
      </c>
      <c r="B17" s="3">
        <v>49.0</v>
      </c>
      <c r="C17" s="3" t="s">
        <v>29</v>
      </c>
      <c r="D17" s="3">
        <v>5.0</v>
      </c>
      <c r="E17" s="3">
        <v>2.0</v>
      </c>
      <c r="F17" s="3">
        <v>7.0</v>
      </c>
      <c r="G17" s="3">
        <v>2.0</v>
      </c>
      <c r="H17" s="3">
        <v>3.0</v>
      </c>
      <c r="I17" s="3">
        <v>5.0</v>
      </c>
      <c r="J17" s="3">
        <v>2.0</v>
      </c>
      <c r="K17" s="3">
        <v>1.0</v>
      </c>
      <c r="L17" s="3">
        <v>7.0</v>
      </c>
      <c r="M17" s="3">
        <v>2.0</v>
      </c>
      <c r="N17" s="3">
        <v>5.0</v>
      </c>
      <c r="O17" s="3">
        <v>1.0</v>
      </c>
      <c r="P17" s="3">
        <v>1.0</v>
      </c>
      <c r="Q17" s="3">
        <v>1.0</v>
      </c>
      <c r="R17" s="3">
        <v>7.0</v>
      </c>
      <c r="S17" s="3">
        <v>1.0</v>
      </c>
      <c r="T17" s="3">
        <v>1.0</v>
      </c>
      <c r="U17" s="3">
        <v>3.0</v>
      </c>
      <c r="V17" s="3">
        <v>7.0</v>
      </c>
      <c r="W17" s="3">
        <v>2.0</v>
      </c>
      <c r="X17" s="3">
        <v>5.0</v>
      </c>
      <c r="Y17" s="3">
        <v>1.0</v>
      </c>
      <c r="Z17" s="3">
        <v>7.0</v>
      </c>
      <c r="AA17" s="3">
        <v>7.0</v>
      </c>
      <c r="AB17" s="3">
        <v>1.0</v>
      </c>
    </row>
    <row r="18">
      <c r="A18" s="2">
        <v>45119.381745335646</v>
      </c>
      <c r="B18" s="3">
        <v>39.0</v>
      </c>
      <c r="C18" s="3" t="s">
        <v>29</v>
      </c>
      <c r="D18" s="3">
        <v>3.0</v>
      </c>
      <c r="E18" s="3">
        <v>7.0</v>
      </c>
      <c r="F18" s="3">
        <v>6.0</v>
      </c>
      <c r="G18" s="3">
        <v>1.0</v>
      </c>
      <c r="H18" s="3">
        <v>2.0</v>
      </c>
      <c r="I18" s="3">
        <v>7.0</v>
      </c>
      <c r="J18" s="3">
        <v>2.0</v>
      </c>
      <c r="K18" s="3">
        <v>1.0</v>
      </c>
      <c r="L18" s="3">
        <v>7.0</v>
      </c>
      <c r="M18" s="3">
        <v>4.0</v>
      </c>
      <c r="N18" s="3">
        <v>5.0</v>
      </c>
      <c r="O18" s="3">
        <v>1.0</v>
      </c>
      <c r="P18" s="3">
        <v>4.0</v>
      </c>
      <c r="Q18" s="3">
        <v>6.0</v>
      </c>
      <c r="R18" s="3">
        <v>7.0</v>
      </c>
      <c r="S18" s="3">
        <v>3.0</v>
      </c>
      <c r="T18" s="3">
        <v>6.0</v>
      </c>
      <c r="U18" s="3">
        <v>7.0</v>
      </c>
      <c r="V18" s="3">
        <v>7.0</v>
      </c>
      <c r="W18" s="3">
        <v>4.0</v>
      </c>
      <c r="X18" s="3">
        <v>2.0</v>
      </c>
      <c r="Y18" s="3">
        <v>1.0</v>
      </c>
      <c r="Z18" s="3">
        <v>7.0</v>
      </c>
      <c r="AA18" s="3">
        <v>7.0</v>
      </c>
      <c r="AB18" s="3">
        <v>6.0</v>
      </c>
    </row>
    <row r="19">
      <c r="A19" s="2">
        <v>45119.38208030093</v>
      </c>
      <c r="B19" s="3">
        <v>57.0</v>
      </c>
      <c r="C19" s="3" t="s">
        <v>29</v>
      </c>
      <c r="D19" s="3">
        <v>7.0</v>
      </c>
      <c r="E19" s="3">
        <v>7.0</v>
      </c>
      <c r="F19" s="3">
        <v>7.0</v>
      </c>
      <c r="G19" s="3">
        <v>1.0</v>
      </c>
      <c r="H19" s="3">
        <v>1.0</v>
      </c>
      <c r="I19" s="3">
        <v>7.0</v>
      </c>
      <c r="J19" s="3">
        <v>7.0</v>
      </c>
      <c r="K19" s="3">
        <v>1.0</v>
      </c>
      <c r="L19" s="3">
        <v>7.0</v>
      </c>
      <c r="M19" s="3">
        <v>3.0</v>
      </c>
      <c r="N19" s="3">
        <v>7.0</v>
      </c>
      <c r="O19" s="3">
        <v>3.0</v>
      </c>
      <c r="P19" s="3">
        <v>2.0</v>
      </c>
      <c r="Q19" s="3">
        <v>1.0</v>
      </c>
      <c r="R19" s="3">
        <v>7.0</v>
      </c>
      <c r="S19" s="3">
        <v>4.0</v>
      </c>
      <c r="T19" s="3">
        <v>3.0</v>
      </c>
      <c r="U19" s="3">
        <v>3.0</v>
      </c>
      <c r="V19" s="3">
        <v>7.0</v>
      </c>
      <c r="W19" s="3">
        <v>1.0</v>
      </c>
      <c r="X19" s="3">
        <v>5.0</v>
      </c>
      <c r="Y19" s="3">
        <v>7.0</v>
      </c>
      <c r="Z19" s="3">
        <v>6.0</v>
      </c>
      <c r="AA19" s="3">
        <v>7.0</v>
      </c>
      <c r="AB19" s="3">
        <v>6.0</v>
      </c>
    </row>
    <row r="20">
      <c r="A20" s="2">
        <v>45119.38310423611</v>
      </c>
      <c r="B20" s="3">
        <v>35.0</v>
      </c>
      <c r="C20" s="3" t="s">
        <v>29</v>
      </c>
      <c r="D20" s="3">
        <v>6.0</v>
      </c>
      <c r="E20" s="3">
        <v>5.0</v>
      </c>
      <c r="F20" s="3">
        <v>2.0</v>
      </c>
      <c r="G20" s="3">
        <v>1.0</v>
      </c>
      <c r="H20" s="3">
        <v>1.0</v>
      </c>
      <c r="I20" s="3">
        <v>6.0</v>
      </c>
      <c r="J20" s="3">
        <v>5.0</v>
      </c>
      <c r="K20" s="3">
        <v>1.0</v>
      </c>
      <c r="L20" s="3">
        <v>6.0</v>
      </c>
      <c r="M20" s="3">
        <v>2.0</v>
      </c>
      <c r="N20" s="3">
        <v>6.0</v>
      </c>
      <c r="O20" s="3">
        <v>1.0</v>
      </c>
      <c r="P20" s="3">
        <v>6.0</v>
      </c>
      <c r="Q20" s="3">
        <v>1.0</v>
      </c>
      <c r="R20" s="3">
        <v>7.0</v>
      </c>
      <c r="S20" s="3">
        <v>1.0</v>
      </c>
      <c r="T20" s="3">
        <v>1.0</v>
      </c>
      <c r="U20" s="3">
        <v>2.0</v>
      </c>
      <c r="V20" s="3">
        <v>2.0</v>
      </c>
      <c r="W20" s="3">
        <v>5.0</v>
      </c>
      <c r="X20" s="3">
        <v>2.0</v>
      </c>
      <c r="Y20" s="3">
        <v>1.0</v>
      </c>
      <c r="Z20" s="3">
        <v>6.0</v>
      </c>
      <c r="AA20" s="3">
        <v>6.0</v>
      </c>
      <c r="AB20" s="3">
        <v>1.0</v>
      </c>
    </row>
    <row r="21">
      <c r="A21" s="2">
        <v>45119.38429159722</v>
      </c>
      <c r="B21" s="3">
        <v>44.0</v>
      </c>
      <c r="C21" s="3" t="s">
        <v>29</v>
      </c>
      <c r="D21" s="3">
        <v>7.0</v>
      </c>
      <c r="E21" s="3">
        <v>7.0</v>
      </c>
      <c r="F21" s="3">
        <v>7.0</v>
      </c>
      <c r="G21" s="3">
        <v>1.0</v>
      </c>
      <c r="H21" s="3">
        <v>1.0</v>
      </c>
      <c r="I21" s="3">
        <v>7.0</v>
      </c>
      <c r="J21" s="3">
        <v>5.0</v>
      </c>
      <c r="K21" s="3">
        <v>1.0</v>
      </c>
      <c r="L21" s="3">
        <v>7.0</v>
      </c>
      <c r="M21" s="3">
        <v>5.0</v>
      </c>
      <c r="N21" s="3">
        <v>1.0</v>
      </c>
      <c r="O21" s="3">
        <v>3.0</v>
      </c>
      <c r="P21" s="3">
        <v>1.0</v>
      </c>
      <c r="Q21" s="3">
        <v>1.0</v>
      </c>
      <c r="R21" s="3">
        <v>7.0</v>
      </c>
      <c r="S21" s="3">
        <v>1.0</v>
      </c>
      <c r="T21" s="3">
        <v>6.0</v>
      </c>
      <c r="U21" s="3">
        <v>6.0</v>
      </c>
      <c r="V21" s="3">
        <v>5.0</v>
      </c>
      <c r="W21" s="3">
        <v>1.0</v>
      </c>
      <c r="X21" s="3">
        <v>2.0</v>
      </c>
      <c r="Y21" s="3">
        <v>5.0</v>
      </c>
      <c r="Z21" s="3">
        <v>7.0</v>
      </c>
      <c r="AA21" s="3">
        <v>7.0</v>
      </c>
      <c r="AB21" s="3">
        <v>7.0</v>
      </c>
    </row>
    <row r="22">
      <c r="A22" s="2">
        <v>45119.38626506944</v>
      </c>
      <c r="B22" s="3">
        <v>58.0</v>
      </c>
      <c r="C22" s="3" t="s">
        <v>29</v>
      </c>
      <c r="D22" s="3">
        <v>1.0</v>
      </c>
      <c r="E22" s="3">
        <v>7.0</v>
      </c>
      <c r="F22" s="3">
        <v>5.0</v>
      </c>
      <c r="G22" s="3">
        <v>1.0</v>
      </c>
      <c r="H22" s="3">
        <v>1.0</v>
      </c>
      <c r="I22" s="3">
        <v>7.0</v>
      </c>
      <c r="J22" s="3">
        <v>2.0</v>
      </c>
      <c r="K22" s="3">
        <v>1.0</v>
      </c>
      <c r="L22" s="3">
        <v>7.0</v>
      </c>
      <c r="M22" s="3">
        <v>6.0</v>
      </c>
      <c r="N22" s="3">
        <v>7.0</v>
      </c>
      <c r="O22" s="3">
        <v>7.0</v>
      </c>
      <c r="P22" s="3">
        <v>1.0</v>
      </c>
      <c r="Q22" s="3">
        <v>1.0</v>
      </c>
      <c r="R22" s="3">
        <v>5.0</v>
      </c>
      <c r="S22" s="3">
        <v>1.0</v>
      </c>
      <c r="T22" s="3">
        <v>7.0</v>
      </c>
      <c r="U22" s="3">
        <v>7.0</v>
      </c>
      <c r="V22" s="3">
        <v>7.0</v>
      </c>
      <c r="W22" s="3">
        <v>1.0</v>
      </c>
      <c r="X22" s="3">
        <v>1.0</v>
      </c>
      <c r="Y22" s="3">
        <v>5.0</v>
      </c>
      <c r="Z22" s="3">
        <v>7.0</v>
      </c>
      <c r="AA22" s="3">
        <v>7.0</v>
      </c>
      <c r="AB22" s="3">
        <v>7.0</v>
      </c>
    </row>
    <row r="23">
      <c r="A23" s="2">
        <v>45119.38934112269</v>
      </c>
      <c r="B23" s="3">
        <v>47.0</v>
      </c>
      <c r="C23" s="3" t="s">
        <v>29</v>
      </c>
      <c r="D23" s="3">
        <v>7.0</v>
      </c>
      <c r="E23" s="3">
        <v>7.0</v>
      </c>
      <c r="F23" s="3">
        <v>7.0</v>
      </c>
      <c r="G23" s="3">
        <v>1.0</v>
      </c>
      <c r="H23" s="3">
        <v>2.0</v>
      </c>
      <c r="I23" s="3">
        <v>7.0</v>
      </c>
      <c r="J23" s="3">
        <v>4.0</v>
      </c>
      <c r="K23" s="3">
        <v>1.0</v>
      </c>
      <c r="L23" s="3">
        <v>6.0</v>
      </c>
      <c r="M23" s="3">
        <v>4.0</v>
      </c>
      <c r="N23" s="3">
        <v>1.0</v>
      </c>
      <c r="O23" s="3">
        <v>3.0</v>
      </c>
      <c r="P23" s="3">
        <v>5.0</v>
      </c>
      <c r="Q23" s="3">
        <v>2.0</v>
      </c>
      <c r="R23" s="3">
        <v>7.0</v>
      </c>
      <c r="S23" s="3">
        <v>2.0</v>
      </c>
      <c r="T23" s="3">
        <v>4.0</v>
      </c>
      <c r="U23" s="3">
        <v>6.0</v>
      </c>
      <c r="V23" s="3">
        <v>6.0</v>
      </c>
      <c r="W23" s="3">
        <v>2.0</v>
      </c>
      <c r="X23" s="3">
        <v>2.0</v>
      </c>
      <c r="Y23" s="3">
        <v>6.0</v>
      </c>
      <c r="Z23" s="3">
        <v>7.0</v>
      </c>
      <c r="AA23" s="3">
        <v>7.0</v>
      </c>
      <c r="AB23" s="3">
        <v>7.0</v>
      </c>
    </row>
    <row r="24">
      <c r="A24" s="2">
        <v>45119.391106875</v>
      </c>
      <c r="B24" s="3">
        <v>49.0</v>
      </c>
      <c r="C24" s="3" t="s">
        <v>29</v>
      </c>
      <c r="D24" s="3">
        <v>1.0</v>
      </c>
      <c r="E24" s="3">
        <v>1.0</v>
      </c>
      <c r="F24" s="3">
        <v>4.0</v>
      </c>
      <c r="G24" s="3">
        <v>1.0</v>
      </c>
      <c r="H24" s="3">
        <v>1.0</v>
      </c>
      <c r="I24" s="3">
        <v>4.0</v>
      </c>
      <c r="J24" s="3">
        <v>1.0</v>
      </c>
      <c r="K24" s="3">
        <v>1.0</v>
      </c>
      <c r="L24" s="3">
        <v>6.0</v>
      </c>
      <c r="M24" s="3">
        <v>6.0</v>
      </c>
      <c r="N24" s="3">
        <v>6.0</v>
      </c>
      <c r="O24" s="3">
        <v>6.0</v>
      </c>
      <c r="P24" s="3">
        <v>1.0</v>
      </c>
      <c r="Q24" s="3">
        <v>6.0</v>
      </c>
      <c r="R24" s="3">
        <v>1.0</v>
      </c>
      <c r="S24" s="3">
        <v>1.0</v>
      </c>
      <c r="T24" s="3">
        <v>6.0</v>
      </c>
      <c r="U24" s="3">
        <v>1.0</v>
      </c>
      <c r="V24" s="3">
        <v>4.0</v>
      </c>
      <c r="W24" s="3">
        <v>1.0</v>
      </c>
      <c r="X24" s="3">
        <v>6.0</v>
      </c>
      <c r="Y24" s="3">
        <v>7.0</v>
      </c>
      <c r="Z24" s="3">
        <v>5.0</v>
      </c>
      <c r="AA24" s="3">
        <v>4.0</v>
      </c>
      <c r="AB24" s="3">
        <v>3.0</v>
      </c>
    </row>
    <row r="25">
      <c r="A25" s="2">
        <v>45119.391126793984</v>
      </c>
      <c r="B25" s="3">
        <v>69.0</v>
      </c>
      <c r="C25" s="3" t="s">
        <v>28</v>
      </c>
      <c r="D25" s="3">
        <v>6.0</v>
      </c>
      <c r="E25" s="3">
        <v>1.0</v>
      </c>
      <c r="F25" s="3">
        <v>7.0</v>
      </c>
      <c r="G25" s="3">
        <v>7.0</v>
      </c>
      <c r="H25" s="3">
        <v>7.0</v>
      </c>
      <c r="I25" s="3">
        <v>6.0</v>
      </c>
      <c r="J25" s="3">
        <v>7.0</v>
      </c>
      <c r="K25" s="3">
        <v>7.0</v>
      </c>
      <c r="L25" s="3">
        <v>1.0</v>
      </c>
      <c r="M25" s="3">
        <v>2.0</v>
      </c>
      <c r="N25" s="3">
        <v>7.0</v>
      </c>
      <c r="O25" s="3">
        <v>7.0</v>
      </c>
      <c r="P25" s="3">
        <v>7.0</v>
      </c>
      <c r="Q25" s="3">
        <v>7.0</v>
      </c>
      <c r="R25" s="3">
        <v>7.0</v>
      </c>
      <c r="S25" s="3">
        <v>7.0</v>
      </c>
      <c r="T25" s="3">
        <v>6.0</v>
      </c>
      <c r="U25" s="3">
        <v>6.0</v>
      </c>
      <c r="V25" s="3">
        <v>2.0</v>
      </c>
      <c r="W25" s="3">
        <v>7.0</v>
      </c>
      <c r="X25" s="3">
        <v>7.0</v>
      </c>
      <c r="Y25" s="3">
        <v>1.0</v>
      </c>
      <c r="Z25" s="3">
        <v>1.0</v>
      </c>
      <c r="AA25" s="3">
        <v>1.0</v>
      </c>
      <c r="AB25" s="3">
        <v>6.0</v>
      </c>
    </row>
    <row r="26">
      <c r="A26" s="2">
        <v>45119.394528958335</v>
      </c>
      <c r="B26" s="3">
        <v>39.0</v>
      </c>
      <c r="C26" s="3" t="s">
        <v>29</v>
      </c>
      <c r="D26" s="3">
        <v>1.0</v>
      </c>
      <c r="E26" s="3">
        <v>5.0</v>
      </c>
      <c r="F26" s="3">
        <v>2.0</v>
      </c>
      <c r="G26" s="3">
        <v>1.0</v>
      </c>
      <c r="H26" s="3">
        <v>2.0</v>
      </c>
      <c r="I26" s="3">
        <v>5.0</v>
      </c>
      <c r="J26" s="3">
        <v>1.0</v>
      </c>
      <c r="K26" s="3">
        <v>1.0</v>
      </c>
      <c r="L26" s="3">
        <v>4.0</v>
      </c>
      <c r="M26" s="3">
        <v>1.0</v>
      </c>
      <c r="N26" s="3">
        <v>6.0</v>
      </c>
      <c r="O26" s="3">
        <v>1.0</v>
      </c>
      <c r="P26" s="3">
        <v>4.0</v>
      </c>
      <c r="Q26" s="3">
        <v>6.0</v>
      </c>
      <c r="R26" s="3">
        <v>6.0</v>
      </c>
      <c r="S26" s="3">
        <v>1.0</v>
      </c>
      <c r="T26" s="3">
        <v>3.0</v>
      </c>
      <c r="U26" s="3">
        <v>5.0</v>
      </c>
      <c r="V26" s="3">
        <v>7.0</v>
      </c>
      <c r="W26" s="3">
        <v>2.0</v>
      </c>
      <c r="X26" s="3">
        <v>1.0</v>
      </c>
      <c r="Y26" s="3">
        <v>1.0</v>
      </c>
      <c r="Z26" s="3">
        <v>4.0</v>
      </c>
      <c r="AA26" s="3">
        <v>6.0</v>
      </c>
      <c r="AB26" s="3">
        <v>1.0</v>
      </c>
    </row>
    <row r="27">
      <c r="A27" s="2">
        <v>45119.39559443287</v>
      </c>
      <c r="B27" s="3">
        <v>67.0</v>
      </c>
      <c r="C27" s="3" t="s">
        <v>29</v>
      </c>
      <c r="D27" s="3">
        <v>4.0</v>
      </c>
      <c r="E27" s="3">
        <v>7.0</v>
      </c>
      <c r="F27" s="3">
        <v>1.0</v>
      </c>
      <c r="G27" s="3">
        <v>1.0</v>
      </c>
      <c r="H27" s="3">
        <v>1.0</v>
      </c>
      <c r="I27" s="3">
        <v>7.0</v>
      </c>
      <c r="J27" s="3">
        <v>1.0</v>
      </c>
      <c r="K27" s="3">
        <v>1.0</v>
      </c>
      <c r="L27" s="3">
        <v>7.0</v>
      </c>
      <c r="M27" s="3">
        <v>7.0</v>
      </c>
      <c r="N27" s="3">
        <v>7.0</v>
      </c>
      <c r="O27" s="3">
        <v>7.0</v>
      </c>
      <c r="P27" s="3">
        <v>1.0</v>
      </c>
      <c r="Q27" s="3">
        <v>1.0</v>
      </c>
      <c r="R27" s="3">
        <v>6.0</v>
      </c>
      <c r="S27" s="3">
        <v>1.0</v>
      </c>
      <c r="T27" s="3">
        <v>7.0</v>
      </c>
      <c r="U27" s="3">
        <v>7.0</v>
      </c>
      <c r="V27" s="3">
        <v>4.0</v>
      </c>
      <c r="W27" s="3">
        <v>7.0</v>
      </c>
      <c r="X27" s="3">
        <v>3.0</v>
      </c>
      <c r="Y27" s="3">
        <v>1.0</v>
      </c>
      <c r="Z27" s="3">
        <v>7.0</v>
      </c>
      <c r="AA27" s="3">
        <v>7.0</v>
      </c>
      <c r="AB27" s="3">
        <v>7.0</v>
      </c>
    </row>
    <row r="28">
      <c r="A28" s="2">
        <v>45119.39978841435</v>
      </c>
      <c r="B28" s="3">
        <v>54.0</v>
      </c>
      <c r="C28" s="3" t="s">
        <v>28</v>
      </c>
      <c r="D28" s="3">
        <v>1.0</v>
      </c>
      <c r="E28" s="3">
        <v>6.0</v>
      </c>
      <c r="F28" s="3">
        <v>2.0</v>
      </c>
      <c r="G28" s="3">
        <v>1.0</v>
      </c>
      <c r="H28" s="3">
        <v>1.0</v>
      </c>
      <c r="I28" s="3">
        <v>7.0</v>
      </c>
      <c r="J28" s="3">
        <v>2.0</v>
      </c>
      <c r="K28" s="3">
        <v>1.0</v>
      </c>
      <c r="L28" s="3">
        <v>6.0</v>
      </c>
      <c r="M28" s="3">
        <v>1.0</v>
      </c>
      <c r="N28" s="3">
        <v>1.0</v>
      </c>
      <c r="O28" s="3">
        <v>1.0</v>
      </c>
      <c r="P28" s="3">
        <v>7.0</v>
      </c>
      <c r="Q28" s="3">
        <v>1.0</v>
      </c>
      <c r="R28" s="3">
        <v>5.0</v>
      </c>
      <c r="S28" s="3">
        <v>7.0</v>
      </c>
      <c r="T28" s="3">
        <v>7.0</v>
      </c>
      <c r="U28" s="3">
        <v>7.0</v>
      </c>
      <c r="V28" s="3">
        <v>7.0</v>
      </c>
      <c r="W28" s="3">
        <v>1.0</v>
      </c>
      <c r="X28" s="3">
        <v>2.0</v>
      </c>
      <c r="Y28" s="3">
        <v>1.0</v>
      </c>
      <c r="Z28" s="3">
        <v>2.0</v>
      </c>
      <c r="AA28" s="3">
        <v>7.0</v>
      </c>
      <c r="AB28" s="3">
        <v>7.0</v>
      </c>
    </row>
    <row r="29">
      <c r="A29" s="2">
        <v>45119.40199570602</v>
      </c>
      <c r="B29" s="3">
        <v>64.0</v>
      </c>
      <c r="C29" s="3" t="s">
        <v>29</v>
      </c>
      <c r="D29" s="3">
        <v>4.0</v>
      </c>
      <c r="E29" s="3">
        <v>6.0</v>
      </c>
      <c r="F29" s="3">
        <v>1.0</v>
      </c>
      <c r="G29" s="3">
        <v>1.0</v>
      </c>
      <c r="H29" s="3">
        <v>1.0</v>
      </c>
      <c r="I29" s="3">
        <v>7.0</v>
      </c>
      <c r="J29" s="3">
        <v>1.0</v>
      </c>
      <c r="K29" s="3">
        <v>1.0</v>
      </c>
      <c r="L29" s="3">
        <v>7.0</v>
      </c>
      <c r="M29" s="3">
        <v>1.0</v>
      </c>
      <c r="N29" s="3">
        <v>7.0</v>
      </c>
      <c r="O29" s="3">
        <v>1.0</v>
      </c>
      <c r="P29" s="3">
        <v>7.0</v>
      </c>
      <c r="Q29" s="3">
        <v>7.0</v>
      </c>
      <c r="R29" s="3">
        <v>1.0</v>
      </c>
      <c r="S29" s="3">
        <v>1.0</v>
      </c>
      <c r="T29" s="3">
        <v>1.0</v>
      </c>
      <c r="U29" s="3">
        <v>7.0</v>
      </c>
      <c r="V29" s="3">
        <v>1.0</v>
      </c>
      <c r="W29" s="3">
        <v>1.0</v>
      </c>
      <c r="X29" s="3">
        <v>1.0</v>
      </c>
      <c r="Y29" s="3">
        <v>1.0</v>
      </c>
      <c r="Z29" s="3">
        <v>4.0</v>
      </c>
      <c r="AA29" s="3">
        <v>7.0</v>
      </c>
      <c r="AB29" s="3">
        <v>7.0</v>
      </c>
    </row>
    <row r="30">
      <c r="A30" s="2">
        <v>45119.40347603009</v>
      </c>
      <c r="B30" s="3">
        <v>44.0</v>
      </c>
      <c r="C30" s="3" t="s">
        <v>29</v>
      </c>
      <c r="D30" s="3">
        <v>7.0</v>
      </c>
      <c r="E30" s="3">
        <v>7.0</v>
      </c>
      <c r="F30" s="3">
        <v>4.0</v>
      </c>
      <c r="G30" s="3">
        <v>1.0</v>
      </c>
      <c r="H30" s="3">
        <v>1.0</v>
      </c>
      <c r="I30" s="3">
        <v>7.0</v>
      </c>
      <c r="J30" s="3">
        <v>1.0</v>
      </c>
      <c r="K30" s="3">
        <v>1.0</v>
      </c>
      <c r="L30" s="3">
        <v>1.0</v>
      </c>
      <c r="M30" s="3">
        <v>1.0</v>
      </c>
      <c r="N30" s="3">
        <v>1.0</v>
      </c>
      <c r="O30" s="3">
        <v>1.0</v>
      </c>
      <c r="P30" s="3">
        <v>1.0</v>
      </c>
      <c r="Q30" s="3">
        <v>1.0</v>
      </c>
      <c r="R30" s="3">
        <v>4.0</v>
      </c>
      <c r="S30" s="3">
        <v>1.0</v>
      </c>
      <c r="T30" s="3">
        <v>4.0</v>
      </c>
      <c r="U30" s="3">
        <v>4.0</v>
      </c>
      <c r="V30" s="3">
        <v>4.0</v>
      </c>
      <c r="W30" s="3">
        <v>1.0</v>
      </c>
      <c r="X30" s="3">
        <v>1.0</v>
      </c>
      <c r="Y30" s="3">
        <v>7.0</v>
      </c>
      <c r="Z30" s="3">
        <v>7.0</v>
      </c>
      <c r="AA30" s="3">
        <v>7.0</v>
      </c>
      <c r="AB30" s="3">
        <v>7.0</v>
      </c>
    </row>
    <row r="31">
      <c r="A31" s="2">
        <v>45119.40421625</v>
      </c>
      <c r="B31" s="3">
        <v>50.0</v>
      </c>
      <c r="C31" s="3" t="s">
        <v>29</v>
      </c>
      <c r="D31" s="3">
        <v>2.0</v>
      </c>
      <c r="E31" s="3">
        <v>7.0</v>
      </c>
      <c r="F31" s="3">
        <v>2.0</v>
      </c>
      <c r="G31" s="3">
        <v>1.0</v>
      </c>
      <c r="H31" s="3">
        <v>6.0</v>
      </c>
      <c r="I31" s="3">
        <v>6.0</v>
      </c>
      <c r="J31" s="3">
        <v>2.0</v>
      </c>
      <c r="K31" s="3">
        <v>1.0</v>
      </c>
      <c r="L31" s="3">
        <v>6.0</v>
      </c>
      <c r="M31" s="3">
        <v>6.0</v>
      </c>
      <c r="N31" s="3">
        <v>6.0</v>
      </c>
      <c r="O31" s="3">
        <v>6.0</v>
      </c>
      <c r="P31" s="3">
        <v>1.0</v>
      </c>
      <c r="Q31" s="3">
        <v>6.0</v>
      </c>
      <c r="R31" s="3">
        <v>7.0</v>
      </c>
      <c r="S31" s="3">
        <v>1.0</v>
      </c>
      <c r="T31" s="3">
        <v>2.0</v>
      </c>
      <c r="U31" s="3">
        <v>1.0</v>
      </c>
      <c r="V31" s="3">
        <v>1.0</v>
      </c>
      <c r="W31" s="3">
        <v>1.0</v>
      </c>
      <c r="X31" s="3">
        <v>1.0</v>
      </c>
      <c r="Y31" s="3">
        <v>1.0</v>
      </c>
      <c r="Z31" s="3">
        <v>6.0</v>
      </c>
      <c r="AA31" s="3">
        <v>6.0</v>
      </c>
      <c r="AB31" s="3">
        <v>6.0</v>
      </c>
    </row>
    <row r="32">
      <c r="A32" s="2">
        <v>45119.405333946765</v>
      </c>
      <c r="B32" s="3">
        <v>47.0</v>
      </c>
      <c r="C32" s="3" t="s">
        <v>29</v>
      </c>
      <c r="D32" s="3">
        <v>3.0</v>
      </c>
      <c r="E32" s="3">
        <v>6.0</v>
      </c>
      <c r="F32" s="3">
        <v>3.0</v>
      </c>
      <c r="G32" s="3">
        <v>1.0</v>
      </c>
      <c r="H32" s="3">
        <v>1.0</v>
      </c>
      <c r="I32" s="3">
        <v>7.0</v>
      </c>
      <c r="J32" s="3">
        <v>1.0</v>
      </c>
      <c r="K32" s="3">
        <v>1.0</v>
      </c>
      <c r="L32" s="3">
        <v>7.0</v>
      </c>
      <c r="M32" s="3">
        <v>5.0</v>
      </c>
      <c r="N32" s="3">
        <v>7.0</v>
      </c>
      <c r="O32" s="3">
        <v>1.0</v>
      </c>
      <c r="P32" s="3">
        <v>1.0</v>
      </c>
      <c r="Q32" s="3">
        <v>7.0</v>
      </c>
      <c r="R32" s="3">
        <v>7.0</v>
      </c>
      <c r="S32" s="3">
        <v>1.0</v>
      </c>
      <c r="T32" s="3">
        <v>7.0</v>
      </c>
      <c r="U32" s="3">
        <v>1.0</v>
      </c>
      <c r="V32" s="3">
        <v>7.0</v>
      </c>
      <c r="W32" s="3">
        <v>7.0</v>
      </c>
      <c r="X32" s="3">
        <v>1.0</v>
      </c>
      <c r="Y32" s="3">
        <v>7.0</v>
      </c>
      <c r="Z32" s="3">
        <v>2.0</v>
      </c>
      <c r="AA32" s="3">
        <v>7.0</v>
      </c>
      <c r="AB32" s="3">
        <v>5.0</v>
      </c>
    </row>
    <row r="33">
      <c r="A33" s="2">
        <v>45119.40697652778</v>
      </c>
      <c r="B33" s="3">
        <v>51.0</v>
      </c>
      <c r="C33" s="3" t="s">
        <v>29</v>
      </c>
      <c r="D33" s="3">
        <v>5.0</v>
      </c>
      <c r="E33" s="3">
        <v>6.0</v>
      </c>
      <c r="F33" s="3">
        <v>5.0</v>
      </c>
      <c r="G33" s="3">
        <v>1.0</v>
      </c>
      <c r="H33" s="3">
        <v>1.0</v>
      </c>
      <c r="I33" s="3">
        <v>7.0</v>
      </c>
      <c r="J33" s="3">
        <v>2.0</v>
      </c>
      <c r="K33" s="3">
        <v>1.0</v>
      </c>
      <c r="L33" s="3">
        <v>6.0</v>
      </c>
      <c r="M33" s="3">
        <v>6.0</v>
      </c>
      <c r="N33" s="3">
        <v>7.0</v>
      </c>
      <c r="O33" s="3">
        <v>2.0</v>
      </c>
      <c r="P33" s="3">
        <v>1.0</v>
      </c>
      <c r="Q33" s="3">
        <v>1.0</v>
      </c>
      <c r="R33" s="3">
        <v>7.0</v>
      </c>
      <c r="S33" s="3">
        <v>1.0</v>
      </c>
      <c r="T33" s="3">
        <v>2.0</v>
      </c>
      <c r="U33" s="3">
        <v>7.0</v>
      </c>
      <c r="V33" s="3">
        <v>7.0</v>
      </c>
      <c r="W33" s="3">
        <v>6.0</v>
      </c>
      <c r="X33" s="3">
        <v>6.0</v>
      </c>
      <c r="Y33" s="3">
        <v>7.0</v>
      </c>
      <c r="Z33" s="3">
        <v>7.0</v>
      </c>
      <c r="AA33" s="3">
        <v>7.0</v>
      </c>
      <c r="AB33" s="3">
        <v>7.0</v>
      </c>
    </row>
    <row r="34">
      <c r="A34" s="2">
        <v>45119.41051120371</v>
      </c>
      <c r="B34" s="3">
        <v>71.0</v>
      </c>
      <c r="C34" s="3" t="s">
        <v>29</v>
      </c>
      <c r="D34" s="3">
        <v>2.0</v>
      </c>
      <c r="E34" s="3">
        <v>2.0</v>
      </c>
      <c r="F34" s="3">
        <v>2.0</v>
      </c>
      <c r="G34" s="3">
        <v>1.0</v>
      </c>
      <c r="H34" s="3">
        <v>1.0</v>
      </c>
      <c r="I34" s="3">
        <v>2.0</v>
      </c>
      <c r="J34" s="3">
        <v>2.0</v>
      </c>
      <c r="K34" s="3">
        <v>1.0</v>
      </c>
      <c r="L34" s="3">
        <v>2.0</v>
      </c>
      <c r="M34" s="3">
        <v>2.0</v>
      </c>
      <c r="N34" s="3">
        <v>2.0</v>
      </c>
      <c r="O34" s="3">
        <v>1.0</v>
      </c>
      <c r="P34" s="3">
        <v>1.0</v>
      </c>
      <c r="Q34" s="3">
        <v>1.0</v>
      </c>
      <c r="R34" s="3">
        <v>1.0</v>
      </c>
      <c r="S34" s="3">
        <v>1.0</v>
      </c>
      <c r="T34" s="3">
        <v>1.0</v>
      </c>
      <c r="U34" s="3">
        <v>2.0</v>
      </c>
      <c r="V34" s="3">
        <v>1.0</v>
      </c>
      <c r="W34" s="3">
        <v>1.0</v>
      </c>
      <c r="X34" s="3">
        <v>2.0</v>
      </c>
      <c r="Y34" s="3">
        <v>1.0</v>
      </c>
      <c r="Z34" s="3">
        <v>2.0</v>
      </c>
      <c r="AA34" s="3">
        <v>6.0</v>
      </c>
      <c r="AB34" s="3">
        <v>6.0</v>
      </c>
    </row>
    <row r="35">
      <c r="A35" s="2">
        <v>45119.4127002662</v>
      </c>
      <c r="B35" s="3">
        <v>54.0</v>
      </c>
      <c r="C35" s="3" t="s">
        <v>29</v>
      </c>
      <c r="D35" s="3">
        <v>2.0</v>
      </c>
      <c r="E35" s="3">
        <v>7.0</v>
      </c>
      <c r="F35" s="3">
        <v>7.0</v>
      </c>
      <c r="G35" s="3">
        <v>1.0</v>
      </c>
      <c r="H35" s="3">
        <v>6.0</v>
      </c>
      <c r="I35" s="3">
        <v>7.0</v>
      </c>
      <c r="J35" s="3">
        <v>2.0</v>
      </c>
      <c r="K35" s="3">
        <v>1.0</v>
      </c>
      <c r="L35" s="3">
        <v>7.0</v>
      </c>
      <c r="M35" s="3">
        <v>2.0</v>
      </c>
      <c r="N35" s="3">
        <v>7.0</v>
      </c>
      <c r="O35" s="3">
        <v>3.0</v>
      </c>
      <c r="P35" s="3">
        <v>7.0</v>
      </c>
      <c r="Q35" s="3">
        <v>7.0</v>
      </c>
      <c r="R35" s="3">
        <v>7.0</v>
      </c>
      <c r="S35" s="3">
        <v>2.0</v>
      </c>
      <c r="T35" s="3">
        <v>7.0</v>
      </c>
      <c r="U35" s="3">
        <v>5.0</v>
      </c>
      <c r="V35" s="3">
        <v>2.0</v>
      </c>
      <c r="W35" s="3">
        <v>7.0</v>
      </c>
      <c r="X35" s="3">
        <v>1.0</v>
      </c>
      <c r="Y35" s="3">
        <v>7.0</v>
      </c>
      <c r="Z35" s="3">
        <v>7.0</v>
      </c>
      <c r="AA35" s="3">
        <v>7.0</v>
      </c>
      <c r="AB35" s="3">
        <v>4.0</v>
      </c>
    </row>
    <row r="36">
      <c r="A36" s="2">
        <v>45119.415677129626</v>
      </c>
      <c r="B36" s="3">
        <v>46.0</v>
      </c>
      <c r="C36" s="3" t="s">
        <v>28</v>
      </c>
      <c r="D36" s="3">
        <v>7.0</v>
      </c>
      <c r="E36" s="3">
        <v>7.0</v>
      </c>
      <c r="F36" s="3">
        <v>7.0</v>
      </c>
      <c r="G36" s="3">
        <v>3.0</v>
      </c>
      <c r="H36" s="3">
        <v>3.0</v>
      </c>
      <c r="I36" s="3">
        <v>7.0</v>
      </c>
      <c r="J36" s="3">
        <v>5.0</v>
      </c>
      <c r="K36" s="3">
        <v>5.0</v>
      </c>
      <c r="L36" s="3">
        <v>7.0</v>
      </c>
      <c r="M36" s="3">
        <v>6.0</v>
      </c>
      <c r="N36" s="3">
        <v>7.0</v>
      </c>
      <c r="O36" s="3">
        <v>3.0</v>
      </c>
      <c r="P36" s="3">
        <v>5.0</v>
      </c>
      <c r="Q36" s="3">
        <v>6.0</v>
      </c>
      <c r="R36" s="3">
        <v>7.0</v>
      </c>
      <c r="S36" s="3">
        <v>6.0</v>
      </c>
      <c r="T36" s="3">
        <v>6.0</v>
      </c>
      <c r="U36" s="3">
        <v>7.0</v>
      </c>
      <c r="V36" s="3">
        <v>6.0</v>
      </c>
      <c r="W36" s="3">
        <v>7.0</v>
      </c>
      <c r="X36" s="3">
        <v>5.0</v>
      </c>
      <c r="Y36" s="3">
        <v>7.0</v>
      </c>
      <c r="Z36" s="3">
        <v>7.0</v>
      </c>
      <c r="AA36" s="3">
        <v>7.0</v>
      </c>
      <c r="AB36" s="3">
        <v>7.0</v>
      </c>
    </row>
    <row r="37">
      <c r="A37" s="2">
        <v>45119.41942438658</v>
      </c>
      <c r="B37" s="3">
        <v>49.0</v>
      </c>
      <c r="C37" s="3" t="s">
        <v>28</v>
      </c>
      <c r="D37" s="3">
        <v>5.0</v>
      </c>
      <c r="E37" s="3">
        <v>2.0</v>
      </c>
      <c r="F37" s="3">
        <v>6.0</v>
      </c>
      <c r="G37" s="3">
        <v>1.0</v>
      </c>
      <c r="H37" s="3">
        <v>1.0</v>
      </c>
      <c r="I37" s="3">
        <v>7.0</v>
      </c>
      <c r="J37" s="3">
        <v>1.0</v>
      </c>
      <c r="K37" s="3">
        <v>1.0</v>
      </c>
      <c r="L37" s="3">
        <v>7.0</v>
      </c>
      <c r="M37" s="3">
        <v>6.0</v>
      </c>
      <c r="N37" s="3">
        <v>7.0</v>
      </c>
      <c r="O37" s="3">
        <v>7.0</v>
      </c>
      <c r="P37" s="3">
        <v>1.0</v>
      </c>
      <c r="Q37" s="3">
        <v>4.0</v>
      </c>
      <c r="R37" s="3">
        <v>7.0</v>
      </c>
      <c r="S37" s="3">
        <v>2.0</v>
      </c>
      <c r="T37" s="3">
        <v>5.0</v>
      </c>
      <c r="U37" s="3">
        <v>6.0</v>
      </c>
      <c r="V37" s="3">
        <v>1.0</v>
      </c>
      <c r="W37" s="3">
        <v>5.0</v>
      </c>
      <c r="X37" s="3">
        <v>6.0</v>
      </c>
      <c r="Y37" s="3">
        <v>6.0</v>
      </c>
      <c r="Z37" s="3">
        <v>6.0</v>
      </c>
      <c r="AA37" s="3">
        <v>6.0</v>
      </c>
      <c r="AB37" s="3">
        <v>6.0</v>
      </c>
    </row>
    <row r="38">
      <c r="A38" s="2">
        <v>45119.41950266204</v>
      </c>
      <c r="B38" s="3">
        <v>72.0</v>
      </c>
      <c r="C38" s="3" t="s">
        <v>29</v>
      </c>
      <c r="D38" s="3">
        <v>5.0</v>
      </c>
      <c r="E38" s="3">
        <v>7.0</v>
      </c>
      <c r="F38" s="3">
        <v>6.0</v>
      </c>
      <c r="G38" s="3">
        <v>1.0</v>
      </c>
      <c r="H38" s="3">
        <v>2.0</v>
      </c>
      <c r="I38" s="3">
        <v>7.0</v>
      </c>
      <c r="J38" s="3">
        <v>1.0</v>
      </c>
      <c r="K38" s="3">
        <v>1.0</v>
      </c>
      <c r="L38" s="3">
        <v>7.0</v>
      </c>
      <c r="M38" s="3">
        <v>1.0</v>
      </c>
      <c r="N38" s="3">
        <v>7.0</v>
      </c>
      <c r="O38" s="3">
        <v>1.0</v>
      </c>
      <c r="P38" s="3">
        <v>7.0</v>
      </c>
      <c r="Q38" s="3">
        <v>1.0</v>
      </c>
      <c r="R38" s="3">
        <v>7.0</v>
      </c>
      <c r="S38" s="3">
        <v>1.0</v>
      </c>
      <c r="T38" s="3">
        <v>3.0</v>
      </c>
      <c r="U38" s="3">
        <v>7.0</v>
      </c>
      <c r="V38" s="3">
        <v>7.0</v>
      </c>
      <c r="W38" s="3">
        <v>1.0</v>
      </c>
      <c r="X38" s="3">
        <v>3.0</v>
      </c>
      <c r="Y38" s="3">
        <v>1.0</v>
      </c>
      <c r="Z38" s="3">
        <v>1.0</v>
      </c>
      <c r="AA38" s="3">
        <v>6.0</v>
      </c>
      <c r="AB38" s="3">
        <v>6.0</v>
      </c>
    </row>
    <row r="39">
      <c r="A39" s="2">
        <v>45119.42043712963</v>
      </c>
      <c r="B39" s="3">
        <v>74.0</v>
      </c>
      <c r="C39" s="3" t="s">
        <v>29</v>
      </c>
      <c r="D39" s="3">
        <v>1.0</v>
      </c>
      <c r="E39" s="3">
        <v>2.0</v>
      </c>
      <c r="F39" s="3">
        <v>2.0</v>
      </c>
      <c r="G39" s="3">
        <v>1.0</v>
      </c>
      <c r="H39" s="3">
        <v>1.0</v>
      </c>
      <c r="I39" s="3">
        <v>5.0</v>
      </c>
      <c r="J39" s="3">
        <v>1.0</v>
      </c>
      <c r="K39" s="3">
        <v>1.0</v>
      </c>
      <c r="L39" s="3">
        <v>5.0</v>
      </c>
      <c r="M39" s="3">
        <v>1.0</v>
      </c>
      <c r="N39" s="3">
        <v>7.0</v>
      </c>
      <c r="O39" s="3">
        <v>1.0</v>
      </c>
      <c r="P39" s="3">
        <v>3.0</v>
      </c>
      <c r="Q39" s="3">
        <v>1.0</v>
      </c>
      <c r="R39" s="3">
        <v>3.0</v>
      </c>
      <c r="S39" s="3">
        <v>1.0</v>
      </c>
      <c r="T39" s="3">
        <v>1.0</v>
      </c>
      <c r="U39" s="3">
        <v>1.0</v>
      </c>
      <c r="V39" s="3">
        <v>1.0</v>
      </c>
      <c r="W39" s="3">
        <v>6.0</v>
      </c>
      <c r="X39" s="3">
        <v>1.0</v>
      </c>
      <c r="Y39" s="3">
        <v>1.0</v>
      </c>
      <c r="Z39" s="3">
        <v>1.0</v>
      </c>
      <c r="AA39" s="3">
        <v>7.0</v>
      </c>
      <c r="AB39" s="3">
        <v>7.0</v>
      </c>
    </row>
    <row r="40">
      <c r="A40" s="2">
        <v>45119.42094435185</v>
      </c>
      <c r="B40" s="3">
        <v>67.0</v>
      </c>
      <c r="C40" s="3" t="s">
        <v>29</v>
      </c>
      <c r="D40" s="3">
        <v>1.0</v>
      </c>
      <c r="E40" s="3">
        <v>6.0</v>
      </c>
      <c r="F40" s="3">
        <v>1.0</v>
      </c>
      <c r="G40" s="3">
        <v>1.0</v>
      </c>
      <c r="H40" s="3">
        <v>1.0</v>
      </c>
      <c r="I40" s="3">
        <v>6.0</v>
      </c>
      <c r="J40" s="3">
        <v>1.0</v>
      </c>
      <c r="K40" s="3">
        <v>1.0</v>
      </c>
      <c r="L40" s="3">
        <v>6.0</v>
      </c>
      <c r="M40" s="3">
        <v>6.0</v>
      </c>
      <c r="N40" s="3">
        <v>6.0</v>
      </c>
      <c r="O40" s="3">
        <v>6.0</v>
      </c>
      <c r="P40" s="3">
        <v>1.0</v>
      </c>
      <c r="Q40" s="3">
        <v>1.0</v>
      </c>
      <c r="R40" s="3">
        <v>6.0</v>
      </c>
      <c r="S40" s="3">
        <v>1.0</v>
      </c>
      <c r="T40" s="3">
        <v>6.0</v>
      </c>
      <c r="U40" s="3">
        <v>3.0</v>
      </c>
      <c r="V40" s="3">
        <v>6.0</v>
      </c>
      <c r="W40" s="3">
        <v>1.0</v>
      </c>
      <c r="X40" s="3">
        <v>1.0</v>
      </c>
      <c r="Y40" s="3">
        <v>1.0</v>
      </c>
      <c r="Z40" s="3">
        <v>1.0</v>
      </c>
      <c r="AA40" s="3">
        <v>6.0</v>
      </c>
      <c r="AB40" s="3">
        <v>3.0</v>
      </c>
    </row>
    <row r="41">
      <c r="A41" s="2">
        <v>45119.421601423615</v>
      </c>
      <c r="B41" s="3">
        <v>64.0</v>
      </c>
      <c r="C41" s="3" t="s">
        <v>29</v>
      </c>
      <c r="D41" s="3">
        <v>7.0</v>
      </c>
      <c r="E41" s="3">
        <v>6.0</v>
      </c>
      <c r="F41" s="3">
        <v>1.0</v>
      </c>
      <c r="G41" s="3">
        <v>1.0</v>
      </c>
      <c r="H41" s="3">
        <v>1.0</v>
      </c>
      <c r="I41" s="3">
        <v>6.0</v>
      </c>
      <c r="J41" s="3">
        <v>1.0</v>
      </c>
      <c r="K41" s="3">
        <v>1.0</v>
      </c>
      <c r="L41" s="3">
        <v>1.0</v>
      </c>
      <c r="M41" s="3">
        <v>1.0</v>
      </c>
      <c r="N41" s="3">
        <v>6.0</v>
      </c>
      <c r="O41" s="3">
        <v>1.0</v>
      </c>
      <c r="P41" s="3">
        <v>1.0</v>
      </c>
      <c r="Q41" s="3">
        <v>6.0</v>
      </c>
      <c r="R41" s="3">
        <v>1.0</v>
      </c>
      <c r="S41" s="3">
        <v>1.0</v>
      </c>
      <c r="T41" s="3">
        <v>1.0</v>
      </c>
      <c r="U41" s="3">
        <v>6.0</v>
      </c>
      <c r="V41" s="3">
        <v>2.0</v>
      </c>
      <c r="W41" s="3">
        <v>1.0</v>
      </c>
      <c r="X41" s="3">
        <v>1.0</v>
      </c>
      <c r="Y41" s="3">
        <v>1.0</v>
      </c>
      <c r="Z41" s="3">
        <v>6.0</v>
      </c>
      <c r="AA41" s="3">
        <v>7.0</v>
      </c>
      <c r="AB41" s="3">
        <v>1.0</v>
      </c>
    </row>
    <row r="42">
      <c r="A42" s="2">
        <v>45119.42176923611</v>
      </c>
      <c r="B42" s="3">
        <v>32.0</v>
      </c>
      <c r="C42" s="3" t="s">
        <v>29</v>
      </c>
      <c r="D42" s="3">
        <v>5.0</v>
      </c>
      <c r="E42" s="3">
        <v>5.0</v>
      </c>
      <c r="F42" s="3">
        <v>5.0</v>
      </c>
      <c r="G42" s="3">
        <v>1.0</v>
      </c>
      <c r="H42" s="3">
        <v>1.0</v>
      </c>
      <c r="I42" s="3">
        <v>6.0</v>
      </c>
      <c r="J42" s="3">
        <v>5.0</v>
      </c>
      <c r="K42" s="3">
        <v>1.0</v>
      </c>
      <c r="L42" s="3">
        <v>5.0</v>
      </c>
      <c r="M42" s="3">
        <v>2.0</v>
      </c>
      <c r="N42" s="3">
        <v>6.0</v>
      </c>
      <c r="O42" s="3">
        <v>1.0</v>
      </c>
      <c r="P42" s="3">
        <v>5.0</v>
      </c>
      <c r="Q42" s="3">
        <v>5.0</v>
      </c>
      <c r="R42" s="3">
        <v>5.0</v>
      </c>
      <c r="S42" s="3">
        <v>3.0</v>
      </c>
      <c r="T42" s="3">
        <v>6.0</v>
      </c>
      <c r="U42" s="3">
        <v>3.0</v>
      </c>
      <c r="V42" s="3">
        <v>4.0</v>
      </c>
      <c r="W42" s="3">
        <v>2.0</v>
      </c>
      <c r="X42" s="3">
        <v>3.0</v>
      </c>
      <c r="Y42" s="3">
        <v>6.0</v>
      </c>
      <c r="Z42" s="3">
        <v>5.0</v>
      </c>
      <c r="AA42" s="3">
        <v>5.0</v>
      </c>
      <c r="AB42" s="3">
        <v>5.0</v>
      </c>
    </row>
    <row r="43">
      <c r="A43" s="2">
        <v>45119.42283673611</v>
      </c>
      <c r="B43" s="3">
        <v>46.0</v>
      </c>
      <c r="C43" s="3" t="s">
        <v>29</v>
      </c>
      <c r="D43" s="3">
        <v>1.0</v>
      </c>
      <c r="E43" s="3">
        <v>1.0</v>
      </c>
      <c r="F43" s="3">
        <v>4.0</v>
      </c>
      <c r="G43" s="3">
        <v>1.0</v>
      </c>
      <c r="H43" s="3">
        <v>1.0</v>
      </c>
      <c r="I43" s="3">
        <v>7.0</v>
      </c>
      <c r="J43" s="3">
        <v>1.0</v>
      </c>
      <c r="K43" s="3">
        <v>1.0</v>
      </c>
      <c r="L43" s="3">
        <v>4.0</v>
      </c>
      <c r="M43" s="3">
        <v>1.0</v>
      </c>
      <c r="N43" s="3">
        <v>7.0</v>
      </c>
      <c r="O43" s="3">
        <v>1.0</v>
      </c>
      <c r="P43" s="3">
        <v>1.0</v>
      </c>
      <c r="Q43" s="3">
        <v>1.0</v>
      </c>
      <c r="R43" s="3">
        <v>7.0</v>
      </c>
      <c r="S43" s="3">
        <v>1.0</v>
      </c>
      <c r="T43" s="3">
        <v>1.0</v>
      </c>
      <c r="U43" s="3">
        <v>7.0</v>
      </c>
      <c r="V43" s="3">
        <v>4.0</v>
      </c>
      <c r="W43" s="3">
        <v>1.0</v>
      </c>
      <c r="X43" s="3">
        <v>1.0</v>
      </c>
      <c r="Y43" s="3">
        <v>7.0</v>
      </c>
      <c r="Z43" s="3">
        <v>4.0</v>
      </c>
      <c r="AA43" s="3">
        <v>7.0</v>
      </c>
      <c r="AB43" s="3">
        <v>7.0</v>
      </c>
    </row>
    <row r="44">
      <c r="A44" s="2">
        <v>45119.42480453703</v>
      </c>
      <c r="B44" s="3">
        <v>65.0</v>
      </c>
      <c r="C44" s="3" t="s">
        <v>29</v>
      </c>
      <c r="D44" s="3">
        <v>4.0</v>
      </c>
      <c r="E44" s="3">
        <v>4.0</v>
      </c>
      <c r="F44" s="3">
        <v>1.0</v>
      </c>
      <c r="G44" s="3">
        <v>1.0</v>
      </c>
      <c r="H44" s="3">
        <v>1.0</v>
      </c>
      <c r="I44" s="3">
        <v>2.0</v>
      </c>
      <c r="J44" s="3">
        <v>1.0</v>
      </c>
      <c r="K44" s="3">
        <v>1.0</v>
      </c>
      <c r="L44" s="3">
        <v>6.0</v>
      </c>
      <c r="M44" s="3">
        <v>1.0</v>
      </c>
      <c r="N44" s="3">
        <v>6.0</v>
      </c>
      <c r="O44" s="3">
        <v>3.0</v>
      </c>
      <c r="P44" s="3">
        <v>1.0</v>
      </c>
      <c r="Q44" s="3">
        <v>1.0</v>
      </c>
      <c r="R44" s="3">
        <v>7.0</v>
      </c>
      <c r="S44" s="3">
        <v>1.0</v>
      </c>
      <c r="T44" s="3">
        <v>1.0</v>
      </c>
      <c r="U44" s="3">
        <v>6.0</v>
      </c>
      <c r="V44" s="3">
        <v>7.0</v>
      </c>
      <c r="W44" s="3">
        <v>7.0</v>
      </c>
      <c r="X44" s="3">
        <v>5.0</v>
      </c>
      <c r="Y44" s="3">
        <v>7.0</v>
      </c>
      <c r="Z44" s="3">
        <v>5.0</v>
      </c>
      <c r="AA44" s="3">
        <v>5.0</v>
      </c>
      <c r="AB44" s="3">
        <v>6.0</v>
      </c>
    </row>
    <row r="45">
      <c r="A45" s="2">
        <v>45119.424919247685</v>
      </c>
      <c r="B45" s="3">
        <v>47.0</v>
      </c>
      <c r="C45" s="3" t="s">
        <v>28</v>
      </c>
      <c r="D45" s="3">
        <v>1.0</v>
      </c>
      <c r="E45" s="3">
        <v>1.0</v>
      </c>
      <c r="F45" s="3">
        <v>7.0</v>
      </c>
      <c r="G45" s="3">
        <v>7.0</v>
      </c>
      <c r="H45" s="3">
        <v>1.0</v>
      </c>
      <c r="I45" s="3">
        <v>5.0</v>
      </c>
      <c r="J45" s="3">
        <v>1.0</v>
      </c>
      <c r="K45" s="3">
        <v>7.0</v>
      </c>
      <c r="L45" s="3">
        <v>7.0</v>
      </c>
      <c r="M45" s="3">
        <v>7.0</v>
      </c>
      <c r="N45" s="3">
        <v>7.0</v>
      </c>
      <c r="O45" s="3">
        <v>1.0</v>
      </c>
      <c r="P45" s="3">
        <v>7.0</v>
      </c>
      <c r="Q45" s="3">
        <v>7.0</v>
      </c>
      <c r="R45" s="3">
        <v>7.0</v>
      </c>
      <c r="S45" s="3">
        <v>1.0</v>
      </c>
      <c r="T45" s="3">
        <v>5.0</v>
      </c>
      <c r="U45" s="3">
        <v>1.0</v>
      </c>
      <c r="V45" s="3">
        <v>1.0</v>
      </c>
      <c r="W45" s="3">
        <v>7.0</v>
      </c>
      <c r="X45" s="3">
        <v>7.0</v>
      </c>
      <c r="Y45" s="3">
        <v>1.0</v>
      </c>
      <c r="Z45" s="3">
        <v>7.0</v>
      </c>
      <c r="AA45" s="3">
        <v>7.0</v>
      </c>
      <c r="AB45" s="3">
        <v>7.0</v>
      </c>
    </row>
    <row r="46">
      <c r="A46" s="2">
        <v>45119.42628945602</v>
      </c>
      <c r="B46" s="3">
        <v>68.0</v>
      </c>
      <c r="C46" s="3" t="s">
        <v>29</v>
      </c>
      <c r="D46" s="3">
        <v>7.0</v>
      </c>
      <c r="E46" s="3">
        <v>1.0</v>
      </c>
      <c r="F46" s="3">
        <v>7.0</v>
      </c>
      <c r="G46" s="3">
        <v>1.0</v>
      </c>
      <c r="H46" s="3">
        <v>7.0</v>
      </c>
      <c r="I46" s="3">
        <v>7.0</v>
      </c>
      <c r="J46" s="3">
        <v>1.0</v>
      </c>
      <c r="K46" s="3">
        <v>1.0</v>
      </c>
      <c r="L46" s="3">
        <v>7.0</v>
      </c>
      <c r="M46" s="3">
        <v>1.0</v>
      </c>
      <c r="N46" s="3">
        <v>3.0</v>
      </c>
      <c r="O46" s="3">
        <v>1.0</v>
      </c>
      <c r="P46" s="3">
        <v>7.0</v>
      </c>
      <c r="Q46" s="3">
        <v>1.0</v>
      </c>
      <c r="R46" s="3">
        <v>7.0</v>
      </c>
      <c r="S46" s="3">
        <v>1.0</v>
      </c>
      <c r="T46" s="3">
        <v>1.0</v>
      </c>
      <c r="U46" s="3">
        <v>7.0</v>
      </c>
      <c r="V46" s="3">
        <v>1.0</v>
      </c>
      <c r="W46" s="3">
        <v>7.0</v>
      </c>
      <c r="X46" s="3">
        <v>1.0</v>
      </c>
      <c r="Y46" s="3">
        <v>7.0</v>
      </c>
      <c r="Z46" s="3">
        <v>1.0</v>
      </c>
      <c r="AA46" s="3">
        <v>7.0</v>
      </c>
      <c r="AB46" s="3">
        <v>7.0</v>
      </c>
    </row>
    <row r="47">
      <c r="A47" s="2">
        <v>45119.427515937496</v>
      </c>
      <c r="B47" s="3">
        <v>53.0</v>
      </c>
      <c r="C47" s="3" t="s">
        <v>29</v>
      </c>
      <c r="D47" s="3">
        <v>7.0</v>
      </c>
      <c r="E47" s="3">
        <v>7.0</v>
      </c>
      <c r="F47" s="3">
        <v>7.0</v>
      </c>
      <c r="G47" s="3">
        <v>1.0</v>
      </c>
      <c r="H47" s="3">
        <v>1.0</v>
      </c>
      <c r="I47" s="3">
        <v>7.0</v>
      </c>
      <c r="J47" s="3">
        <v>1.0</v>
      </c>
      <c r="K47" s="3">
        <v>4.0</v>
      </c>
      <c r="L47" s="3">
        <v>7.0</v>
      </c>
      <c r="M47" s="3">
        <v>4.0</v>
      </c>
      <c r="N47" s="3">
        <v>7.0</v>
      </c>
      <c r="O47" s="3">
        <v>1.0</v>
      </c>
      <c r="P47" s="3">
        <v>3.0</v>
      </c>
      <c r="Q47" s="3">
        <v>7.0</v>
      </c>
      <c r="R47" s="3">
        <v>7.0</v>
      </c>
      <c r="S47" s="3">
        <v>4.0</v>
      </c>
      <c r="T47" s="3">
        <v>7.0</v>
      </c>
      <c r="U47" s="3">
        <v>7.0</v>
      </c>
      <c r="V47" s="3">
        <v>7.0</v>
      </c>
      <c r="W47" s="3">
        <v>7.0</v>
      </c>
      <c r="X47" s="3">
        <v>6.0</v>
      </c>
      <c r="Y47" s="3">
        <v>7.0</v>
      </c>
      <c r="Z47" s="3">
        <v>5.0</v>
      </c>
      <c r="AA47" s="3">
        <v>7.0</v>
      </c>
      <c r="AB47" s="3">
        <v>6.0</v>
      </c>
    </row>
    <row r="48">
      <c r="A48" s="2">
        <v>45119.42777061343</v>
      </c>
      <c r="B48" s="3">
        <v>40.0</v>
      </c>
      <c r="C48" s="3" t="s">
        <v>29</v>
      </c>
      <c r="D48" s="3">
        <v>7.0</v>
      </c>
      <c r="E48" s="3">
        <v>7.0</v>
      </c>
      <c r="F48" s="3">
        <v>6.0</v>
      </c>
      <c r="G48" s="3">
        <v>1.0</v>
      </c>
      <c r="H48" s="3">
        <v>1.0</v>
      </c>
      <c r="I48" s="3">
        <v>7.0</v>
      </c>
      <c r="J48" s="3">
        <v>2.0</v>
      </c>
      <c r="K48" s="3">
        <v>1.0</v>
      </c>
      <c r="L48" s="3">
        <v>5.0</v>
      </c>
      <c r="M48" s="3">
        <v>2.0</v>
      </c>
      <c r="N48" s="3">
        <v>1.0</v>
      </c>
      <c r="O48" s="3">
        <v>6.0</v>
      </c>
      <c r="P48" s="3">
        <v>1.0</v>
      </c>
      <c r="Q48" s="3">
        <v>1.0</v>
      </c>
      <c r="R48" s="3">
        <v>7.0</v>
      </c>
      <c r="S48" s="3">
        <v>1.0</v>
      </c>
      <c r="T48" s="3">
        <v>2.0</v>
      </c>
      <c r="U48" s="3">
        <v>7.0</v>
      </c>
      <c r="V48" s="3">
        <v>6.0</v>
      </c>
      <c r="W48" s="3">
        <v>1.0</v>
      </c>
      <c r="X48" s="3">
        <v>3.0</v>
      </c>
      <c r="Y48" s="3">
        <v>1.0</v>
      </c>
      <c r="Z48" s="3">
        <v>1.0</v>
      </c>
      <c r="AA48" s="3">
        <v>7.0</v>
      </c>
      <c r="AB48" s="3">
        <v>1.0</v>
      </c>
    </row>
    <row r="49">
      <c r="A49" s="2">
        <v>45119.42920162037</v>
      </c>
      <c r="B49" s="3">
        <v>59.0</v>
      </c>
      <c r="C49" s="3" t="s">
        <v>29</v>
      </c>
      <c r="D49" s="3">
        <v>1.0</v>
      </c>
      <c r="E49" s="3">
        <v>1.0</v>
      </c>
      <c r="F49" s="3">
        <v>4.0</v>
      </c>
      <c r="G49" s="3">
        <v>1.0</v>
      </c>
      <c r="H49" s="3">
        <v>1.0</v>
      </c>
      <c r="I49" s="3">
        <v>7.0</v>
      </c>
      <c r="J49" s="3">
        <v>1.0</v>
      </c>
      <c r="K49" s="3">
        <v>1.0</v>
      </c>
      <c r="L49" s="3">
        <v>6.0</v>
      </c>
      <c r="M49" s="3">
        <v>1.0</v>
      </c>
      <c r="N49" s="3">
        <v>2.0</v>
      </c>
      <c r="O49" s="3">
        <v>1.0</v>
      </c>
      <c r="P49" s="3">
        <v>5.0</v>
      </c>
      <c r="Q49" s="3">
        <v>1.0</v>
      </c>
      <c r="R49" s="3">
        <v>6.0</v>
      </c>
      <c r="S49" s="3">
        <v>1.0</v>
      </c>
      <c r="T49" s="3">
        <v>1.0</v>
      </c>
      <c r="U49" s="3">
        <v>1.0</v>
      </c>
      <c r="V49" s="3">
        <v>6.0</v>
      </c>
      <c r="W49" s="3">
        <v>7.0</v>
      </c>
      <c r="X49" s="3">
        <v>1.0</v>
      </c>
      <c r="Y49" s="3">
        <v>7.0</v>
      </c>
      <c r="Z49" s="3">
        <v>7.0</v>
      </c>
      <c r="AA49" s="3">
        <v>2.0</v>
      </c>
      <c r="AB49" s="3">
        <v>1.0</v>
      </c>
    </row>
    <row r="50">
      <c r="A50" s="2">
        <v>45119.43305099537</v>
      </c>
      <c r="B50" s="3">
        <v>47.0</v>
      </c>
      <c r="C50" s="3" t="s">
        <v>29</v>
      </c>
      <c r="D50" s="3">
        <v>3.0</v>
      </c>
      <c r="E50" s="3">
        <v>6.0</v>
      </c>
      <c r="F50" s="3">
        <v>2.0</v>
      </c>
      <c r="G50" s="3">
        <v>1.0</v>
      </c>
      <c r="H50" s="3">
        <v>6.0</v>
      </c>
      <c r="I50" s="3">
        <v>6.0</v>
      </c>
      <c r="J50" s="3">
        <v>6.0</v>
      </c>
      <c r="K50" s="3">
        <v>1.0</v>
      </c>
      <c r="L50" s="3">
        <v>7.0</v>
      </c>
      <c r="M50" s="3">
        <v>7.0</v>
      </c>
      <c r="N50" s="3">
        <v>7.0</v>
      </c>
      <c r="O50" s="3">
        <v>1.0</v>
      </c>
      <c r="P50" s="3">
        <v>3.0</v>
      </c>
      <c r="Q50" s="3">
        <v>2.0</v>
      </c>
      <c r="R50" s="3">
        <v>6.0</v>
      </c>
      <c r="S50" s="3">
        <v>1.0</v>
      </c>
      <c r="T50" s="3">
        <v>6.0</v>
      </c>
      <c r="U50" s="3">
        <v>6.0</v>
      </c>
      <c r="V50" s="3">
        <v>5.0</v>
      </c>
      <c r="W50" s="3">
        <v>2.0</v>
      </c>
      <c r="X50" s="3">
        <v>5.0</v>
      </c>
      <c r="Y50" s="3">
        <v>6.0</v>
      </c>
      <c r="Z50" s="3">
        <v>6.0</v>
      </c>
      <c r="AA50" s="3">
        <v>6.0</v>
      </c>
      <c r="AB50" s="3">
        <v>6.0</v>
      </c>
    </row>
    <row r="51">
      <c r="A51" s="2">
        <v>45119.435946261576</v>
      </c>
      <c r="B51" s="3">
        <v>39.0</v>
      </c>
      <c r="C51" s="3" t="s">
        <v>29</v>
      </c>
      <c r="D51" s="3">
        <v>6.0</v>
      </c>
      <c r="E51" s="3">
        <v>6.0</v>
      </c>
      <c r="F51" s="3">
        <v>2.0</v>
      </c>
      <c r="G51" s="3">
        <v>1.0</v>
      </c>
      <c r="H51" s="3">
        <v>3.0</v>
      </c>
      <c r="I51" s="3">
        <v>6.0</v>
      </c>
      <c r="J51" s="3">
        <v>4.0</v>
      </c>
      <c r="K51" s="3">
        <v>1.0</v>
      </c>
      <c r="L51" s="3">
        <v>5.0</v>
      </c>
      <c r="M51" s="3">
        <v>3.0</v>
      </c>
      <c r="N51" s="3">
        <v>5.0</v>
      </c>
      <c r="O51" s="3">
        <v>5.0</v>
      </c>
      <c r="P51" s="3">
        <v>5.0</v>
      </c>
      <c r="Q51" s="3">
        <v>6.0</v>
      </c>
      <c r="R51" s="3">
        <v>5.0</v>
      </c>
      <c r="S51" s="3">
        <v>2.0</v>
      </c>
      <c r="T51" s="3">
        <v>4.0</v>
      </c>
      <c r="U51" s="3">
        <v>5.0</v>
      </c>
      <c r="V51" s="3">
        <v>5.0</v>
      </c>
      <c r="W51" s="3">
        <v>2.0</v>
      </c>
      <c r="X51" s="3">
        <v>2.0</v>
      </c>
      <c r="Y51" s="3">
        <v>2.0</v>
      </c>
      <c r="Z51" s="3">
        <v>6.0</v>
      </c>
      <c r="AA51" s="3">
        <v>6.0</v>
      </c>
      <c r="AB51" s="3">
        <v>5.0</v>
      </c>
    </row>
    <row r="52">
      <c r="A52" s="2">
        <v>45119.438688333335</v>
      </c>
      <c r="B52" s="3">
        <v>68.0</v>
      </c>
      <c r="C52" s="3" t="s">
        <v>28</v>
      </c>
      <c r="D52" s="3">
        <v>6.0</v>
      </c>
      <c r="E52" s="3">
        <v>7.0</v>
      </c>
      <c r="F52" s="3">
        <v>1.0</v>
      </c>
      <c r="G52" s="3">
        <v>1.0</v>
      </c>
      <c r="H52" s="3">
        <v>2.0</v>
      </c>
      <c r="I52" s="3">
        <v>5.0</v>
      </c>
      <c r="J52" s="3">
        <v>1.0</v>
      </c>
      <c r="K52" s="3">
        <v>1.0</v>
      </c>
      <c r="L52" s="3">
        <v>7.0</v>
      </c>
      <c r="M52" s="3">
        <v>1.0</v>
      </c>
      <c r="N52" s="3">
        <v>1.0</v>
      </c>
      <c r="O52" s="3">
        <v>7.0</v>
      </c>
      <c r="P52" s="3">
        <v>1.0</v>
      </c>
      <c r="Q52" s="3">
        <v>1.0</v>
      </c>
      <c r="R52" s="3">
        <v>4.0</v>
      </c>
      <c r="S52" s="3">
        <v>1.0</v>
      </c>
      <c r="T52" s="3">
        <v>1.0</v>
      </c>
      <c r="U52" s="3">
        <v>7.0</v>
      </c>
      <c r="V52" s="3">
        <v>7.0</v>
      </c>
      <c r="W52" s="3">
        <v>1.0</v>
      </c>
      <c r="X52" s="3">
        <v>1.0</v>
      </c>
      <c r="Y52" s="3">
        <v>3.0</v>
      </c>
      <c r="Z52" s="3">
        <v>7.0</v>
      </c>
      <c r="AA52" s="3">
        <v>7.0</v>
      </c>
      <c r="AB52" s="3">
        <v>7.0</v>
      </c>
    </row>
    <row r="53">
      <c r="A53" s="2">
        <v>45119.440523576384</v>
      </c>
      <c r="B53" s="3">
        <v>46.0</v>
      </c>
      <c r="C53" s="3" t="s">
        <v>28</v>
      </c>
      <c r="D53" s="3">
        <v>1.0</v>
      </c>
      <c r="E53" s="3">
        <v>7.0</v>
      </c>
      <c r="F53" s="3">
        <v>7.0</v>
      </c>
      <c r="G53" s="3">
        <v>1.0</v>
      </c>
      <c r="H53" s="3">
        <v>1.0</v>
      </c>
      <c r="I53" s="3">
        <v>7.0</v>
      </c>
      <c r="J53" s="3">
        <v>2.0</v>
      </c>
      <c r="K53" s="3">
        <v>1.0</v>
      </c>
      <c r="L53" s="3">
        <v>6.0</v>
      </c>
      <c r="M53" s="3">
        <v>2.0</v>
      </c>
      <c r="N53" s="3">
        <v>5.0</v>
      </c>
      <c r="O53" s="3">
        <v>6.0</v>
      </c>
      <c r="P53" s="3">
        <v>2.0</v>
      </c>
      <c r="Q53" s="3">
        <v>7.0</v>
      </c>
      <c r="R53" s="3">
        <v>6.0</v>
      </c>
      <c r="S53" s="3">
        <v>2.0</v>
      </c>
      <c r="T53" s="3">
        <v>5.0</v>
      </c>
      <c r="U53" s="3">
        <v>2.0</v>
      </c>
      <c r="V53" s="3">
        <v>5.0</v>
      </c>
      <c r="W53" s="3">
        <v>2.0</v>
      </c>
      <c r="X53" s="3">
        <v>2.0</v>
      </c>
      <c r="Y53" s="3">
        <v>5.0</v>
      </c>
      <c r="Z53" s="3">
        <v>7.0</v>
      </c>
      <c r="AA53" s="3">
        <v>7.0</v>
      </c>
      <c r="AB53" s="3">
        <v>6.0</v>
      </c>
    </row>
    <row r="54">
      <c r="A54" s="2">
        <v>45119.441696712965</v>
      </c>
      <c r="B54" s="3">
        <v>22.0</v>
      </c>
      <c r="C54" s="3" t="s">
        <v>29</v>
      </c>
      <c r="D54" s="3">
        <v>5.0</v>
      </c>
      <c r="E54" s="3">
        <v>7.0</v>
      </c>
      <c r="F54" s="3">
        <v>3.0</v>
      </c>
      <c r="G54" s="3">
        <v>6.0</v>
      </c>
      <c r="H54" s="3">
        <v>7.0</v>
      </c>
      <c r="I54" s="3">
        <v>7.0</v>
      </c>
      <c r="J54" s="3">
        <v>3.0</v>
      </c>
      <c r="K54" s="3">
        <v>2.0</v>
      </c>
      <c r="L54" s="3">
        <v>6.0</v>
      </c>
      <c r="M54" s="3">
        <v>2.0</v>
      </c>
      <c r="N54" s="3">
        <v>7.0</v>
      </c>
      <c r="O54" s="3">
        <v>5.0</v>
      </c>
      <c r="P54" s="3">
        <v>4.0</v>
      </c>
      <c r="Q54" s="3">
        <v>7.0</v>
      </c>
      <c r="R54" s="3">
        <v>6.0</v>
      </c>
      <c r="S54" s="3">
        <v>2.0</v>
      </c>
      <c r="T54" s="3">
        <v>4.0</v>
      </c>
      <c r="U54" s="3">
        <v>3.0</v>
      </c>
      <c r="V54" s="3">
        <v>1.0</v>
      </c>
      <c r="W54" s="3">
        <v>7.0</v>
      </c>
      <c r="X54" s="3">
        <v>5.0</v>
      </c>
      <c r="Y54" s="3">
        <v>7.0</v>
      </c>
      <c r="Z54" s="3">
        <v>6.0</v>
      </c>
      <c r="AA54" s="3">
        <v>5.0</v>
      </c>
      <c r="AB54" s="3">
        <v>2.0</v>
      </c>
    </row>
    <row r="55">
      <c r="A55" s="2">
        <v>45119.44866429398</v>
      </c>
      <c r="B55" s="3">
        <v>54.0</v>
      </c>
      <c r="C55" s="3" t="s">
        <v>29</v>
      </c>
      <c r="D55" s="3">
        <v>1.0</v>
      </c>
      <c r="E55" s="3">
        <v>6.0</v>
      </c>
      <c r="F55" s="3">
        <v>2.0</v>
      </c>
      <c r="G55" s="3">
        <v>1.0</v>
      </c>
      <c r="H55" s="3">
        <v>7.0</v>
      </c>
      <c r="I55" s="3">
        <v>1.0</v>
      </c>
      <c r="J55" s="3">
        <v>2.0</v>
      </c>
      <c r="K55" s="3">
        <v>1.0</v>
      </c>
      <c r="L55" s="3">
        <v>7.0</v>
      </c>
      <c r="M55" s="3">
        <v>1.0</v>
      </c>
      <c r="N55" s="3">
        <v>6.0</v>
      </c>
      <c r="O55" s="3">
        <v>1.0</v>
      </c>
      <c r="P55" s="3">
        <v>1.0</v>
      </c>
      <c r="Q55" s="3">
        <v>6.0</v>
      </c>
      <c r="R55" s="3">
        <v>7.0</v>
      </c>
      <c r="S55" s="3">
        <v>1.0</v>
      </c>
      <c r="T55" s="3">
        <v>1.0</v>
      </c>
      <c r="U55" s="3">
        <v>6.0</v>
      </c>
      <c r="V55" s="3">
        <v>1.0</v>
      </c>
      <c r="W55" s="3">
        <v>7.0</v>
      </c>
      <c r="X55" s="3">
        <v>2.0</v>
      </c>
      <c r="Y55" s="3">
        <v>1.0</v>
      </c>
      <c r="Z55" s="3">
        <v>7.0</v>
      </c>
      <c r="AA55" s="3">
        <v>7.0</v>
      </c>
      <c r="AB55" s="3">
        <v>7.0</v>
      </c>
    </row>
    <row r="56">
      <c r="A56" s="2">
        <v>45119.548666145834</v>
      </c>
      <c r="B56" s="3">
        <v>72.0</v>
      </c>
      <c r="C56" s="3" t="s">
        <v>29</v>
      </c>
      <c r="D56" s="3">
        <v>7.0</v>
      </c>
      <c r="E56" s="3">
        <v>7.0</v>
      </c>
      <c r="F56" s="3">
        <v>7.0</v>
      </c>
      <c r="G56" s="3">
        <v>1.0</v>
      </c>
      <c r="H56" s="3">
        <v>2.0</v>
      </c>
      <c r="I56" s="3">
        <v>7.0</v>
      </c>
      <c r="J56" s="3">
        <v>6.0</v>
      </c>
      <c r="K56" s="3">
        <v>1.0</v>
      </c>
      <c r="L56" s="3">
        <v>7.0</v>
      </c>
      <c r="M56" s="3">
        <v>1.0</v>
      </c>
      <c r="N56" s="3">
        <v>1.0</v>
      </c>
      <c r="O56" s="3">
        <v>5.0</v>
      </c>
      <c r="P56" s="3">
        <v>2.0</v>
      </c>
      <c r="Q56" s="3">
        <v>1.0</v>
      </c>
      <c r="R56" s="3">
        <v>7.0</v>
      </c>
      <c r="S56" s="3">
        <v>2.0</v>
      </c>
      <c r="T56" s="3">
        <v>1.0</v>
      </c>
      <c r="U56" s="3">
        <v>5.0</v>
      </c>
      <c r="V56" s="3">
        <v>7.0</v>
      </c>
      <c r="W56" s="3">
        <v>1.0</v>
      </c>
      <c r="X56" s="3">
        <v>1.0</v>
      </c>
      <c r="Y56" s="3">
        <v>1.0</v>
      </c>
      <c r="Z56" s="3">
        <v>7.0</v>
      </c>
      <c r="AA56" s="3">
        <v>7.0</v>
      </c>
      <c r="AB56" s="3">
        <v>7.0</v>
      </c>
    </row>
    <row r="57">
      <c r="A57" s="2">
        <v>45119.691165173615</v>
      </c>
      <c r="B57" s="3">
        <v>50.0</v>
      </c>
      <c r="C57" s="3" t="s">
        <v>29</v>
      </c>
      <c r="D57" s="3">
        <v>7.0</v>
      </c>
      <c r="E57" s="3">
        <v>7.0</v>
      </c>
      <c r="F57" s="3">
        <v>4.0</v>
      </c>
      <c r="G57" s="3">
        <v>1.0</v>
      </c>
      <c r="H57" s="3">
        <v>1.0</v>
      </c>
      <c r="I57" s="3">
        <v>6.0</v>
      </c>
      <c r="J57" s="3">
        <v>1.0</v>
      </c>
      <c r="K57" s="3">
        <v>1.0</v>
      </c>
      <c r="L57" s="3">
        <v>6.0</v>
      </c>
      <c r="M57" s="3">
        <v>4.0</v>
      </c>
      <c r="N57" s="3">
        <v>2.0</v>
      </c>
      <c r="O57" s="3">
        <v>5.0</v>
      </c>
      <c r="P57" s="3">
        <v>2.0</v>
      </c>
      <c r="Q57" s="3">
        <v>1.0</v>
      </c>
      <c r="R57" s="3">
        <v>7.0</v>
      </c>
      <c r="S57" s="3">
        <v>2.0</v>
      </c>
      <c r="T57" s="3">
        <v>6.0</v>
      </c>
      <c r="U57" s="3">
        <v>6.0</v>
      </c>
      <c r="V57" s="3">
        <v>6.0</v>
      </c>
      <c r="W57" s="3">
        <v>2.0</v>
      </c>
      <c r="X57" s="3">
        <v>1.0</v>
      </c>
      <c r="Y57" s="3">
        <v>6.0</v>
      </c>
      <c r="Z57" s="3">
        <v>6.0</v>
      </c>
      <c r="AA57" s="3">
        <v>7.0</v>
      </c>
      <c r="AB57" s="3">
        <v>6.0</v>
      </c>
    </row>
    <row r="58">
      <c r="A58" s="2">
        <v>45119.69881356481</v>
      </c>
      <c r="B58" s="3">
        <v>20.0</v>
      </c>
      <c r="C58" s="3" t="s">
        <v>28</v>
      </c>
      <c r="D58" s="3">
        <v>5.0</v>
      </c>
      <c r="E58" s="3">
        <v>6.0</v>
      </c>
      <c r="F58" s="3">
        <v>5.0</v>
      </c>
      <c r="G58" s="3">
        <v>2.0</v>
      </c>
      <c r="H58" s="3">
        <v>2.0</v>
      </c>
      <c r="I58" s="3">
        <v>7.0</v>
      </c>
      <c r="J58" s="3">
        <v>5.0</v>
      </c>
      <c r="K58" s="3">
        <v>1.0</v>
      </c>
      <c r="L58" s="3">
        <v>6.0</v>
      </c>
      <c r="M58" s="3">
        <v>4.0</v>
      </c>
      <c r="N58" s="3">
        <v>5.0</v>
      </c>
      <c r="O58" s="3">
        <v>3.0</v>
      </c>
      <c r="P58" s="3">
        <v>3.0</v>
      </c>
      <c r="Q58" s="3">
        <v>6.0</v>
      </c>
      <c r="R58" s="3">
        <v>6.0</v>
      </c>
      <c r="S58" s="3">
        <v>2.0</v>
      </c>
      <c r="T58" s="3">
        <v>3.0</v>
      </c>
      <c r="U58" s="3">
        <v>6.0</v>
      </c>
      <c r="V58" s="3">
        <v>2.0</v>
      </c>
      <c r="W58" s="3">
        <v>2.0</v>
      </c>
      <c r="X58" s="3">
        <v>2.0</v>
      </c>
      <c r="Y58" s="3">
        <v>1.0</v>
      </c>
      <c r="Z58" s="3">
        <v>5.0</v>
      </c>
      <c r="AA58" s="3">
        <v>5.0</v>
      </c>
      <c r="AB58" s="3">
        <v>7.0</v>
      </c>
    </row>
    <row r="59">
      <c r="A59" s="2">
        <v>45119.69967206019</v>
      </c>
      <c r="B59" s="3">
        <v>58.0</v>
      </c>
      <c r="C59" s="3" t="s">
        <v>29</v>
      </c>
      <c r="D59" s="3">
        <v>3.0</v>
      </c>
      <c r="E59" s="3">
        <v>4.0</v>
      </c>
      <c r="F59" s="3">
        <v>1.0</v>
      </c>
      <c r="G59" s="3">
        <v>1.0</v>
      </c>
      <c r="H59" s="3">
        <v>2.0</v>
      </c>
      <c r="I59" s="3">
        <v>7.0</v>
      </c>
      <c r="J59" s="3">
        <v>5.0</v>
      </c>
      <c r="K59" s="3">
        <v>1.0</v>
      </c>
      <c r="L59" s="3">
        <v>6.0</v>
      </c>
      <c r="M59" s="3">
        <v>1.0</v>
      </c>
      <c r="N59" s="3">
        <v>2.0</v>
      </c>
      <c r="O59" s="3">
        <v>1.0</v>
      </c>
      <c r="P59" s="3">
        <v>1.0</v>
      </c>
      <c r="Q59" s="3">
        <v>7.0</v>
      </c>
      <c r="R59" s="3">
        <v>7.0</v>
      </c>
      <c r="S59" s="3">
        <v>1.0</v>
      </c>
      <c r="T59" s="3">
        <v>2.0</v>
      </c>
      <c r="U59" s="3">
        <v>6.0</v>
      </c>
      <c r="V59" s="3">
        <v>5.0</v>
      </c>
      <c r="W59" s="3">
        <v>1.0</v>
      </c>
      <c r="X59" s="3">
        <v>1.0</v>
      </c>
      <c r="Y59" s="3">
        <v>3.0</v>
      </c>
      <c r="Z59" s="3">
        <v>7.0</v>
      </c>
      <c r="AA59" s="3">
        <v>7.0</v>
      </c>
      <c r="AB59" s="3">
        <v>1.0</v>
      </c>
    </row>
    <row r="60">
      <c r="A60" s="2">
        <v>45119.702877372685</v>
      </c>
      <c r="B60" s="3">
        <v>33.0</v>
      </c>
      <c r="C60" s="3" t="s">
        <v>29</v>
      </c>
      <c r="D60" s="3">
        <v>6.0</v>
      </c>
      <c r="E60" s="3">
        <v>6.0</v>
      </c>
      <c r="F60" s="3">
        <v>3.0</v>
      </c>
      <c r="G60" s="3">
        <v>2.0</v>
      </c>
      <c r="H60" s="3">
        <v>2.0</v>
      </c>
      <c r="I60" s="3">
        <v>6.0</v>
      </c>
      <c r="J60" s="3">
        <v>3.0</v>
      </c>
      <c r="K60" s="3">
        <v>1.0</v>
      </c>
      <c r="L60" s="3">
        <v>5.0</v>
      </c>
      <c r="M60" s="3">
        <v>3.0</v>
      </c>
      <c r="N60" s="3">
        <v>6.0</v>
      </c>
      <c r="O60" s="3">
        <v>3.0</v>
      </c>
      <c r="P60" s="3">
        <v>1.0</v>
      </c>
      <c r="Q60" s="3">
        <v>6.0</v>
      </c>
      <c r="R60" s="3">
        <v>6.0</v>
      </c>
      <c r="S60" s="3">
        <v>1.0</v>
      </c>
      <c r="T60" s="3">
        <v>6.0</v>
      </c>
      <c r="U60" s="3">
        <v>6.0</v>
      </c>
      <c r="V60" s="3">
        <v>6.0</v>
      </c>
      <c r="W60" s="3">
        <v>6.0</v>
      </c>
      <c r="X60" s="3">
        <v>2.0</v>
      </c>
      <c r="Y60" s="3">
        <v>6.0</v>
      </c>
      <c r="Z60" s="3">
        <v>6.0</v>
      </c>
      <c r="AA60" s="3">
        <v>7.0</v>
      </c>
      <c r="AB60" s="3">
        <v>6.0</v>
      </c>
    </row>
    <row r="61">
      <c r="A61" s="2">
        <v>45119.70579143519</v>
      </c>
      <c r="B61" s="3">
        <v>53.0</v>
      </c>
      <c r="C61" s="3" t="s">
        <v>28</v>
      </c>
      <c r="D61" s="3">
        <v>6.0</v>
      </c>
      <c r="E61" s="3">
        <v>7.0</v>
      </c>
      <c r="F61" s="3">
        <v>6.0</v>
      </c>
      <c r="G61" s="3">
        <v>1.0</v>
      </c>
      <c r="H61" s="3">
        <v>1.0</v>
      </c>
      <c r="I61" s="3">
        <v>2.0</v>
      </c>
      <c r="J61" s="3">
        <v>1.0</v>
      </c>
      <c r="K61" s="3">
        <v>1.0</v>
      </c>
      <c r="L61" s="3">
        <v>5.0</v>
      </c>
      <c r="M61" s="3">
        <v>6.0</v>
      </c>
      <c r="N61" s="3">
        <v>6.0</v>
      </c>
      <c r="O61" s="3">
        <v>3.0</v>
      </c>
      <c r="P61" s="3">
        <v>6.0</v>
      </c>
      <c r="Q61" s="3">
        <v>1.0</v>
      </c>
      <c r="R61" s="3">
        <v>7.0</v>
      </c>
      <c r="S61" s="3">
        <v>1.0</v>
      </c>
      <c r="T61" s="3">
        <v>3.0</v>
      </c>
      <c r="U61" s="3">
        <v>6.0</v>
      </c>
      <c r="V61" s="3">
        <v>1.0</v>
      </c>
      <c r="W61" s="3">
        <v>1.0</v>
      </c>
      <c r="X61" s="3">
        <v>2.0</v>
      </c>
      <c r="Y61" s="3">
        <v>7.0</v>
      </c>
      <c r="Z61" s="3">
        <v>3.0</v>
      </c>
      <c r="AA61" s="3">
        <v>7.0</v>
      </c>
      <c r="AB61" s="3">
        <v>6.0</v>
      </c>
    </row>
    <row r="62">
      <c r="A62" s="2">
        <v>45119.71156653935</v>
      </c>
      <c r="B62" s="3">
        <v>65.0</v>
      </c>
      <c r="C62" s="3" t="s">
        <v>29</v>
      </c>
      <c r="D62" s="3">
        <v>2.0</v>
      </c>
      <c r="E62" s="3">
        <v>7.0</v>
      </c>
      <c r="F62" s="3">
        <v>1.0</v>
      </c>
      <c r="G62" s="3">
        <v>1.0</v>
      </c>
      <c r="H62" s="3">
        <v>1.0</v>
      </c>
      <c r="I62" s="3">
        <v>7.0</v>
      </c>
      <c r="J62" s="3">
        <v>1.0</v>
      </c>
      <c r="K62" s="3">
        <v>1.0</v>
      </c>
      <c r="L62" s="3">
        <v>7.0</v>
      </c>
      <c r="M62" s="3">
        <v>2.0</v>
      </c>
      <c r="N62" s="3">
        <v>6.0</v>
      </c>
      <c r="O62" s="3">
        <v>1.0</v>
      </c>
      <c r="P62" s="3">
        <v>1.0</v>
      </c>
      <c r="Q62" s="3">
        <v>1.0</v>
      </c>
      <c r="R62" s="3">
        <v>7.0</v>
      </c>
      <c r="S62" s="3">
        <v>1.0</v>
      </c>
      <c r="T62" s="3">
        <v>1.0</v>
      </c>
      <c r="U62" s="3">
        <v>2.0</v>
      </c>
      <c r="V62" s="3">
        <v>1.0</v>
      </c>
      <c r="W62" s="3">
        <v>1.0</v>
      </c>
      <c r="X62" s="3">
        <v>1.0</v>
      </c>
      <c r="Y62" s="3">
        <v>2.0</v>
      </c>
      <c r="Z62" s="3">
        <v>2.0</v>
      </c>
      <c r="AA62" s="3">
        <v>7.0</v>
      </c>
      <c r="AB62" s="3">
        <v>1.0</v>
      </c>
    </row>
    <row r="63">
      <c r="A63" s="2">
        <v>45119.74092305556</v>
      </c>
      <c r="B63" s="3">
        <v>52.0</v>
      </c>
      <c r="C63" s="3" t="s">
        <v>29</v>
      </c>
      <c r="D63" s="3">
        <v>5.0</v>
      </c>
      <c r="E63" s="3">
        <v>6.0</v>
      </c>
      <c r="F63" s="3">
        <v>6.0</v>
      </c>
      <c r="G63" s="3">
        <v>2.0</v>
      </c>
      <c r="H63" s="3">
        <v>2.0</v>
      </c>
      <c r="I63" s="3">
        <v>2.0</v>
      </c>
      <c r="J63" s="3">
        <v>2.0</v>
      </c>
      <c r="K63" s="3">
        <v>1.0</v>
      </c>
      <c r="L63" s="3">
        <v>1.0</v>
      </c>
      <c r="M63" s="3">
        <v>6.0</v>
      </c>
      <c r="N63" s="3">
        <v>6.0</v>
      </c>
      <c r="O63" s="3">
        <v>1.0</v>
      </c>
      <c r="P63" s="3">
        <v>1.0</v>
      </c>
      <c r="Q63" s="3">
        <v>6.0</v>
      </c>
      <c r="R63" s="3">
        <v>2.0</v>
      </c>
      <c r="S63" s="3">
        <v>1.0</v>
      </c>
      <c r="T63" s="3">
        <v>6.0</v>
      </c>
      <c r="U63" s="3">
        <v>2.0</v>
      </c>
      <c r="V63" s="3">
        <v>1.0</v>
      </c>
      <c r="W63" s="3">
        <v>6.0</v>
      </c>
      <c r="X63" s="3">
        <v>2.0</v>
      </c>
      <c r="Y63" s="3">
        <v>6.0</v>
      </c>
      <c r="Z63" s="3">
        <v>6.0</v>
      </c>
      <c r="AA63" s="3">
        <v>6.0</v>
      </c>
      <c r="AB63" s="3">
        <v>6.0</v>
      </c>
    </row>
    <row r="64">
      <c r="A64" s="2">
        <v>45119.7576658912</v>
      </c>
      <c r="B64" s="3">
        <v>87.0</v>
      </c>
      <c r="C64" s="3" t="s">
        <v>29</v>
      </c>
      <c r="D64" s="3">
        <v>7.0</v>
      </c>
      <c r="E64" s="3">
        <v>7.0</v>
      </c>
      <c r="F64" s="3">
        <v>2.0</v>
      </c>
      <c r="G64" s="3">
        <v>1.0</v>
      </c>
      <c r="H64" s="3">
        <v>4.0</v>
      </c>
      <c r="I64" s="3">
        <v>7.0</v>
      </c>
      <c r="J64" s="3">
        <v>1.0</v>
      </c>
      <c r="K64" s="3">
        <v>1.0</v>
      </c>
      <c r="L64" s="3">
        <v>7.0</v>
      </c>
      <c r="M64" s="3">
        <v>3.0</v>
      </c>
      <c r="N64" s="3">
        <v>4.0</v>
      </c>
      <c r="O64" s="3">
        <v>7.0</v>
      </c>
      <c r="P64" s="3">
        <v>4.0</v>
      </c>
      <c r="Q64" s="3">
        <v>1.0</v>
      </c>
      <c r="R64" s="3">
        <v>7.0</v>
      </c>
      <c r="S64" s="3">
        <v>1.0</v>
      </c>
      <c r="T64" s="3">
        <v>7.0</v>
      </c>
      <c r="U64" s="3">
        <v>7.0</v>
      </c>
      <c r="V64" s="3">
        <v>4.0</v>
      </c>
      <c r="W64" s="3">
        <v>5.0</v>
      </c>
      <c r="X64" s="3">
        <v>4.0</v>
      </c>
      <c r="Y64" s="3">
        <v>7.0</v>
      </c>
      <c r="Z64" s="3">
        <v>7.0</v>
      </c>
      <c r="AA64" s="3">
        <v>7.0</v>
      </c>
      <c r="AB64" s="3">
        <v>7.0</v>
      </c>
    </row>
    <row r="65">
      <c r="A65" s="2">
        <v>45119.7668616088</v>
      </c>
      <c r="B65" s="3">
        <v>51.0</v>
      </c>
      <c r="C65" s="3" t="s">
        <v>28</v>
      </c>
      <c r="D65" s="3">
        <v>1.0</v>
      </c>
      <c r="E65" s="3">
        <v>5.0</v>
      </c>
      <c r="F65" s="3">
        <v>2.0</v>
      </c>
      <c r="G65" s="3">
        <v>1.0</v>
      </c>
      <c r="H65" s="3">
        <v>1.0</v>
      </c>
      <c r="I65" s="3">
        <v>7.0</v>
      </c>
      <c r="J65" s="3">
        <v>1.0</v>
      </c>
      <c r="K65" s="3">
        <v>1.0</v>
      </c>
      <c r="L65" s="3">
        <v>7.0</v>
      </c>
      <c r="M65" s="3">
        <v>2.0</v>
      </c>
      <c r="N65" s="3">
        <v>5.0</v>
      </c>
      <c r="O65" s="3">
        <v>1.0</v>
      </c>
      <c r="P65" s="3">
        <v>1.0</v>
      </c>
      <c r="Q65" s="3">
        <v>6.0</v>
      </c>
      <c r="R65" s="3">
        <v>6.0</v>
      </c>
      <c r="S65" s="3">
        <v>2.0</v>
      </c>
      <c r="T65" s="3">
        <v>7.0</v>
      </c>
      <c r="U65" s="3">
        <v>5.0</v>
      </c>
      <c r="V65" s="3">
        <v>6.0</v>
      </c>
      <c r="W65" s="3">
        <v>1.0</v>
      </c>
      <c r="X65" s="3">
        <v>2.0</v>
      </c>
      <c r="Y65" s="3">
        <v>7.0</v>
      </c>
      <c r="Z65" s="3">
        <v>6.0</v>
      </c>
      <c r="AA65" s="3">
        <v>7.0</v>
      </c>
      <c r="AB65" s="3">
        <v>5.0</v>
      </c>
    </row>
    <row r="66">
      <c r="A66" s="2">
        <v>45119.774990949074</v>
      </c>
      <c r="B66" s="3">
        <v>50.0</v>
      </c>
      <c r="C66" s="3" t="s">
        <v>29</v>
      </c>
      <c r="D66" s="3">
        <v>1.0</v>
      </c>
      <c r="E66" s="3">
        <v>7.0</v>
      </c>
      <c r="F66" s="3">
        <v>5.0</v>
      </c>
      <c r="G66" s="3">
        <v>1.0</v>
      </c>
      <c r="H66" s="3">
        <v>1.0</v>
      </c>
      <c r="I66" s="3">
        <v>7.0</v>
      </c>
      <c r="J66" s="3">
        <v>1.0</v>
      </c>
      <c r="K66" s="3">
        <v>1.0</v>
      </c>
      <c r="L66" s="3">
        <v>6.0</v>
      </c>
      <c r="M66" s="3">
        <v>1.0</v>
      </c>
      <c r="N66" s="3">
        <v>7.0</v>
      </c>
      <c r="O66" s="3">
        <v>1.0</v>
      </c>
      <c r="P66" s="3">
        <v>1.0</v>
      </c>
      <c r="Q66" s="3">
        <v>6.0</v>
      </c>
      <c r="R66" s="3">
        <v>7.0</v>
      </c>
      <c r="S66" s="3">
        <v>1.0</v>
      </c>
      <c r="T66" s="3">
        <v>1.0</v>
      </c>
      <c r="U66" s="3">
        <v>7.0</v>
      </c>
      <c r="V66" s="3">
        <v>4.0</v>
      </c>
      <c r="W66" s="3">
        <v>3.0</v>
      </c>
      <c r="X66" s="3">
        <v>3.0</v>
      </c>
      <c r="Y66" s="3">
        <v>7.0</v>
      </c>
      <c r="Z66" s="3">
        <v>7.0</v>
      </c>
      <c r="AA66" s="3">
        <v>7.0</v>
      </c>
      <c r="AB66" s="3">
        <v>7.0</v>
      </c>
    </row>
    <row r="67">
      <c r="A67" s="2">
        <v>45119.80879105324</v>
      </c>
      <c r="B67" s="3">
        <v>78.0</v>
      </c>
      <c r="C67" s="3" t="s">
        <v>29</v>
      </c>
      <c r="D67" s="3">
        <v>7.0</v>
      </c>
      <c r="E67" s="3">
        <v>7.0</v>
      </c>
      <c r="F67" s="3">
        <v>1.0</v>
      </c>
      <c r="G67" s="3">
        <v>7.0</v>
      </c>
      <c r="H67" s="3">
        <v>1.0</v>
      </c>
      <c r="I67" s="3">
        <v>7.0</v>
      </c>
      <c r="J67" s="3">
        <v>1.0</v>
      </c>
      <c r="K67" s="3">
        <v>1.0</v>
      </c>
      <c r="L67" s="3">
        <v>2.0</v>
      </c>
      <c r="M67" s="3">
        <v>1.0</v>
      </c>
      <c r="N67" s="3">
        <v>1.0</v>
      </c>
      <c r="O67" s="3">
        <v>7.0</v>
      </c>
      <c r="P67" s="3">
        <v>1.0</v>
      </c>
      <c r="Q67" s="3">
        <v>1.0</v>
      </c>
      <c r="R67" s="3">
        <v>7.0</v>
      </c>
      <c r="S67" s="3">
        <v>1.0</v>
      </c>
      <c r="T67" s="3">
        <v>1.0</v>
      </c>
      <c r="U67" s="3">
        <v>7.0</v>
      </c>
      <c r="V67" s="3">
        <v>1.0</v>
      </c>
      <c r="W67" s="3">
        <v>1.0</v>
      </c>
      <c r="X67" s="3">
        <v>1.0</v>
      </c>
      <c r="Y67" s="3">
        <v>7.0</v>
      </c>
      <c r="Z67" s="3">
        <v>7.0</v>
      </c>
      <c r="AA67" s="3">
        <v>7.0</v>
      </c>
      <c r="AB67" s="3">
        <v>7.0</v>
      </c>
    </row>
    <row r="68">
      <c r="A68" s="2">
        <v>45119.813739641206</v>
      </c>
      <c r="B68" s="3">
        <v>54.0</v>
      </c>
      <c r="C68" s="3" t="s">
        <v>28</v>
      </c>
      <c r="D68" s="3">
        <v>7.0</v>
      </c>
      <c r="E68" s="3">
        <v>1.0</v>
      </c>
      <c r="F68" s="3">
        <v>1.0</v>
      </c>
      <c r="G68" s="3">
        <v>1.0</v>
      </c>
      <c r="H68" s="3">
        <v>4.0</v>
      </c>
      <c r="I68" s="3">
        <v>1.0</v>
      </c>
      <c r="J68" s="3">
        <v>2.0</v>
      </c>
      <c r="K68" s="3">
        <v>1.0</v>
      </c>
      <c r="L68" s="3">
        <v>7.0</v>
      </c>
      <c r="M68" s="3">
        <v>1.0</v>
      </c>
      <c r="N68" s="3">
        <v>7.0</v>
      </c>
      <c r="O68" s="3">
        <v>2.0</v>
      </c>
      <c r="P68" s="3">
        <v>1.0</v>
      </c>
      <c r="Q68" s="3">
        <v>1.0</v>
      </c>
      <c r="R68" s="3">
        <v>7.0</v>
      </c>
      <c r="S68" s="3">
        <v>3.0</v>
      </c>
      <c r="T68" s="3">
        <v>1.0</v>
      </c>
      <c r="U68" s="3">
        <v>7.0</v>
      </c>
      <c r="V68" s="3">
        <v>4.0</v>
      </c>
      <c r="W68" s="3">
        <v>1.0</v>
      </c>
      <c r="X68" s="3">
        <v>3.0</v>
      </c>
      <c r="Y68" s="3">
        <v>7.0</v>
      </c>
      <c r="Z68" s="3">
        <v>4.0</v>
      </c>
      <c r="AA68" s="3">
        <v>7.0</v>
      </c>
      <c r="AB68" s="3">
        <v>7.0</v>
      </c>
    </row>
    <row r="69">
      <c r="A69" s="2">
        <v>45119.816618530094</v>
      </c>
      <c r="B69" s="3">
        <v>46.0</v>
      </c>
      <c r="C69" s="3" t="s">
        <v>29</v>
      </c>
      <c r="D69" s="3">
        <v>2.0</v>
      </c>
      <c r="E69" s="3">
        <v>7.0</v>
      </c>
      <c r="F69" s="3">
        <v>5.0</v>
      </c>
      <c r="G69" s="3">
        <v>1.0</v>
      </c>
      <c r="H69" s="3">
        <v>1.0</v>
      </c>
      <c r="I69" s="3">
        <v>7.0</v>
      </c>
      <c r="J69" s="3">
        <v>6.0</v>
      </c>
      <c r="K69" s="3">
        <v>1.0</v>
      </c>
      <c r="L69" s="3">
        <v>6.0</v>
      </c>
      <c r="M69" s="3">
        <v>1.0</v>
      </c>
      <c r="N69" s="3">
        <v>1.0</v>
      </c>
      <c r="O69" s="3">
        <v>2.0</v>
      </c>
      <c r="P69" s="3">
        <v>1.0</v>
      </c>
      <c r="Q69" s="3">
        <v>2.0</v>
      </c>
      <c r="R69" s="3">
        <v>7.0</v>
      </c>
      <c r="S69" s="3">
        <v>2.0</v>
      </c>
      <c r="T69" s="3">
        <v>2.0</v>
      </c>
      <c r="U69" s="3">
        <v>3.0</v>
      </c>
      <c r="V69" s="3">
        <v>5.0</v>
      </c>
      <c r="W69" s="3">
        <v>1.0</v>
      </c>
      <c r="X69" s="3">
        <v>2.0</v>
      </c>
      <c r="Y69" s="3">
        <v>4.0</v>
      </c>
      <c r="Z69" s="3">
        <v>6.0</v>
      </c>
      <c r="AA69" s="3">
        <v>5.0</v>
      </c>
      <c r="AB69" s="3">
        <v>1.0</v>
      </c>
    </row>
    <row r="70">
      <c r="A70" s="2">
        <v>45119.83048265046</v>
      </c>
      <c r="B70" s="3">
        <v>60.0</v>
      </c>
      <c r="C70" s="3" t="s">
        <v>28</v>
      </c>
      <c r="D70" s="3">
        <v>6.0</v>
      </c>
      <c r="E70" s="3">
        <v>6.0</v>
      </c>
      <c r="F70" s="3">
        <v>7.0</v>
      </c>
      <c r="G70" s="3">
        <v>1.0</v>
      </c>
      <c r="H70" s="3">
        <v>6.0</v>
      </c>
      <c r="I70" s="3">
        <v>6.0</v>
      </c>
      <c r="J70" s="3">
        <v>3.0</v>
      </c>
      <c r="K70" s="3">
        <v>1.0</v>
      </c>
      <c r="L70" s="3">
        <v>7.0</v>
      </c>
      <c r="M70" s="3">
        <v>6.0</v>
      </c>
      <c r="N70" s="3">
        <v>7.0</v>
      </c>
      <c r="O70" s="3">
        <v>2.0</v>
      </c>
      <c r="P70" s="3">
        <v>3.0</v>
      </c>
      <c r="Q70" s="3">
        <v>5.0</v>
      </c>
      <c r="R70" s="3">
        <v>7.0</v>
      </c>
      <c r="S70" s="3">
        <v>2.0</v>
      </c>
      <c r="T70" s="3">
        <v>5.0</v>
      </c>
      <c r="U70" s="3">
        <v>7.0</v>
      </c>
      <c r="V70" s="3">
        <v>5.0</v>
      </c>
      <c r="W70" s="3">
        <v>3.0</v>
      </c>
      <c r="X70" s="3">
        <v>2.0</v>
      </c>
      <c r="Y70" s="3">
        <v>3.0</v>
      </c>
      <c r="Z70" s="3">
        <v>7.0</v>
      </c>
      <c r="AA70" s="3">
        <v>7.0</v>
      </c>
      <c r="AB70" s="3">
        <v>7.0</v>
      </c>
    </row>
    <row r="71">
      <c r="A71" s="2">
        <v>45119.83144807871</v>
      </c>
      <c r="B71" s="3">
        <v>57.0</v>
      </c>
      <c r="C71" s="3" t="s">
        <v>29</v>
      </c>
      <c r="D71" s="3">
        <v>6.0</v>
      </c>
      <c r="E71" s="3">
        <v>1.0</v>
      </c>
      <c r="F71" s="3">
        <v>1.0</v>
      </c>
      <c r="G71" s="3">
        <v>1.0</v>
      </c>
      <c r="H71" s="3">
        <v>1.0</v>
      </c>
      <c r="I71" s="3">
        <v>7.0</v>
      </c>
      <c r="J71" s="3">
        <v>1.0</v>
      </c>
      <c r="K71" s="3">
        <v>1.0</v>
      </c>
      <c r="L71" s="3">
        <v>1.0</v>
      </c>
      <c r="M71" s="3">
        <v>1.0</v>
      </c>
      <c r="N71" s="3">
        <v>1.0</v>
      </c>
      <c r="O71" s="3">
        <v>1.0</v>
      </c>
      <c r="P71" s="3">
        <v>1.0</v>
      </c>
      <c r="Q71" s="3">
        <v>5.0</v>
      </c>
      <c r="R71" s="3">
        <v>1.0</v>
      </c>
      <c r="S71" s="3">
        <v>1.0</v>
      </c>
      <c r="T71" s="3">
        <v>7.0</v>
      </c>
      <c r="U71" s="3">
        <v>1.0</v>
      </c>
      <c r="V71" s="3">
        <v>7.0</v>
      </c>
      <c r="W71" s="3">
        <v>1.0</v>
      </c>
      <c r="X71" s="3">
        <v>1.0</v>
      </c>
      <c r="Y71" s="3">
        <v>7.0</v>
      </c>
      <c r="Z71" s="3">
        <v>7.0</v>
      </c>
      <c r="AA71" s="3">
        <v>7.0</v>
      </c>
      <c r="AB71" s="3">
        <v>1.0</v>
      </c>
    </row>
    <row r="72">
      <c r="A72" s="2">
        <v>45119.83497923611</v>
      </c>
      <c r="B72" s="3">
        <v>50.0</v>
      </c>
      <c r="C72" s="3" t="s">
        <v>29</v>
      </c>
      <c r="D72" s="3">
        <v>7.0</v>
      </c>
      <c r="E72" s="3">
        <v>7.0</v>
      </c>
      <c r="F72" s="3">
        <v>6.0</v>
      </c>
      <c r="G72" s="3">
        <v>1.0</v>
      </c>
      <c r="H72" s="3">
        <v>1.0</v>
      </c>
      <c r="I72" s="3">
        <v>7.0</v>
      </c>
      <c r="J72" s="3">
        <v>1.0</v>
      </c>
      <c r="K72" s="3">
        <v>1.0</v>
      </c>
      <c r="L72" s="3">
        <v>7.0</v>
      </c>
      <c r="M72" s="3">
        <v>1.0</v>
      </c>
      <c r="N72" s="3">
        <v>7.0</v>
      </c>
      <c r="O72" s="3">
        <v>1.0</v>
      </c>
      <c r="P72" s="3">
        <v>4.0</v>
      </c>
      <c r="Q72" s="3">
        <v>1.0</v>
      </c>
      <c r="R72" s="3">
        <v>7.0</v>
      </c>
      <c r="S72" s="3">
        <v>1.0</v>
      </c>
      <c r="T72" s="3">
        <v>7.0</v>
      </c>
      <c r="U72" s="3">
        <v>7.0</v>
      </c>
      <c r="V72" s="3">
        <v>1.0</v>
      </c>
      <c r="W72" s="3">
        <v>1.0</v>
      </c>
      <c r="X72" s="3">
        <v>4.0</v>
      </c>
      <c r="Y72" s="3">
        <v>7.0</v>
      </c>
      <c r="Z72" s="3">
        <v>6.0</v>
      </c>
      <c r="AA72" s="3">
        <v>5.0</v>
      </c>
      <c r="AB72" s="3">
        <v>7.0</v>
      </c>
    </row>
    <row r="73">
      <c r="A73" s="2">
        <v>45119.84220333333</v>
      </c>
      <c r="B73" s="3">
        <v>34.0</v>
      </c>
      <c r="C73" s="3" t="s">
        <v>29</v>
      </c>
      <c r="D73" s="3">
        <v>7.0</v>
      </c>
      <c r="E73" s="3">
        <v>6.0</v>
      </c>
      <c r="F73" s="3">
        <v>1.0</v>
      </c>
      <c r="G73" s="3">
        <v>2.0</v>
      </c>
      <c r="H73" s="3">
        <v>2.0</v>
      </c>
      <c r="I73" s="3">
        <v>6.0</v>
      </c>
      <c r="J73" s="3">
        <v>2.0</v>
      </c>
      <c r="K73" s="3">
        <v>1.0</v>
      </c>
      <c r="L73" s="3">
        <v>6.0</v>
      </c>
      <c r="M73" s="3">
        <v>2.0</v>
      </c>
      <c r="N73" s="3">
        <v>7.0</v>
      </c>
      <c r="O73" s="3">
        <v>5.0</v>
      </c>
      <c r="P73" s="3">
        <v>5.0</v>
      </c>
      <c r="Q73" s="3">
        <v>6.0</v>
      </c>
      <c r="R73" s="3">
        <v>7.0</v>
      </c>
      <c r="S73" s="3">
        <v>1.0</v>
      </c>
      <c r="T73" s="3">
        <v>6.0</v>
      </c>
      <c r="U73" s="3">
        <v>2.0</v>
      </c>
      <c r="V73" s="3">
        <v>5.0</v>
      </c>
      <c r="W73" s="3">
        <v>7.0</v>
      </c>
      <c r="X73" s="3">
        <v>2.0</v>
      </c>
      <c r="Y73" s="3">
        <v>7.0</v>
      </c>
      <c r="Z73" s="3">
        <v>7.0</v>
      </c>
      <c r="AA73" s="3">
        <v>5.0</v>
      </c>
      <c r="AB73" s="3">
        <v>2.0</v>
      </c>
    </row>
    <row r="74">
      <c r="A74" s="2">
        <v>45119.845022615744</v>
      </c>
      <c r="B74" s="3">
        <v>51.0</v>
      </c>
      <c r="C74" s="3" t="s">
        <v>29</v>
      </c>
      <c r="D74" s="3">
        <v>7.0</v>
      </c>
      <c r="E74" s="3">
        <v>7.0</v>
      </c>
      <c r="F74" s="3">
        <v>5.0</v>
      </c>
      <c r="G74" s="3">
        <v>1.0</v>
      </c>
      <c r="H74" s="3">
        <v>1.0</v>
      </c>
      <c r="I74" s="3">
        <v>7.0</v>
      </c>
      <c r="J74" s="3">
        <v>1.0</v>
      </c>
      <c r="K74" s="3">
        <v>1.0</v>
      </c>
      <c r="L74" s="3">
        <v>7.0</v>
      </c>
      <c r="M74" s="3">
        <v>2.0</v>
      </c>
      <c r="N74" s="3">
        <v>1.0</v>
      </c>
      <c r="O74" s="3">
        <v>4.0</v>
      </c>
      <c r="P74" s="3">
        <v>1.0</v>
      </c>
      <c r="Q74" s="3">
        <v>1.0</v>
      </c>
      <c r="R74" s="3">
        <v>6.0</v>
      </c>
      <c r="S74" s="3">
        <v>1.0</v>
      </c>
      <c r="T74" s="3">
        <v>2.0</v>
      </c>
      <c r="U74" s="3">
        <v>6.0</v>
      </c>
      <c r="V74" s="3">
        <v>5.0</v>
      </c>
      <c r="W74" s="3">
        <v>1.0</v>
      </c>
      <c r="X74" s="3">
        <v>1.0</v>
      </c>
      <c r="Y74" s="3">
        <v>3.0</v>
      </c>
      <c r="Z74" s="3">
        <v>1.0</v>
      </c>
      <c r="AA74" s="3">
        <v>7.0</v>
      </c>
      <c r="AB74" s="3">
        <v>7.0</v>
      </c>
    </row>
    <row r="75">
      <c r="A75" s="2">
        <v>45119.85608471065</v>
      </c>
      <c r="B75" s="3">
        <v>57.0</v>
      </c>
      <c r="C75" s="3" t="s">
        <v>29</v>
      </c>
      <c r="D75" s="3">
        <v>6.0</v>
      </c>
      <c r="E75" s="3">
        <v>7.0</v>
      </c>
      <c r="F75" s="3">
        <v>2.0</v>
      </c>
      <c r="G75" s="3">
        <v>1.0</v>
      </c>
      <c r="H75" s="3">
        <v>1.0</v>
      </c>
      <c r="I75" s="3">
        <v>7.0</v>
      </c>
      <c r="J75" s="3">
        <v>2.0</v>
      </c>
      <c r="K75" s="3">
        <v>1.0</v>
      </c>
      <c r="L75" s="3">
        <v>6.0</v>
      </c>
      <c r="M75" s="3">
        <v>1.0</v>
      </c>
      <c r="N75" s="3">
        <v>7.0</v>
      </c>
      <c r="O75" s="3">
        <v>1.0</v>
      </c>
      <c r="P75" s="3">
        <v>1.0</v>
      </c>
      <c r="Q75" s="3">
        <v>6.0</v>
      </c>
      <c r="R75" s="3">
        <v>6.0</v>
      </c>
      <c r="S75" s="3">
        <v>1.0</v>
      </c>
      <c r="T75" s="3">
        <v>2.0</v>
      </c>
      <c r="U75" s="3">
        <v>1.0</v>
      </c>
      <c r="V75" s="3">
        <v>7.0</v>
      </c>
      <c r="W75" s="3">
        <v>1.0</v>
      </c>
      <c r="X75" s="3">
        <v>6.0</v>
      </c>
      <c r="Y75" s="3">
        <v>7.0</v>
      </c>
      <c r="Z75" s="3">
        <v>7.0</v>
      </c>
      <c r="AA75" s="3">
        <v>7.0</v>
      </c>
      <c r="AB75" s="3">
        <v>6.0</v>
      </c>
    </row>
    <row r="76">
      <c r="A76" s="2">
        <v>45119.86352248843</v>
      </c>
      <c r="B76" s="3">
        <v>54.0</v>
      </c>
      <c r="C76" s="3" t="s">
        <v>29</v>
      </c>
      <c r="D76" s="3">
        <v>7.0</v>
      </c>
      <c r="E76" s="3">
        <v>7.0</v>
      </c>
      <c r="F76" s="3">
        <v>1.0</v>
      </c>
      <c r="G76" s="3">
        <v>1.0</v>
      </c>
      <c r="H76" s="3">
        <v>1.0</v>
      </c>
      <c r="I76" s="3">
        <v>7.0</v>
      </c>
      <c r="J76" s="3">
        <v>1.0</v>
      </c>
      <c r="K76" s="3">
        <v>1.0</v>
      </c>
      <c r="L76" s="3">
        <v>7.0</v>
      </c>
      <c r="M76" s="3">
        <v>7.0</v>
      </c>
      <c r="N76" s="3">
        <v>7.0</v>
      </c>
      <c r="O76" s="3">
        <v>1.0</v>
      </c>
      <c r="P76" s="3">
        <v>1.0</v>
      </c>
      <c r="Q76" s="3">
        <v>1.0</v>
      </c>
      <c r="R76" s="3">
        <v>1.0</v>
      </c>
      <c r="S76" s="3">
        <v>1.0</v>
      </c>
      <c r="T76" s="3">
        <v>7.0</v>
      </c>
      <c r="U76" s="3">
        <v>7.0</v>
      </c>
      <c r="V76" s="3">
        <v>1.0</v>
      </c>
      <c r="W76" s="3">
        <v>1.0</v>
      </c>
      <c r="X76" s="3">
        <v>1.0</v>
      </c>
      <c r="Y76" s="3">
        <v>1.0</v>
      </c>
      <c r="Z76" s="3">
        <v>1.0</v>
      </c>
      <c r="AA76" s="3">
        <v>7.0</v>
      </c>
      <c r="AB76" s="3">
        <v>1.0</v>
      </c>
    </row>
    <row r="77">
      <c r="A77" s="2">
        <v>45119.89231997685</v>
      </c>
      <c r="B77" s="3">
        <v>79.0</v>
      </c>
      <c r="C77" s="3" t="s">
        <v>29</v>
      </c>
      <c r="D77" s="3">
        <v>7.0</v>
      </c>
      <c r="E77" s="3">
        <v>7.0</v>
      </c>
      <c r="F77" s="3">
        <v>1.0</v>
      </c>
      <c r="G77" s="3">
        <v>1.0</v>
      </c>
      <c r="H77" s="3">
        <v>1.0</v>
      </c>
      <c r="I77" s="3">
        <v>7.0</v>
      </c>
      <c r="J77" s="3">
        <v>1.0</v>
      </c>
      <c r="K77" s="3">
        <v>7.0</v>
      </c>
      <c r="L77" s="3">
        <v>7.0</v>
      </c>
      <c r="M77" s="3">
        <v>1.0</v>
      </c>
      <c r="N77" s="3">
        <v>7.0</v>
      </c>
      <c r="O77" s="3">
        <v>7.0</v>
      </c>
      <c r="P77" s="3">
        <v>7.0</v>
      </c>
      <c r="Q77" s="3">
        <v>1.0</v>
      </c>
      <c r="R77" s="3">
        <v>1.0</v>
      </c>
      <c r="S77" s="3">
        <v>1.0</v>
      </c>
      <c r="T77" s="3">
        <v>1.0</v>
      </c>
      <c r="U77" s="3">
        <v>7.0</v>
      </c>
      <c r="V77" s="3">
        <v>7.0</v>
      </c>
      <c r="W77" s="3">
        <v>7.0</v>
      </c>
      <c r="X77" s="3">
        <v>1.0</v>
      </c>
      <c r="Y77" s="3">
        <v>1.0</v>
      </c>
      <c r="Z77" s="3">
        <v>1.0</v>
      </c>
      <c r="AA77" s="3">
        <v>7.0</v>
      </c>
      <c r="AB77" s="3">
        <v>7.0</v>
      </c>
    </row>
    <row r="78">
      <c r="A78" s="2">
        <v>45119.89411883102</v>
      </c>
      <c r="B78" s="3">
        <v>66.0</v>
      </c>
      <c r="C78" s="3" t="s">
        <v>28</v>
      </c>
      <c r="D78" s="3">
        <v>2.0</v>
      </c>
      <c r="E78" s="3">
        <v>6.0</v>
      </c>
      <c r="F78" s="3">
        <v>1.0</v>
      </c>
      <c r="G78" s="3">
        <v>1.0</v>
      </c>
      <c r="H78" s="3">
        <v>1.0</v>
      </c>
      <c r="I78" s="3">
        <v>5.0</v>
      </c>
      <c r="J78" s="3">
        <v>1.0</v>
      </c>
      <c r="K78" s="3">
        <v>1.0</v>
      </c>
      <c r="L78" s="3">
        <v>6.0</v>
      </c>
      <c r="M78" s="3">
        <v>2.0</v>
      </c>
      <c r="N78" s="3">
        <v>1.0</v>
      </c>
      <c r="O78" s="3">
        <v>1.0</v>
      </c>
      <c r="P78" s="3">
        <v>1.0</v>
      </c>
      <c r="Q78" s="3">
        <v>1.0</v>
      </c>
      <c r="R78" s="3">
        <v>1.0</v>
      </c>
      <c r="S78" s="3">
        <v>1.0</v>
      </c>
      <c r="T78" s="3">
        <v>7.0</v>
      </c>
      <c r="U78" s="3">
        <v>7.0</v>
      </c>
      <c r="V78" s="3">
        <v>4.0</v>
      </c>
      <c r="W78" s="3">
        <v>1.0</v>
      </c>
      <c r="X78" s="3">
        <v>1.0</v>
      </c>
      <c r="Y78" s="3">
        <v>1.0</v>
      </c>
      <c r="Z78" s="3">
        <v>1.0</v>
      </c>
      <c r="AA78" s="3">
        <v>7.0</v>
      </c>
      <c r="AB78" s="3">
        <v>7.0</v>
      </c>
    </row>
    <row r="79">
      <c r="A79" s="2">
        <v>45119.908641608796</v>
      </c>
      <c r="B79" s="3">
        <v>63.0</v>
      </c>
      <c r="C79" s="3" t="s">
        <v>28</v>
      </c>
      <c r="D79" s="3">
        <v>4.0</v>
      </c>
      <c r="E79" s="3">
        <v>7.0</v>
      </c>
      <c r="F79" s="3">
        <v>7.0</v>
      </c>
      <c r="G79" s="3">
        <v>1.0</v>
      </c>
      <c r="H79" s="3">
        <v>1.0</v>
      </c>
      <c r="I79" s="3">
        <v>7.0</v>
      </c>
      <c r="J79" s="3">
        <v>4.0</v>
      </c>
      <c r="K79" s="3">
        <v>1.0</v>
      </c>
      <c r="L79" s="3">
        <v>7.0</v>
      </c>
      <c r="M79" s="3">
        <v>2.0</v>
      </c>
      <c r="N79" s="3">
        <v>7.0</v>
      </c>
      <c r="O79" s="3">
        <v>1.0</v>
      </c>
      <c r="P79" s="3">
        <v>4.0</v>
      </c>
      <c r="Q79" s="3">
        <v>6.0</v>
      </c>
      <c r="R79" s="3">
        <v>7.0</v>
      </c>
      <c r="S79" s="3">
        <v>1.0</v>
      </c>
      <c r="T79" s="3">
        <v>7.0</v>
      </c>
      <c r="U79" s="3">
        <v>7.0</v>
      </c>
      <c r="V79" s="3">
        <v>1.0</v>
      </c>
      <c r="W79" s="3">
        <v>1.0</v>
      </c>
      <c r="X79" s="3">
        <v>1.0</v>
      </c>
      <c r="Y79" s="3">
        <v>1.0</v>
      </c>
      <c r="Z79" s="3">
        <v>1.0</v>
      </c>
      <c r="AA79" s="3">
        <v>7.0</v>
      </c>
      <c r="AB79" s="3">
        <v>5.0</v>
      </c>
    </row>
    <row r="80">
      <c r="A80" s="2">
        <v>45119.9122330324</v>
      </c>
      <c r="B80" s="3">
        <v>49.0</v>
      </c>
      <c r="C80" s="3" t="s">
        <v>29</v>
      </c>
      <c r="D80" s="3">
        <v>1.0</v>
      </c>
      <c r="E80" s="3">
        <v>6.0</v>
      </c>
      <c r="F80" s="3">
        <v>5.0</v>
      </c>
      <c r="G80" s="3">
        <v>1.0</v>
      </c>
      <c r="H80" s="3">
        <v>1.0</v>
      </c>
      <c r="I80" s="3">
        <v>7.0</v>
      </c>
      <c r="J80" s="3">
        <v>5.0</v>
      </c>
      <c r="K80" s="3">
        <v>1.0</v>
      </c>
      <c r="L80" s="3">
        <v>5.0</v>
      </c>
      <c r="M80" s="3">
        <v>6.0</v>
      </c>
      <c r="N80" s="3">
        <v>5.0</v>
      </c>
      <c r="O80" s="3">
        <v>5.0</v>
      </c>
      <c r="P80" s="3">
        <v>3.0</v>
      </c>
      <c r="Q80" s="3">
        <v>6.0</v>
      </c>
      <c r="R80" s="3">
        <v>7.0</v>
      </c>
      <c r="S80" s="3">
        <v>1.0</v>
      </c>
      <c r="T80" s="3">
        <v>2.0</v>
      </c>
      <c r="U80" s="3">
        <v>7.0</v>
      </c>
      <c r="V80" s="3">
        <v>6.0</v>
      </c>
      <c r="W80" s="3">
        <v>7.0</v>
      </c>
      <c r="X80" s="3">
        <v>6.0</v>
      </c>
      <c r="Y80" s="3">
        <v>7.0</v>
      </c>
      <c r="Z80" s="3">
        <v>7.0</v>
      </c>
      <c r="AA80" s="3">
        <v>7.0</v>
      </c>
      <c r="AB80" s="3">
        <v>7.0</v>
      </c>
    </row>
    <row r="81">
      <c r="A81" s="2">
        <v>45119.91442427083</v>
      </c>
      <c r="B81" s="3">
        <v>59.0</v>
      </c>
      <c r="C81" s="3" t="s">
        <v>29</v>
      </c>
      <c r="D81" s="3">
        <v>7.0</v>
      </c>
      <c r="E81" s="3">
        <v>2.0</v>
      </c>
      <c r="F81" s="3">
        <v>1.0</v>
      </c>
      <c r="G81" s="3">
        <v>1.0</v>
      </c>
      <c r="H81" s="3">
        <v>1.0</v>
      </c>
      <c r="I81" s="3">
        <v>7.0</v>
      </c>
      <c r="J81" s="3">
        <v>1.0</v>
      </c>
      <c r="K81" s="3">
        <v>1.0</v>
      </c>
      <c r="L81" s="3">
        <v>7.0</v>
      </c>
      <c r="M81" s="3">
        <v>7.0</v>
      </c>
      <c r="N81" s="3">
        <v>7.0</v>
      </c>
      <c r="O81" s="3">
        <v>1.0</v>
      </c>
      <c r="P81" s="3">
        <v>7.0</v>
      </c>
      <c r="Q81" s="3">
        <v>7.0</v>
      </c>
      <c r="R81" s="3">
        <v>7.0</v>
      </c>
      <c r="S81" s="3">
        <v>1.0</v>
      </c>
      <c r="T81" s="3">
        <v>3.0</v>
      </c>
      <c r="U81" s="3">
        <v>7.0</v>
      </c>
      <c r="V81" s="3">
        <v>7.0</v>
      </c>
      <c r="W81" s="3">
        <v>7.0</v>
      </c>
      <c r="X81" s="3">
        <v>1.0</v>
      </c>
      <c r="Y81" s="3">
        <v>1.0</v>
      </c>
      <c r="Z81" s="3">
        <v>1.0</v>
      </c>
      <c r="AA81" s="3">
        <v>7.0</v>
      </c>
      <c r="AB81" s="3">
        <v>7.0</v>
      </c>
    </row>
    <row r="82">
      <c r="A82" s="2">
        <v>45119.914702870374</v>
      </c>
      <c r="B82" s="3">
        <v>35.0</v>
      </c>
      <c r="C82" s="3" t="s">
        <v>29</v>
      </c>
      <c r="D82" s="3">
        <v>2.0</v>
      </c>
      <c r="E82" s="3">
        <v>3.0</v>
      </c>
      <c r="F82" s="3">
        <v>2.0</v>
      </c>
      <c r="G82" s="3">
        <v>1.0</v>
      </c>
      <c r="H82" s="3">
        <v>1.0</v>
      </c>
      <c r="I82" s="3">
        <v>6.0</v>
      </c>
      <c r="J82" s="3">
        <v>5.0</v>
      </c>
      <c r="K82" s="3">
        <v>1.0</v>
      </c>
      <c r="L82" s="3">
        <v>7.0</v>
      </c>
      <c r="M82" s="3">
        <v>3.0</v>
      </c>
      <c r="N82" s="3">
        <v>1.0</v>
      </c>
      <c r="O82" s="3">
        <v>1.0</v>
      </c>
      <c r="P82" s="3">
        <v>1.0</v>
      </c>
      <c r="Q82" s="3">
        <v>1.0</v>
      </c>
      <c r="R82" s="3">
        <v>6.0</v>
      </c>
      <c r="S82" s="3">
        <v>2.0</v>
      </c>
      <c r="T82" s="3">
        <v>5.0</v>
      </c>
      <c r="U82" s="3">
        <v>6.0</v>
      </c>
      <c r="V82" s="3">
        <v>2.0</v>
      </c>
      <c r="W82" s="3">
        <v>1.0</v>
      </c>
      <c r="X82" s="3">
        <v>1.0</v>
      </c>
      <c r="Y82" s="3">
        <v>2.0</v>
      </c>
      <c r="Z82" s="3">
        <v>6.0</v>
      </c>
      <c r="AA82" s="3">
        <v>5.0</v>
      </c>
      <c r="AB82" s="3">
        <v>3.0</v>
      </c>
    </row>
    <row r="83">
      <c r="A83" s="2">
        <v>45119.91544412037</v>
      </c>
      <c r="B83" s="3">
        <v>85.0</v>
      </c>
      <c r="C83" s="3" t="s">
        <v>29</v>
      </c>
      <c r="D83" s="3">
        <v>7.0</v>
      </c>
      <c r="E83" s="3">
        <v>7.0</v>
      </c>
      <c r="F83" s="3">
        <v>6.0</v>
      </c>
      <c r="G83" s="3">
        <v>1.0</v>
      </c>
      <c r="H83" s="3">
        <v>1.0</v>
      </c>
      <c r="I83" s="3">
        <v>7.0</v>
      </c>
      <c r="J83" s="3">
        <v>5.0</v>
      </c>
      <c r="K83" s="3">
        <v>1.0</v>
      </c>
      <c r="L83" s="3">
        <v>7.0</v>
      </c>
      <c r="M83" s="3">
        <v>7.0</v>
      </c>
      <c r="N83" s="3">
        <v>7.0</v>
      </c>
      <c r="O83" s="3">
        <v>6.0</v>
      </c>
      <c r="P83" s="3">
        <v>6.0</v>
      </c>
      <c r="Q83" s="3">
        <v>1.0</v>
      </c>
      <c r="R83" s="3">
        <v>7.0</v>
      </c>
      <c r="S83" s="3">
        <v>1.0</v>
      </c>
      <c r="T83" s="3">
        <v>7.0</v>
      </c>
      <c r="U83" s="3">
        <v>6.0</v>
      </c>
      <c r="V83" s="3">
        <v>2.0</v>
      </c>
      <c r="W83" s="3">
        <v>1.0</v>
      </c>
      <c r="X83" s="3">
        <v>1.0</v>
      </c>
      <c r="Y83" s="3">
        <v>1.0</v>
      </c>
      <c r="Z83" s="3">
        <v>7.0</v>
      </c>
      <c r="AA83" s="3">
        <v>7.0</v>
      </c>
      <c r="AB83" s="3">
        <v>7.0</v>
      </c>
    </row>
    <row r="84">
      <c r="A84" s="2">
        <v>45119.921530127314</v>
      </c>
      <c r="B84" s="3">
        <v>35.0</v>
      </c>
      <c r="C84" s="3" t="s">
        <v>29</v>
      </c>
      <c r="D84" s="3">
        <v>2.0</v>
      </c>
      <c r="E84" s="3">
        <v>6.0</v>
      </c>
      <c r="F84" s="3">
        <v>6.0</v>
      </c>
      <c r="G84" s="3">
        <v>1.0</v>
      </c>
      <c r="H84" s="3">
        <v>1.0</v>
      </c>
      <c r="I84" s="3">
        <v>6.0</v>
      </c>
      <c r="J84" s="3">
        <v>1.0</v>
      </c>
      <c r="K84" s="3">
        <v>1.0</v>
      </c>
      <c r="L84" s="3">
        <v>5.0</v>
      </c>
      <c r="M84" s="3">
        <v>6.0</v>
      </c>
      <c r="N84" s="3">
        <v>1.0</v>
      </c>
      <c r="O84" s="3">
        <v>1.0</v>
      </c>
      <c r="P84" s="3">
        <v>1.0</v>
      </c>
      <c r="Q84" s="3">
        <v>1.0</v>
      </c>
      <c r="R84" s="3">
        <v>6.0</v>
      </c>
      <c r="S84" s="3">
        <v>1.0</v>
      </c>
      <c r="T84" s="3">
        <v>6.0</v>
      </c>
      <c r="U84" s="3">
        <v>1.0</v>
      </c>
      <c r="V84" s="3">
        <v>6.0</v>
      </c>
      <c r="W84" s="3">
        <v>1.0</v>
      </c>
      <c r="X84" s="3">
        <v>1.0</v>
      </c>
      <c r="Y84" s="3">
        <v>4.0</v>
      </c>
      <c r="Z84" s="3">
        <v>1.0</v>
      </c>
      <c r="AA84" s="3">
        <v>5.0</v>
      </c>
      <c r="AB84" s="3">
        <v>2.0</v>
      </c>
    </row>
    <row r="85">
      <c r="A85" s="2">
        <v>45119.92295086806</v>
      </c>
      <c r="B85" s="3">
        <v>56.0</v>
      </c>
      <c r="C85" s="3" t="s">
        <v>29</v>
      </c>
      <c r="D85" s="3">
        <v>7.0</v>
      </c>
      <c r="E85" s="3">
        <v>7.0</v>
      </c>
      <c r="F85" s="3">
        <v>6.0</v>
      </c>
      <c r="G85" s="3">
        <v>1.0</v>
      </c>
      <c r="H85" s="3">
        <v>1.0</v>
      </c>
      <c r="I85" s="3">
        <v>6.0</v>
      </c>
      <c r="J85" s="3">
        <v>4.0</v>
      </c>
      <c r="K85" s="3">
        <v>1.0</v>
      </c>
      <c r="L85" s="3">
        <v>6.0</v>
      </c>
      <c r="M85" s="3">
        <v>3.0</v>
      </c>
      <c r="N85" s="3">
        <v>5.0</v>
      </c>
      <c r="O85" s="3">
        <v>2.0</v>
      </c>
      <c r="P85" s="3">
        <v>1.0</v>
      </c>
      <c r="Q85" s="3">
        <v>1.0</v>
      </c>
      <c r="R85" s="3">
        <v>5.0</v>
      </c>
      <c r="S85" s="3">
        <v>1.0</v>
      </c>
      <c r="T85" s="3">
        <v>6.0</v>
      </c>
      <c r="U85" s="3">
        <v>5.0</v>
      </c>
      <c r="V85" s="3">
        <v>7.0</v>
      </c>
      <c r="W85" s="3">
        <v>1.0</v>
      </c>
      <c r="X85" s="3">
        <v>5.0</v>
      </c>
      <c r="Y85" s="3">
        <v>6.0</v>
      </c>
      <c r="Z85" s="3">
        <v>6.0</v>
      </c>
      <c r="AA85" s="3">
        <v>7.0</v>
      </c>
      <c r="AB85" s="3">
        <v>4.0</v>
      </c>
    </row>
    <row r="86">
      <c r="A86" s="2">
        <v>45119.92795953703</v>
      </c>
      <c r="B86" s="3">
        <v>49.0</v>
      </c>
      <c r="C86" s="3" t="s">
        <v>29</v>
      </c>
      <c r="D86" s="3">
        <v>7.0</v>
      </c>
      <c r="E86" s="3">
        <v>6.0</v>
      </c>
      <c r="F86" s="3">
        <v>5.0</v>
      </c>
      <c r="G86" s="3">
        <v>1.0</v>
      </c>
      <c r="H86" s="3">
        <v>1.0</v>
      </c>
      <c r="I86" s="3">
        <v>7.0</v>
      </c>
      <c r="J86" s="3">
        <v>2.0</v>
      </c>
      <c r="K86" s="3">
        <v>1.0</v>
      </c>
      <c r="L86" s="3">
        <v>7.0</v>
      </c>
      <c r="M86" s="3">
        <v>5.0</v>
      </c>
      <c r="N86" s="3">
        <v>7.0</v>
      </c>
      <c r="O86" s="3">
        <v>2.0</v>
      </c>
      <c r="P86" s="3">
        <v>3.0</v>
      </c>
      <c r="Q86" s="3">
        <v>3.0</v>
      </c>
      <c r="R86" s="3">
        <v>7.0</v>
      </c>
      <c r="S86" s="3">
        <v>7.0</v>
      </c>
      <c r="T86" s="3">
        <v>7.0</v>
      </c>
      <c r="U86" s="3">
        <v>7.0</v>
      </c>
      <c r="V86" s="3">
        <v>2.0</v>
      </c>
      <c r="W86" s="3">
        <v>2.0</v>
      </c>
      <c r="X86" s="3">
        <v>2.0</v>
      </c>
      <c r="Y86" s="3">
        <v>1.0</v>
      </c>
      <c r="Z86" s="3">
        <v>7.0</v>
      </c>
      <c r="AA86" s="3">
        <v>7.0</v>
      </c>
      <c r="AB86" s="3">
        <v>7.0</v>
      </c>
    </row>
    <row r="87">
      <c r="A87" s="2">
        <v>45119.92900819445</v>
      </c>
      <c r="B87" s="3">
        <v>36.0</v>
      </c>
      <c r="C87" s="3" t="s">
        <v>29</v>
      </c>
      <c r="D87" s="3">
        <v>6.0</v>
      </c>
      <c r="E87" s="3">
        <v>3.0</v>
      </c>
      <c r="F87" s="3">
        <v>2.0</v>
      </c>
      <c r="G87" s="3">
        <v>1.0</v>
      </c>
      <c r="H87" s="3">
        <v>1.0</v>
      </c>
      <c r="I87" s="3">
        <v>6.0</v>
      </c>
      <c r="J87" s="3">
        <v>7.0</v>
      </c>
      <c r="K87" s="3">
        <v>1.0</v>
      </c>
      <c r="L87" s="3">
        <v>5.0</v>
      </c>
      <c r="M87" s="3">
        <v>2.0</v>
      </c>
      <c r="N87" s="3">
        <v>7.0</v>
      </c>
      <c r="O87" s="3">
        <v>1.0</v>
      </c>
      <c r="P87" s="3">
        <v>1.0</v>
      </c>
      <c r="Q87" s="3">
        <v>1.0</v>
      </c>
      <c r="R87" s="3">
        <v>7.0</v>
      </c>
      <c r="S87" s="3">
        <v>1.0</v>
      </c>
      <c r="T87" s="3">
        <v>7.0</v>
      </c>
      <c r="U87" s="3">
        <v>6.0</v>
      </c>
      <c r="V87" s="3">
        <v>4.0</v>
      </c>
      <c r="W87" s="3">
        <v>3.0</v>
      </c>
      <c r="X87" s="3">
        <v>1.0</v>
      </c>
      <c r="Y87" s="3">
        <v>5.0</v>
      </c>
      <c r="Z87" s="3">
        <v>5.0</v>
      </c>
      <c r="AA87" s="3">
        <v>6.0</v>
      </c>
      <c r="AB87" s="3">
        <v>7.0</v>
      </c>
    </row>
    <row r="88">
      <c r="A88" s="2">
        <v>45119.93885497685</v>
      </c>
      <c r="B88" s="3">
        <v>79.0</v>
      </c>
      <c r="C88" s="3" t="s">
        <v>29</v>
      </c>
      <c r="D88" s="3">
        <v>1.0</v>
      </c>
      <c r="E88" s="3">
        <v>5.0</v>
      </c>
      <c r="F88" s="3">
        <v>1.0</v>
      </c>
      <c r="G88" s="3">
        <v>1.0</v>
      </c>
      <c r="H88" s="3">
        <v>1.0</v>
      </c>
      <c r="I88" s="3">
        <v>5.0</v>
      </c>
      <c r="J88" s="3">
        <v>6.0</v>
      </c>
      <c r="K88" s="3">
        <v>1.0</v>
      </c>
      <c r="L88" s="3">
        <v>6.0</v>
      </c>
      <c r="M88" s="3">
        <v>4.0</v>
      </c>
      <c r="N88" s="3">
        <v>1.0</v>
      </c>
      <c r="O88" s="3">
        <v>6.0</v>
      </c>
      <c r="P88" s="3">
        <v>1.0</v>
      </c>
      <c r="Q88" s="3">
        <v>1.0</v>
      </c>
      <c r="R88" s="3">
        <v>6.0</v>
      </c>
      <c r="S88" s="3">
        <v>2.0</v>
      </c>
      <c r="T88" s="3">
        <v>6.0</v>
      </c>
      <c r="U88" s="3">
        <v>5.0</v>
      </c>
      <c r="V88" s="3">
        <v>4.0</v>
      </c>
      <c r="W88" s="3">
        <v>6.0</v>
      </c>
      <c r="X88" s="3">
        <v>1.0</v>
      </c>
      <c r="Y88" s="3">
        <v>7.0</v>
      </c>
      <c r="Z88" s="3">
        <v>4.0</v>
      </c>
      <c r="AA88" s="3">
        <v>6.0</v>
      </c>
      <c r="AB88" s="3">
        <v>1.0</v>
      </c>
    </row>
    <row r="89">
      <c r="A89" s="2">
        <v>45119.93893791667</v>
      </c>
      <c r="B89" s="3">
        <v>65.0</v>
      </c>
      <c r="C89" s="3" t="s">
        <v>28</v>
      </c>
      <c r="D89" s="3">
        <v>5.0</v>
      </c>
      <c r="E89" s="3">
        <v>7.0</v>
      </c>
      <c r="F89" s="3">
        <v>3.0</v>
      </c>
      <c r="G89" s="3">
        <v>1.0</v>
      </c>
      <c r="H89" s="3">
        <v>1.0</v>
      </c>
      <c r="I89" s="3">
        <v>7.0</v>
      </c>
      <c r="J89" s="3">
        <v>3.0</v>
      </c>
      <c r="K89" s="3">
        <v>1.0</v>
      </c>
      <c r="L89" s="3">
        <v>6.0</v>
      </c>
      <c r="M89" s="3">
        <v>3.0</v>
      </c>
      <c r="N89" s="3">
        <v>1.0</v>
      </c>
      <c r="O89" s="3">
        <v>1.0</v>
      </c>
      <c r="P89" s="3">
        <v>2.0</v>
      </c>
      <c r="Q89" s="3">
        <v>1.0</v>
      </c>
      <c r="R89" s="3">
        <v>3.0</v>
      </c>
      <c r="S89" s="3">
        <v>3.0</v>
      </c>
      <c r="T89" s="3">
        <v>3.0</v>
      </c>
      <c r="U89" s="3">
        <v>5.0</v>
      </c>
      <c r="V89" s="3">
        <v>7.0</v>
      </c>
      <c r="W89" s="3">
        <v>1.0</v>
      </c>
      <c r="X89" s="3">
        <v>3.0</v>
      </c>
      <c r="Y89" s="3">
        <v>1.0</v>
      </c>
      <c r="Z89" s="3">
        <v>7.0</v>
      </c>
      <c r="AA89" s="3">
        <v>7.0</v>
      </c>
      <c r="AB89" s="3">
        <v>7.0</v>
      </c>
    </row>
    <row r="90">
      <c r="A90" s="2">
        <v>45119.941837754624</v>
      </c>
      <c r="B90" s="3">
        <v>51.0</v>
      </c>
      <c r="C90" s="3" t="s">
        <v>29</v>
      </c>
      <c r="D90" s="3">
        <v>5.0</v>
      </c>
      <c r="E90" s="3">
        <v>7.0</v>
      </c>
      <c r="F90" s="3">
        <v>1.0</v>
      </c>
      <c r="G90" s="3">
        <v>1.0</v>
      </c>
      <c r="H90" s="3">
        <v>1.0</v>
      </c>
      <c r="I90" s="3">
        <v>7.0</v>
      </c>
      <c r="J90" s="3">
        <v>4.0</v>
      </c>
      <c r="K90" s="3">
        <v>1.0</v>
      </c>
      <c r="L90" s="3">
        <v>7.0</v>
      </c>
      <c r="M90" s="3">
        <v>2.0</v>
      </c>
      <c r="N90" s="3">
        <v>1.0</v>
      </c>
      <c r="O90" s="3">
        <v>2.0</v>
      </c>
      <c r="P90" s="3">
        <v>1.0</v>
      </c>
      <c r="Q90" s="3">
        <v>6.0</v>
      </c>
      <c r="R90" s="3">
        <v>5.0</v>
      </c>
      <c r="S90" s="3">
        <v>2.0</v>
      </c>
      <c r="T90" s="3">
        <v>6.0</v>
      </c>
      <c r="U90" s="3">
        <v>7.0</v>
      </c>
      <c r="V90" s="3">
        <v>4.0</v>
      </c>
      <c r="W90" s="3">
        <v>1.0</v>
      </c>
      <c r="X90" s="3">
        <v>1.0</v>
      </c>
      <c r="Y90" s="3">
        <v>1.0</v>
      </c>
      <c r="Z90" s="3">
        <v>6.0</v>
      </c>
      <c r="AA90" s="3">
        <v>7.0</v>
      </c>
      <c r="AB90" s="3">
        <v>5.0</v>
      </c>
    </row>
    <row r="91">
      <c r="A91" s="2">
        <v>45119.942159375</v>
      </c>
      <c r="B91" s="3">
        <v>51.0</v>
      </c>
      <c r="C91" s="3" t="s">
        <v>29</v>
      </c>
      <c r="D91" s="3">
        <v>7.0</v>
      </c>
      <c r="E91" s="3">
        <v>7.0</v>
      </c>
      <c r="F91" s="3">
        <v>7.0</v>
      </c>
      <c r="G91" s="3">
        <v>1.0</v>
      </c>
      <c r="H91" s="3">
        <v>1.0</v>
      </c>
      <c r="I91" s="3">
        <v>7.0</v>
      </c>
      <c r="J91" s="3">
        <v>4.0</v>
      </c>
      <c r="K91" s="3">
        <v>1.0</v>
      </c>
      <c r="L91" s="3">
        <v>7.0</v>
      </c>
      <c r="M91" s="3">
        <v>3.0</v>
      </c>
      <c r="N91" s="3">
        <v>7.0</v>
      </c>
      <c r="O91" s="3">
        <v>4.0</v>
      </c>
      <c r="P91" s="3">
        <v>7.0</v>
      </c>
      <c r="Q91" s="3">
        <v>7.0</v>
      </c>
      <c r="R91" s="3">
        <v>7.0</v>
      </c>
      <c r="S91" s="3">
        <v>6.0</v>
      </c>
      <c r="T91" s="3">
        <v>7.0</v>
      </c>
      <c r="U91" s="3">
        <v>7.0</v>
      </c>
      <c r="V91" s="3">
        <v>7.0</v>
      </c>
      <c r="W91" s="3">
        <v>3.0</v>
      </c>
      <c r="X91" s="3">
        <v>3.0</v>
      </c>
      <c r="Y91" s="3">
        <v>7.0</v>
      </c>
      <c r="Z91" s="3">
        <v>7.0</v>
      </c>
      <c r="AA91" s="3">
        <v>7.0</v>
      </c>
      <c r="AB91" s="3">
        <v>7.0</v>
      </c>
    </row>
    <row r="92">
      <c r="A92" s="2">
        <v>45119.94719211805</v>
      </c>
      <c r="B92" s="3">
        <v>64.0</v>
      </c>
      <c r="C92" s="3" t="s">
        <v>29</v>
      </c>
      <c r="D92" s="3">
        <v>4.0</v>
      </c>
      <c r="E92" s="3">
        <v>4.0</v>
      </c>
      <c r="F92" s="3">
        <v>2.0</v>
      </c>
      <c r="G92" s="3">
        <v>1.0</v>
      </c>
      <c r="H92" s="3">
        <v>1.0</v>
      </c>
      <c r="I92" s="3">
        <v>6.0</v>
      </c>
      <c r="J92" s="3">
        <v>1.0</v>
      </c>
      <c r="K92" s="3">
        <v>1.0</v>
      </c>
      <c r="L92" s="3">
        <v>6.0</v>
      </c>
      <c r="M92" s="3">
        <v>3.0</v>
      </c>
      <c r="N92" s="3">
        <v>6.0</v>
      </c>
      <c r="O92" s="3">
        <v>2.0</v>
      </c>
      <c r="P92" s="3">
        <v>1.0</v>
      </c>
      <c r="Q92" s="3">
        <v>1.0</v>
      </c>
      <c r="R92" s="3">
        <v>6.0</v>
      </c>
      <c r="S92" s="3">
        <v>1.0</v>
      </c>
      <c r="T92" s="3">
        <v>1.0</v>
      </c>
      <c r="U92" s="3">
        <v>5.0</v>
      </c>
      <c r="V92" s="3">
        <v>6.0</v>
      </c>
      <c r="W92" s="3">
        <v>1.0</v>
      </c>
      <c r="X92" s="3">
        <v>1.0</v>
      </c>
      <c r="Y92" s="3">
        <v>3.0</v>
      </c>
      <c r="Z92" s="3">
        <v>1.0</v>
      </c>
      <c r="AA92" s="3">
        <v>7.0</v>
      </c>
      <c r="AB92" s="3">
        <v>7.0</v>
      </c>
    </row>
    <row r="93">
      <c r="A93" s="2">
        <v>45119.94960385417</v>
      </c>
      <c r="B93" s="3">
        <v>58.0</v>
      </c>
      <c r="C93" s="3" t="s">
        <v>28</v>
      </c>
      <c r="D93" s="3">
        <v>1.0</v>
      </c>
      <c r="E93" s="3">
        <v>7.0</v>
      </c>
      <c r="F93" s="3">
        <v>1.0</v>
      </c>
      <c r="G93" s="3">
        <v>1.0</v>
      </c>
      <c r="H93" s="3">
        <v>1.0</v>
      </c>
      <c r="I93" s="3">
        <v>3.0</v>
      </c>
      <c r="J93" s="3">
        <v>1.0</v>
      </c>
      <c r="K93" s="3">
        <v>1.0</v>
      </c>
      <c r="L93" s="3">
        <v>7.0</v>
      </c>
      <c r="M93" s="3">
        <v>2.0</v>
      </c>
      <c r="N93" s="3">
        <v>1.0</v>
      </c>
      <c r="O93" s="3">
        <v>3.0</v>
      </c>
      <c r="P93" s="3">
        <v>1.0</v>
      </c>
      <c r="Q93" s="3">
        <v>1.0</v>
      </c>
      <c r="R93" s="3">
        <v>2.0</v>
      </c>
      <c r="S93" s="3">
        <v>2.0</v>
      </c>
      <c r="T93" s="3">
        <v>2.0</v>
      </c>
      <c r="U93" s="3">
        <v>3.0</v>
      </c>
      <c r="V93" s="3">
        <v>7.0</v>
      </c>
      <c r="W93" s="3">
        <v>1.0</v>
      </c>
      <c r="X93" s="3">
        <v>2.0</v>
      </c>
      <c r="Y93" s="3">
        <v>2.0</v>
      </c>
      <c r="Z93" s="3">
        <v>7.0</v>
      </c>
      <c r="AA93" s="3">
        <v>7.0</v>
      </c>
      <c r="AB93" s="3">
        <v>7.0</v>
      </c>
    </row>
    <row r="94">
      <c r="A94" s="2">
        <v>45119.95090465278</v>
      </c>
      <c r="B94" s="3">
        <v>55.0</v>
      </c>
      <c r="C94" s="3" t="s">
        <v>28</v>
      </c>
      <c r="D94" s="3">
        <v>6.0</v>
      </c>
      <c r="E94" s="3">
        <v>6.0</v>
      </c>
      <c r="F94" s="3">
        <v>2.0</v>
      </c>
      <c r="G94" s="3">
        <v>1.0</v>
      </c>
      <c r="H94" s="3">
        <v>1.0</v>
      </c>
      <c r="I94" s="3">
        <v>5.0</v>
      </c>
      <c r="J94" s="3">
        <v>1.0</v>
      </c>
      <c r="K94" s="3">
        <v>5.0</v>
      </c>
      <c r="L94" s="3">
        <v>6.0</v>
      </c>
      <c r="M94" s="3">
        <v>3.0</v>
      </c>
      <c r="N94" s="3">
        <v>4.0</v>
      </c>
      <c r="O94" s="3">
        <v>1.0</v>
      </c>
      <c r="P94" s="3">
        <v>3.0</v>
      </c>
      <c r="Q94" s="3">
        <v>1.0</v>
      </c>
      <c r="R94" s="3">
        <v>3.0</v>
      </c>
      <c r="S94" s="3">
        <v>1.0</v>
      </c>
      <c r="T94" s="3">
        <v>2.0</v>
      </c>
      <c r="U94" s="3">
        <v>2.0</v>
      </c>
      <c r="V94" s="3">
        <v>1.0</v>
      </c>
      <c r="W94" s="3">
        <v>4.0</v>
      </c>
      <c r="X94" s="3">
        <v>1.0</v>
      </c>
      <c r="Y94" s="3">
        <v>1.0</v>
      </c>
      <c r="Z94" s="3">
        <v>1.0</v>
      </c>
      <c r="AA94" s="3">
        <v>5.0</v>
      </c>
      <c r="AB94" s="3">
        <v>5.0</v>
      </c>
    </row>
    <row r="95">
      <c r="A95" s="2">
        <v>45119.951534340275</v>
      </c>
      <c r="B95" s="3">
        <v>36.0</v>
      </c>
      <c r="C95" s="3" t="s">
        <v>29</v>
      </c>
      <c r="D95" s="3">
        <v>7.0</v>
      </c>
      <c r="E95" s="3">
        <v>7.0</v>
      </c>
      <c r="F95" s="3">
        <v>3.0</v>
      </c>
      <c r="G95" s="3">
        <v>1.0</v>
      </c>
      <c r="H95" s="3">
        <v>1.0</v>
      </c>
      <c r="I95" s="3">
        <v>7.0</v>
      </c>
      <c r="J95" s="3">
        <v>1.0</v>
      </c>
      <c r="K95" s="3">
        <v>1.0</v>
      </c>
      <c r="L95" s="3">
        <v>6.0</v>
      </c>
      <c r="M95" s="3">
        <v>1.0</v>
      </c>
      <c r="N95" s="3">
        <v>1.0</v>
      </c>
      <c r="O95" s="3">
        <v>1.0</v>
      </c>
      <c r="P95" s="3">
        <v>1.0</v>
      </c>
      <c r="Q95" s="3">
        <v>1.0</v>
      </c>
      <c r="R95" s="3">
        <v>6.0</v>
      </c>
      <c r="S95" s="3">
        <v>1.0</v>
      </c>
      <c r="T95" s="3">
        <v>1.0</v>
      </c>
      <c r="U95" s="3">
        <v>2.0</v>
      </c>
      <c r="V95" s="3">
        <v>3.0</v>
      </c>
      <c r="W95" s="3">
        <v>1.0</v>
      </c>
      <c r="X95" s="3">
        <v>1.0</v>
      </c>
      <c r="Y95" s="3">
        <v>7.0</v>
      </c>
      <c r="Z95" s="3">
        <v>1.0</v>
      </c>
      <c r="AA95" s="3">
        <v>7.0</v>
      </c>
      <c r="AB95" s="3">
        <v>7.0</v>
      </c>
    </row>
    <row r="96">
      <c r="A96" s="2">
        <v>45119.95440376157</v>
      </c>
      <c r="B96" s="3">
        <v>47.0</v>
      </c>
      <c r="C96" s="3" t="s">
        <v>29</v>
      </c>
      <c r="D96" s="3">
        <v>7.0</v>
      </c>
      <c r="E96" s="3">
        <v>7.0</v>
      </c>
      <c r="F96" s="3">
        <v>7.0</v>
      </c>
      <c r="G96" s="3">
        <v>1.0</v>
      </c>
      <c r="H96" s="3">
        <v>1.0</v>
      </c>
      <c r="I96" s="3">
        <v>7.0</v>
      </c>
      <c r="J96" s="3">
        <v>4.0</v>
      </c>
      <c r="K96" s="3">
        <v>1.0</v>
      </c>
      <c r="L96" s="3">
        <v>1.0</v>
      </c>
      <c r="M96" s="3">
        <v>7.0</v>
      </c>
      <c r="N96" s="3">
        <v>7.0</v>
      </c>
      <c r="O96" s="3">
        <v>4.0</v>
      </c>
      <c r="P96" s="3">
        <v>1.0</v>
      </c>
      <c r="Q96" s="3">
        <v>1.0</v>
      </c>
      <c r="R96" s="3">
        <v>7.0</v>
      </c>
      <c r="S96" s="3">
        <v>7.0</v>
      </c>
      <c r="T96" s="3">
        <v>7.0</v>
      </c>
      <c r="U96" s="3">
        <v>7.0</v>
      </c>
      <c r="V96" s="3">
        <v>7.0</v>
      </c>
      <c r="W96" s="3">
        <v>4.0</v>
      </c>
      <c r="X96" s="3">
        <v>4.0</v>
      </c>
      <c r="Y96" s="3">
        <v>1.0</v>
      </c>
      <c r="Z96" s="3">
        <v>1.0</v>
      </c>
      <c r="AA96" s="3">
        <v>7.0</v>
      </c>
      <c r="AB96" s="3">
        <v>7.0</v>
      </c>
    </row>
    <row r="97">
      <c r="A97" s="2">
        <v>45119.955084699075</v>
      </c>
      <c r="B97" s="3">
        <v>32.0</v>
      </c>
      <c r="C97" s="3" t="s">
        <v>29</v>
      </c>
      <c r="D97" s="3">
        <v>7.0</v>
      </c>
      <c r="E97" s="3">
        <v>6.0</v>
      </c>
      <c r="F97" s="3">
        <v>1.0</v>
      </c>
      <c r="G97" s="3">
        <v>1.0</v>
      </c>
      <c r="H97" s="3">
        <v>1.0</v>
      </c>
      <c r="I97" s="3">
        <v>7.0</v>
      </c>
      <c r="J97" s="3">
        <v>5.0</v>
      </c>
      <c r="K97" s="3">
        <v>1.0</v>
      </c>
      <c r="L97" s="3">
        <v>1.0</v>
      </c>
      <c r="M97" s="3">
        <v>1.0</v>
      </c>
      <c r="N97" s="3">
        <v>1.0</v>
      </c>
      <c r="O97" s="3">
        <v>1.0</v>
      </c>
      <c r="P97" s="3">
        <v>1.0</v>
      </c>
      <c r="Q97" s="3">
        <v>1.0</v>
      </c>
      <c r="R97" s="3">
        <v>6.0</v>
      </c>
      <c r="S97" s="3">
        <v>2.0</v>
      </c>
      <c r="T97" s="3">
        <v>6.0</v>
      </c>
      <c r="U97" s="3">
        <v>6.0</v>
      </c>
      <c r="V97" s="3">
        <v>6.0</v>
      </c>
      <c r="W97" s="3">
        <v>1.0</v>
      </c>
      <c r="X97" s="3">
        <v>1.0</v>
      </c>
      <c r="Y97" s="3">
        <v>7.0</v>
      </c>
      <c r="Z97" s="3">
        <v>4.0</v>
      </c>
      <c r="AA97" s="3">
        <v>6.0</v>
      </c>
      <c r="AB97" s="3">
        <v>6.0</v>
      </c>
    </row>
    <row r="98">
      <c r="A98" s="2">
        <v>45119.95768935185</v>
      </c>
      <c r="B98" s="3">
        <v>65.0</v>
      </c>
      <c r="C98" s="3" t="s">
        <v>29</v>
      </c>
      <c r="D98" s="3">
        <v>5.0</v>
      </c>
      <c r="E98" s="3">
        <v>6.0</v>
      </c>
      <c r="F98" s="3">
        <v>1.0</v>
      </c>
      <c r="G98" s="3">
        <v>1.0</v>
      </c>
      <c r="H98" s="3">
        <v>1.0</v>
      </c>
      <c r="I98" s="3">
        <v>7.0</v>
      </c>
      <c r="J98" s="3">
        <v>1.0</v>
      </c>
      <c r="K98" s="3">
        <v>1.0</v>
      </c>
      <c r="L98" s="3">
        <v>2.0</v>
      </c>
      <c r="M98" s="3">
        <v>1.0</v>
      </c>
      <c r="N98" s="3">
        <v>1.0</v>
      </c>
      <c r="O98" s="3">
        <v>1.0</v>
      </c>
      <c r="P98" s="3">
        <v>1.0</v>
      </c>
      <c r="Q98" s="3">
        <v>1.0</v>
      </c>
      <c r="R98" s="3">
        <v>1.0</v>
      </c>
      <c r="S98" s="3">
        <v>1.0</v>
      </c>
      <c r="T98" s="3">
        <v>1.0</v>
      </c>
      <c r="U98" s="3">
        <v>7.0</v>
      </c>
      <c r="V98" s="3">
        <v>6.0</v>
      </c>
      <c r="W98" s="3">
        <v>1.0</v>
      </c>
      <c r="X98" s="3">
        <v>1.0</v>
      </c>
      <c r="Y98" s="3">
        <v>1.0</v>
      </c>
      <c r="Z98" s="3">
        <v>1.0</v>
      </c>
      <c r="AA98" s="3">
        <v>7.0</v>
      </c>
      <c r="AB98" s="3">
        <v>7.0</v>
      </c>
    </row>
    <row r="99">
      <c r="A99" s="2">
        <v>45119.95827707176</v>
      </c>
      <c r="B99" s="3">
        <v>51.0</v>
      </c>
      <c r="C99" s="3" t="s">
        <v>29</v>
      </c>
      <c r="D99" s="3">
        <v>1.0</v>
      </c>
      <c r="E99" s="3">
        <v>1.0</v>
      </c>
      <c r="F99" s="3">
        <v>6.0</v>
      </c>
      <c r="G99" s="3">
        <v>1.0</v>
      </c>
      <c r="H99" s="3">
        <v>1.0</v>
      </c>
      <c r="I99" s="3">
        <v>7.0</v>
      </c>
      <c r="J99" s="3">
        <v>1.0</v>
      </c>
      <c r="K99" s="3">
        <v>1.0</v>
      </c>
      <c r="L99" s="3">
        <v>7.0</v>
      </c>
      <c r="M99" s="3">
        <v>1.0</v>
      </c>
      <c r="N99" s="3">
        <v>7.0</v>
      </c>
      <c r="O99" s="3">
        <v>1.0</v>
      </c>
      <c r="P99" s="3">
        <v>1.0</v>
      </c>
      <c r="Q99" s="3">
        <v>1.0</v>
      </c>
      <c r="R99" s="3">
        <v>7.0</v>
      </c>
      <c r="S99" s="3">
        <v>1.0</v>
      </c>
      <c r="T99" s="3">
        <v>1.0</v>
      </c>
      <c r="U99" s="3">
        <v>1.0</v>
      </c>
      <c r="V99" s="3">
        <v>1.0</v>
      </c>
      <c r="W99" s="3">
        <v>1.0</v>
      </c>
      <c r="X99" s="3">
        <v>1.0</v>
      </c>
      <c r="Y99" s="3">
        <v>3.0</v>
      </c>
      <c r="Z99" s="3">
        <v>1.0</v>
      </c>
      <c r="AA99" s="3">
        <v>7.0</v>
      </c>
      <c r="AB99" s="3">
        <v>7.0</v>
      </c>
    </row>
    <row r="100">
      <c r="A100" s="2">
        <v>45119.95905070602</v>
      </c>
      <c r="B100" s="3">
        <v>33.0</v>
      </c>
      <c r="C100" s="3" t="s">
        <v>29</v>
      </c>
      <c r="D100" s="3">
        <v>4.0</v>
      </c>
      <c r="E100" s="3">
        <v>3.0</v>
      </c>
      <c r="F100" s="3">
        <v>1.0</v>
      </c>
      <c r="G100" s="3">
        <v>1.0</v>
      </c>
      <c r="H100" s="3">
        <v>3.0</v>
      </c>
      <c r="I100" s="3">
        <v>6.0</v>
      </c>
      <c r="J100" s="3">
        <v>1.0</v>
      </c>
      <c r="K100" s="3">
        <v>1.0</v>
      </c>
      <c r="L100" s="3">
        <v>2.0</v>
      </c>
      <c r="M100" s="3">
        <v>1.0</v>
      </c>
      <c r="N100" s="3">
        <v>2.0</v>
      </c>
      <c r="O100" s="3">
        <v>2.0</v>
      </c>
      <c r="P100" s="3">
        <v>2.0</v>
      </c>
      <c r="Q100" s="3">
        <v>4.0</v>
      </c>
      <c r="R100" s="3">
        <v>3.0</v>
      </c>
      <c r="S100" s="3">
        <v>1.0</v>
      </c>
      <c r="T100" s="3">
        <v>3.0</v>
      </c>
      <c r="U100" s="3">
        <v>2.0</v>
      </c>
      <c r="V100" s="3">
        <v>2.0</v>
      </c>
      <c r="W100" s="3">
        <v>2.0</v>
      </c>
      <c r="X100" s="3">
        <v>2.0</v>
      </c>
      <c r="Y100" s="3">
        <v>2.0</v>
      </c>
      <c r="Z100" s="3">
        <v>5.0</v>
      </c>
      <c r="AA100" s="3">
        <v>3.0</v>
      </c>
      <c r="AB100" s="3">
        <v>5.0</v>
      </c>
    </row>
    <row r="101">
      <c r="A101" s="2">
        <v>45119.963051377315</v>
      </c>
      <c r="B101" s="3">
        <v>37.0</v>
      </c>
      <c r="C101" s="3" t="s">
        <v>29</v>
      </c>
      <c r="D101" s="3">
        <v>7.0</v>
      </c>
      <c r="E101" s="3">
        <v>7.0</v>
      </c>
      <c r="F101" s="3">
        <v>7.0</v>
      </c>
      <c r="G101" s="3">
        <v>1.0</v>
      </c>
      <c r="H101" s="3">
        <v>1.0</v>
      </c>
      <c r="I101" s="3">
        <v>7.0</v>
      </c>
      <c r="J101" s="3">
        <v>7.0</v>
      </c>
      <c r="K101" s="3">
        <v>1.0</v>
      </c>
      <c r="L101" s="3">
        <v>7.0</v>
      </c>
      <c r="M101" s="3">
        <v>2.0</v>
      </c>
      <c r="N101" s="3">
        <v>2.0</v>
      </c>
      <c r="O101" s="3">
        <v>2.0</v>
      </c>
      <c r="P101" s="3">
        <v>6.0</v>
      </c>
      <c r="Q101" s="3">
        <v>2.0</v>
      </c>
      <c r="R101" s="3">
        <v>7.0</v>
      </c>
      <c r="S101" s="3">
        <v>2.0</v>
      </c>
      <c r="T101" s="3">
        <v>1.0</v>
      </c>
      <c r="U101" s="3">
        <v>2.0</v>
      </c>
      <c r="V101" s="3">
        <v>6.0</v>
      </c>
      <c r="W101" s="3">
        <v>1.0</v>
      </c>
      <c r="X101" s="3">
        <v>2.0</v>
      </c>
      <c r="Y101" s="3">
        <v>6.0</v>
      </c>
      <c r="Z101" s="3">
        <v>1.0</v>
      </c>
      <c r="AA101" s="3">
        <v>7.0</v>
      </c>
      <c r="AB101" s="3">
        <v>7.0</v>
      </c>
    </row>
    <row r="102">
      <c r="A102" s="2">
        <v>45119.964225752316</v>
      </c>
      <c r="B102" s="3">
        <v>38.0</v>
      </c>
      <c r="C102" s="3" t="s">
        <v>28</v>
      </c>
      <c r="D102" s="3">
        <v>1.0</v>
      </c>
      <c r="E102" s="3">
        <v>7.0</v>
      </c>
      <c r="F102" s="3">
        <v>7.0</v>
      </c>
      <c r="G102" s="3">
        <v>1.0</v>
      </c>
      <c r="H102" s="3">
        <v>1.0</v>
      </c>
      <c r="I102" s="3">
        <v>4.0</v>
      </c>
      <c r="J102" s="3">
        <v>4.0</v>
      </c>
      <c r="K102" s="3">
        <v>1.0</v>
      </c>
      <c r="L102" s="3">
        <v>6.0</v>
      </c>
      <c r="M102" s="3">
        <v>1.0</v>
      </c>
      <c r="N102" s="3">
        <v>7.0</v>
      </c>
      <c r="O102" s="3">
        <v>1.0</v>
      </c>
      <c r="P102" s="3">
        <v>1.0</v>
      </c>
      <c r="Q102" s="3">
        <v>7.0</v>
      </c>
      <c r="R102" s="3">
        <v>5.0</v>
      </c>
      <c r="S102" s="3">
        <v>1.0</v>
      </c>
      <c r="T102" s="3">
        <v>3.0</v>
      </c>
      <c r="U102" s="3">
        <v>6.0</v>
      </c>
      <c r="V102" s="3">
        <v>4.0</v>
      </c>
      <c r="W102" s="3">
        <v>7.0</v>
      </c>
      <c r="X102" s="3">
        <v>2.0</v>
      </c>
      <c r="Y102" s="3">
        <v>7.0</v>
      </c>
      <c r="Z102" s="3">
        <v>7.0</v>
      </c>
      <c r="AA102" s="3">
        <v>7.0</v>
      </c>
      <c r="AB102" s="3">
        <v>7.0</v>
      </c>
    </row>
  </sheetData>
  <autoFilter ref="$A$1:$AA$1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57.0"/>
    <col customWidth="1" min="3" max="3" width="3.63"/>
    <col customWidth="1" min="4" max="9" width="3.25"/>
    <col customWidth="1" min="10" max="10" width="4.5"/>
    <col customWidth="1" min="11" max="11" width="15.25"/>
    <col customWidth="1" hidden="1" min="12" max="12" width="7.38"/>
    <col customWidth="1" hidden="1" min="13" max="13" width="5.88"/>
    <col customWidth="1" hidden="1" min="14" max="14" width="2.88"/>
    <col customWidth="1" hidden="1" min="15" max="19" width="1.88"/>
    <col customWidth="1" hidden="1" min="20" max="20" width="2.88"/>
    <col customWidth="1" hidden="1" min="21" max="34" width="1.88"/>
    <col customWidth="1" min="35" max="37" width="9.25"/>
    <col customWidth="1" hidden="1" min="38" max="40" width="11.38"/>
    <col customWidth="1" hidden="1" min="41" max="41" width="7.13"/>
    <col customWidth="1" hidden="1" min="42" max="43" width="5.13"/>
    <col customWidth="1" hidden="1" min="44" max="46" width="11.38"/>
    <col customWidth="1" hidden="1" min="47" max="47" width="6.88"/>
    <col customWidth="1" hidden="1" min="48" max="54" width="1.88"/>
    <col customWidth="1" hidden="1" min="55" max="55" width="2.88"/>
    <col customWidth="1" hidden="1" min="56" max="61" width="1.88"/>
    <col customWidth="1" min="62" max="62" width="9.5"/>
    <col customWidth="1" min="63" max="63" width="11.75"/>
    <col customWidth="1" hidden="1" min="64" max="64" width="13.5"/>
    <col customWidth="1" hidden="1" min="65" max="65" width="15.88"/>
    <col customWidth="1" hidden="1" min="66" max="69" width="5.13"/>
    <col customWidth="1" hidden="1" min="70" max="70" width="6.88"/>
  </cols>
  <sheetData>
    <row r="1">
      <c r="A1" s="4" t="s">
        <v>54</v>
      </c>
      <c r="B1" s="4" t="s">
        <v>55</v>
      </c>
      <c r="C1" s="4">
        <v>1.0</v>
      </c>
      <c r="D1" s="4">
        <v>2.0</v>
      </c>
      <c r="E1" s="4">
        <v>3.0</v>
      </c>
      <c r="F1" s="4">
        <v>4.0</v>
      </c>
      <c r="G1" s="4">
        <v>5.0</v>
      </c>
      <c r="H1" s="4">
        <v>6.0</v>
      </c>
      <c r="I1" s="4">
        <v>7.0</v>
      </c>
      <c r="J1" s="4" t="s">
        <v>56</v>
      </c>
      <c r="K1" s="4" t="s">
        <v>57</v>
      </c>
      <c r="L1" s="5" t="s">
        <v>58</v>
      </c>
      <c r="N1" s="5">
        <v>1.0</v>
      </c>
      <c r="O1" s="5">
        <v>2.0</v>
      </c>
      <c r="P1" s="5">
        <v>3.0</v>
      </c>
      <c r="Q1" s="5">
        <v>4.0</v>
      </c>
      <c r="R1" s="5">
        <v>5.0</v>
      </c>
      <c r="S1" s="5">
        <v>6.0</v>
      </c>
      <c r="T1" s="5">
        <v>7.0</v>
      </c>
      <c r="U1" s="5">
        <v>1.0</v>
      </c>
      <c r="V1" s="5">
        <v>2.0</v>
      </c>
      <c r="W1" s="5">
        <v>3.0</v>
      </c>
      <c r="X1" s="5">
        <v>4.0</v>
      </c>
      <c r="Y1" s="5">
        <v>5.0</v>
      </c>
      <c r="Z1" s="5">
        <v>6.0</v>
      </c>
      <c r="AA1" s="5">
        <v>7.0</v>
      </c>
      <c r="AB1" s="5">
        <v>1.0</v>
      </c>
      <c r="AC1" s="5">
        <v>2.0</v>
      </c>
      <c r="AD1" s="5">
        <v>3.0</v>
      </c>
      <c r="AE1" s="5">
        <v>4.0</v>
      </c>
      <c r="AF1" s="5">
        <v>5.0</v>
      </c>
      <c r="AG1" s="5">
        <v>6.0</v>
      </c>
      <c r="AH1" s="5">
        <v>7.0</v>
      </c>
      <c r="AI1" s="4" t="s">
        <v>59</v>
      </c>
      <c r="AJ1" s="4" t="s">
        <v>60</v>
      </c>
      <c r="AK1" s="4" t="s">
        <v>61</v>
      </c>
      <c r="AL1" s="4" t="s">
        <v>62</v>
      </c>
      <c r="AM1" s="4" t="s">
        <v>63</v>
      </c>
      <c r="AN1" s="4" t="s">
        <v>64</v>
      </c>
      <c r="AO1" s="4"/>
      <c r="AP1" s="4"/>
      <c r="AQ1" s="4"/>
      <c r="AR1" s="4" t="s">
        <v>65</v>
      </c>
      <c r="AS1" s="4"/>
      <c r="AT1" s="4"/>
      <c r="AU1" s="4" t="s">
        <v>66</v>
      </c>
      <c r="AV1" s="3">
        <v>1.0</v>
      </c>
      <c r="AW1" s="3">
        <v>2.0</v>
      </c>
      <c r="AX1" s="3">
        <v>3.0</v>
      </c>
      <c r="AY1" s="3">
        <v>4.0</v>
      </c>
      <c r="AZ1" s="3">
        <v>5.0</v>
      </c>
      <c r="BA1" s="3">
        <v>6.0</v>
      </c>
      <c r="BB1" s="3">
        <v>7.0</v>
      </c>
      <c r="BC1" s="3">
        <v>1.0</v>
      </c>
      <c r="BD1" s="3">
        <v>2.0</v>
      </c>
      <c r="BE1" s="3">
        <v>3.0</v>
      </c>
      <c r="BF1" s="3">
        <v>4.0</v>
      </c>
      <c r="BG1" s="3">
        <v>5.0</v>
      </c>
      <c r="BH1" s="3">
        <v>6.0</v>
      </c>
      <c r="BI1" s="3">
        <v>7.0</v>
      </c>
      <c r="BJ1" s="4" t="s">
        <v>67</v>
      </c>
      <c r="BK1" s="4" t="s">
        <v>68</v>
      </c>
      <c r="BL1" s="4" t="s">
        <v>69</v>
      </c>
      <c r="BM1" s="4" t="s">
        <v>70</v>
      </c>
      <c r="BR1" s="4" t="s">
        <v>66</v>
      </c>
    </row>
    <row r="2">
      <c r="A2" s="3">
        <v>1.0</v>
      </c>
      <c r="B2" s="1" t="s">
        <v>3</v>
      </c>
      <c r="C2" s="6">
        <f>countif('9A'!$D$2:$D$655, C$1)</f>
        <v>37</v>
      </c>
      <c r="D2" s="6">
        <f>countif('9A'!$D$2:$D$655, D$1)</f>
        <v>14</v>
      </c>
      <c r="E2" s="6">
        <f>countif('9A'!$D$2:$D$655, E$1)</f>
        <v>5</v>
      </c>
      <c r="F2" s="6">
        <f>countif('9A'!$D$2:$D$655, F$1)</f>
        <v>1</v>
      </c>
      <c r="G2" s="6">
        <f>countif('9A'!$D$2:$D$655, G$1)</f>
        <v>3</v>
      </c>
      <c r="H2" s="6">
        <f>countif('9A'!$D$2:$D$655, H$1)</f>
        <v>3</v>
      </c>
      <c r="I2" s="6">
        <f>countif('9A'!$D$2:$D$655, I$1)</f>
        <v>2</v>
      </c>
      <c r="J2" s="6">
        <f t="shared" ref="J2:J3" si="5">SUM(C2:I2)</f>
        <v>65</v>
      </c>
      <c r="K2" s="7">
        <f t="shared" ref="K2:K26" si="6">((C2*1)+(D2*2)+(E2*3)+(F2*4)+(G2*5)+(H2*6)+(I2*7))/J2</f>
        <v>2.015384615</v>
      </c>
      <c r="L2" s="6" t="str">
        <f t="shared" ref="L2:M2" si="1">'Average comparison (age groups)'!L2</f>
        <v>#REF!</v>
      </c>
      <c r="M2" s="6" t="str">
        <f t="shared" si="1"/>
        <v>#REF!</v>
      </c>
      <c r="N2" s="6">
        <f>countifs('9A'!$D$2:$D$655, N$1, '9A'!$B$2:$B$655, "&gt;"&amp;$L$2, '9A'!$B$2:$B$655, "&lt;"&amp;$M$2)</f>
        <v>0</v>
      </c>
      <c r="O2" s="6">
        <f>countifs('9A'!$D$2:$D$655, O$1, '9A'!$B$2:$B$655, "&gt;"&amp;$L$2, '9A'!$B$2:$B$655, "&lt;"&amp;$M$2)</f>
        <v>0</v>
      </c>
      <c r="P2" s="6">
        <f>countifs('9A'!$D$2:$D$655, P$1, '9A'!$B$2:$B$655, "&gt;"&amp;$L$2, '9A'!$B$2:$B$655, "&lt;"&amp;$M$2)</f>
        <v>0</v>
      </c>
      <c r="Q2" s="6">
        <f>countifs('9A'!$D$2:$D$655, Q$1, '9A'!$B$2:$B$655, "&gt;"&amp;$L$2, '9A'!$B$2:$B$655, "&lt;"&amp;$M$2)</f>
        <v>0</v>
      </c>
      <c r="R2" s="6">
        <f>countifs('9A'!$D$2:$D$655, R$1, '9A'!$B$2:$B$655, "&gt;"&amp;$L$2, '9A'!$B$2:$B$655, "&lt;"&amp;$M$2)</f>
        <v>0</v>
      </c>
      <c r="S2" s="6">
        <f>countifs('9A'!$D$2:$D$655, S$1, '9A'!$B$2:$B$655, "&gt;"&amp;$L$2, '9A'!$B$2:$B$655, "&lt;"&amp;$M$2)</f>
        <v>0</v>
      </c>
      <c r="T2" s="6">
        <f>countifs('9A'!$D$2:$D$655, T$1, '9A'!$B$2:$B$655, "&gt;"&amp;$L$2, '9A'!$B$2:$B$655, "&lt;"&amp;$M$2)</f>
        <v>0</v>
      </c>
      <c r="U2" s="6">
        <f>countifs('9A'!$D$2:$D$655, U$1, '9A'!$B$2:$B$655, "&gt;"&amp;$L$3, '9A'!$B$2:$B$655, "&lt;"&amp;$M$3)</f>
        <v>0</v>
      </c>
      <c r="V2" s="6">
        <f>countifs('9A'!$D$2:$D$655, V$1, '9A'!$B$2:$B$655, "&gt;"&amp;$L$3, '9A'!$B$2:$B$655, "&lt;"&amp;$M$3)</f>
        <v>0</v>
      </c>
      <c r="W2" s="6">
        <f>countifs('9A'!$D$2:$D$655, W$1, '9A'!$B$2:$B$655, "&gt;"&amp;$L$3, '9A'!$B$2:$B$655, "&lt;"&amp;$M$3)</f>
        <v>0</v>
      </c>
      <c r="X2" s="6">
        <f>countifs('9A'!$D$2:$D$655, X$1, '9A'!$B$2:$B$655, "&gt;"&amp;$L$3, '9A'!$B$2:$B$655, "&lt;"&amp;$M$3)</f>
        <v>0</v>
      </c>
      <c r="Y2" s="6">
        <f>countifs('9A'!$D$2:$D$655, Y$1, '9A'!$B$2:$B$655, "&gt;"&amp;$L$3, '9A'!$B$2:$B$655, "&lt;"&amp;$M$3)</f>
        <v>0</v>
      </c>
      <c r="Z2" s="6">
        <f>countifs('9A'!$D$2:$D$655, Z$1, '9A'!$B$2:$B$655, "&gt;"&amp;$L$3, '9A'!$B$2:$B$655, "&lt;"&amp;$M$3)</f>
        <v>0</v>
      </c>
      <c r="AA2" s="6">
        <f>countifs('9A'!$D$2:$D$655, AA$1, '9A'!$B$2:$B$655, "&gt;"&amp;$L$3, '9A'!$B$2:$B$655, "&lt;"&amp;$M$3)</f>
        <v>0</v>
      </c>
      <c r="AB2" s="6">
        <f>countifs('9A'!$D$2:$D$655, AB$1, '9A'!$B$2:$B$655, "&gt;"&amp;$L$4, '9A'!$B$2:$B$655, "&lt;"&amp;$M$4)</f>
        <v>0</v>
      </c>
      <c r="AC2" s="6">
        <f>countifs('9A'!$D$2:$D$655, AC$1, '9A'!$B$2:$B$655, "&gt;"&amp;$L$4, '9A'!$B$2:$B$655, "&lt;"&amp;$M$4)</f>
        <v>0</v>
      </c>
      <c r="AD2" s="6">
        <f>countifs('9A'!$D$2:$D$655, AD$1, '9A'!$B$2:$B$655, "&gt;"&amp;$L$4, '9A'!$B$2:$B$655, "&lt;"&amp;$M$4)</f>
        <v>0</v>
      </c>
      <c r="AE2" s="6">
        <f>countifs('9A'!$D$2:$D$655, AE$1, '9A'!$B$2:$B$655, "&gt;"&amp;$L$4, '9A'!$B$2:$B$655, "&lt;"&amp;$M$4)</f>
        <v>0</v>
      </c>
      <c r="AF2" s="6">
        <f>countifs('9A'!$D$2:$D$655, AF$1, '9A'!$B$2:$B$655, "&gt;"&amp;$L$4, '9A'!$B$2:$B$655, "&lt;"&amp;$M$4)</f>
        <v>0</v>
      </c>
      <c r="AG2" s="6">
        <f>countifs('9A'!$D$2:$D$655, AG$1, '9A'!$B$2:$B$655, "&gt;"&amp;$L$4, '9A'!$B$2:$B$655, "&lt;"&amp;$M$4)</f>
        <v>0</v>
      </c>
      <c r="AH2" s="6">
        <f>countifs('9A'!$D$2:$D$655, AH$1, '9A'!$B$2:$B$655, "&gt;"&amp;$L$4, '9A'!$B$2:$B$655, "&lt;"&amp;$M$4)</f>
        <v>0</v>
      </c>
      <c r="AI2" s="3">
        <v>8.0</v>
      </c>
      <c r="AJ2" s="3">
        <v>11.0</v>
      </c>
      <c r="AK2" s="3">
        <v>11.0</v>
      </c>
      <c r="AL2" s="7" t="str">
        <f>IFERROR(__xludf.DUMMYFUNCTION("AVERAGE.WEIGHTED($N$1:$T$1, N2:T2)"),"#DIV/0!")</f>
        <v>#DIV/0!</v>
      </c>
      <c r="AM2" s="7" t="str">
        <f>IFERROR(__xludf.DUMMYFUNCTION("AVERAGE.WEIGHTED($U$1:$AA$1, U2:AA2)"),"#DIV/0!")</f>
        <v>#DIV/0!</v>
      </c>
      <c r="AN2" s="7" t="str">
        <f>IFERROR(__xludf.DUMMYFUNCTION("AVERAGE.WEIGHTED($AB$1:$AH$1, AB2:AH2)"),"#DIV/0!")</f>
        <v>#DIV/0!</v>
      </c>
      <c r="AO2" s="7" t="str">
        <f t="shared" ref="AO2:AQ2" si="2">(AL2-1)*100/6</f>
        <v>#DIV/0!</v>
      </c>
      <c r="AP2" s="7" t="str">
        <f t="shared" si="2"/>
        <v>#DIV/0!</v>
      </c>
      <c r="AQ2" s="7" t="str">
        <f t="shared" si="2"/>
        <v>#DIV/0!</v>
      </c>
      <c r="AR2" s="8" t="str">
        <f t="shared" ref="AR2:AT2" si="3">average($AO2:$AQ2)</f>
        <v>#DIV/0!</v>
      </c>
      <c r="AS2" s="8" t="str">
        <f t="shared" si="3"/>
        <v>#DIV/0!</v>
      </c>
      <c r="AT2" s="8" t="str">
        <f t="shared" si="3"/>
        <v>#DIV/0!</v>
      </c>
      <c r="AU2" s="8" t="str">
        <f t="shared" ref="AU2:AU26" si="10">_xlfn.CHISQ.TEST(AO2:AQ2,AR2:AT2)</f>
        <v>#DIV/0!</v>
      </c>
      <c r="AV2" s="6">
        <f>countifs('9A'!$D$2:$D$655, AV$1, '9A'!$C$2:$C$655, "Karl")</f>
        <v>10</v>
      </c>
      <c r="AW2" s="6">
        <f>countifs('9A'!$D$2:$D$655, AW$1, '9A'!$C$2:$C$655, "Karl")</f>
        <v>3</v>
      </c>
      <c r="AX2" s="6">
        <f>countifs('9A'!$D$2:$D$655, AX$1, '9A'!$C$2:$C$655, "Karl")</f>
        <v>0</v>
      </c>
      <c r="AY2" s="6">
        <f>countifs('9A'!$D$2:$D$655, AY$1, '9A'!$C$2:$C$655, "Karl")</f>
        <v>0</v>
      </c>
      <c r="AZ2" s="6">
        <f>countifs('9A'!$D$2:$D$655, AZ$1, '9A'!$C$2:$C$655, "Karl")</f>
        <v>1</v>
      </c>
      <c r="BA2" s="6">
        <f>countifs('9A'!$D$2:$D$655, BA$1, '9A'!$C$2:$C$655, "Karl")</f>
        <v>2</v>
      </c>
      <c r="BB2" s="6">
        <f>countifs('9A'!$D$2:$D$655, BB$1, '9A'!$C$2:$C$655, "Karl")</f>
        <v>2</v>
      </c>
      <c r="BC2" s="6">
        <f>countifs('9A'!$D$2:$D$655, BC$1, '9A'!$C$2:$C$655, "Kona")</f>
        <v>27</v>
      </c>
      <c r="BD2" s="6">
        <f>countifs('9A'!$D$2:$D$655, BD$1, '9A'!$C$2:$C$655, "Kona")</f>
        <v>11</v>
      </c>
      <c r="BE2" s="6">
        <f>countifs('9A'!$D$2:$D$655, BE$1, '9A'!$C$2:$C$655, "Kona")</f>
        <v>5</v>
      </c>
      <c r="BF2" s="6">
        <f>countifs('9A'!$D$2:$D$655, BF$1, '9A'!$C$2:$C$655, "Kona")</f>
        <v>1</v>
      </c>
      <c r="BG2" s="6">
        <f>countifs('9A'!$D$2:$D$655, BG$1, '9A'!$C$2:$C$655, "Kona")</f>
        <v>2</v>
      </c>
      <c r="BH2" s="6">
        <f>countifs('9A'!$D$2:$D$655, BH$1, '9A'!$C$2:$C$655, "Kona")</f>
        <v>1</v>
      </c>
      <c r="BI2" s="6">
        <f>countifs('9A'!$D$2:$D$655, BI$1, '9A'!$C$2:$C$655, "Kona")</f>
        <v>0</v>
      </c>
      <c r="BJ2" s="9">
        <v>18.0</v>
      </c>
      <c r="BK2" s="9">
        <v>47.0</v>
      </c>
      <c r="BL2" s="7">
        <f>IFERROR(__xludf.DUMMYFUNCTION("AVERAGE.WEIGHTED($AV$1:$BB$1,AV2:BB2)"),2.611111111111111)</f>
        <v>2.611111111</v>
      </c>
      <c r="BM2" s="7">
        <f>IFERROR(__xludf.DUMMYFUNCTION("AVERAGE.WEIGHTED($BC$1:$BI$1,BC2:BI2)"),1.7872340425531916)</f>
        <v>1.787234043</v>
      </c>
      <c r="BN2" s="7">
        <f t="shared" ref="BN2:BO2" si="4">(BL2-1)*100/6</f>
        <v>26.85185185</v>
      </c>
      <c r="BO2" s="7">
        <f t="shared" si="4"/>
        <v>13.12056738</v>
      </c>
      <c r="BP2" s="7">
        <f t="shared" ref="BP2:BP26" si="12">AVERAGE(BN2:BO2)</f>
        <v>19.98620961</v>
      </c>
      <c r="BQ2" s="7">
        <f t="shared" ref="BQ2:BQ26" si="13">AVERAGE(BN2:BO2)</f>
        <v>19.98620961</v>
      </c>
      <c r="BR2" s="8">
        <f t="shared" ref="BR2:BR26" si="14">_xlfn.CHISQ.TEST(BN2:BO2,BP2:BQ2)</f>
        <v>0.02986655602</v>
      </c>
    </row>
    <row r="3">
      <c r="A3" s="3">
        <v>2.0</v>
      </c>
      <c r="B3" s="1" t="s">
        <v>4</v>
      </c>
      <c r="C3" s="6">
        <f>countif('9A'!$E$2:$E$655, C$1)</f>
        <v>5</v>
      </c>
      <c r="D3" s="6">
        <f>countif('9A'!$E$2:$E$655, D$1)</f>
        <v>5</v>
      </c>
      <c r="E3" s="6">
        <f>countif('9A'!$E$2:$E$655, E$1)</f>
        <v>5</v>
      </c>
      <c r="F3" s="6">
        <f>countif('9A'!$E$2:$E$655, F$1)</f>
        <v>3</v>
      </c>
      <c r="G3" s="6">
        <f>countif('9A'!$E$2:$E$655, G$1)</f>
        <v>7</v>
      </c>
      <c r="H3" s="6">
        <f>countif('9A'!$E$2:$E$655, H$1)</f>
        <v>9</v>
      </c>
      <c r="I3" s="6">
        <f>countif('9A'!$E$2:$E$655, I$1)</f>
        <v>31</v>
      </c>
      <c r="J3" s="6">
        <f t="shared" si="5"/>
        <v>65</v>
      </c>
      <c r="K3" s="7">
        <f t="shared" si="6"/>
        <v>5.353846154</v>
      </c>
      <c r="L3" s="6" t="str">
        <f t="shared" ref="L3:M3" si="7">'Average comparison (age groups)'!L3</f>
        <v>#REF!</v>
      </c>
      <c r="M3" s="6" t="str">
        <f t="shared" si="7"/>
        <v>#REF!</v>
      </c>
      <c r="N3" s="6">
        <f>countifs('9A'!$E$2:$E$655, N$1, '9A'!$B$2:$B$655, "&gt;"&amp;$L$2, '9A'!$B$2:$B$655, "&lt;"&amp;$M$2)</f>
        <v>0</v>
      </c>
      <c r="O3" s="6">
        <f>countifs('9A'!$E$2:$E$655, O$1, '9A'!$B$2:$B$655, "&gt;"&amp;$L$2, '9A'!$B$2:$B$655, "&lt;"&amp;$M$2)</f>
        <v>0</v>
      </c>
      <c r="P3" s="6">
        <f>countifs('9A'!$E$2:$E$655, P$1, '9A'!$B$2:$B$655, "&gt;"&amp;$L$2, '9A'!$B$2:$B$655, "&lt;"&amp;$M$2)</f>
        <v>0</v>
      </c>
      <c r="Q3" s="6">
        <f>countifs('9A'!$E$2:$E$655, Q$1, '9A'!$B$2:$B$655, "&gt;"&amp;$L$2, '9A'!$B$2:$B$655, "&lt;"&amp;$M$2)</f>
        <v>0</v>
      </c>
      <c r="R3" s="6">
        <f>countifs('9A'!$E$2:$E$655, R$1, '9A'!$B$2:$B$655, "&gt;"&amp;$L$2, '9A'!$B$2:$B$655, "&lt;"&amp;$M$2)</f>
        <v>0</v>
      </c>
      <c r="S3" s="6">
        <f>countifs('9A'!$E$2:$E$655, S$1, '9A'!$B$2:$B$655, "&gt;"&amp;$L$2, '9A'!$B$2:$B$655, "&lt;"&amp;$M$2)</f>
        <v>0</v>
      </c>
      <c r="T3" s="6">
        <f>countifs('9A'!$E$2:$E$655, T$1, '9A'!$B$2:$B$655, "&gt;"&amp;$L$2, '9A'!$B$2:$B$655, "&lt;"&amp;$M$2)</f>
        <v>0</v>
      </c>
      <c r="U3" s="6">
        <f>countifs('9A'!$E$2:$E$655, U$1, '9A'!$B$2:$B$655, "&gt;"&amp;$L$3, '9A'!$B$2:$B$655, "&lt;"&amp;$M$3)</f>
        <v>0</v>
      </c>
      <c r="V3" s="6">
        <f>countifs('9A'!$E$2:$E$655, V$1, '9A'!$B$2:$B$655, "&gt;"&amp;$L$3, '9A'!$B$2:$B$655, "&lt;"&amp;$M$3)</f>
        <v>0</v>
      </c>
      <c r="W3" s="6">
        <f>countifs('9A'!$E$2:$E$655, W$1, '9A'!$B$2:$B$655, "&gt;"&amp;$L$3, '9A'!$B$2:$B$655, "&lt;"&amp;$M$3)</f>
        <v>0</v>
      </c>
      <c r="X3" s="6">
        <f>countifs('9A'!$E$2:$E$655, X$1, '9A'!$B$2:$B$655, "&gt;"&amp;$L$3, '9A'!$B$2:$B$655, "&lt;"&amp;$M$3)</f>
        <v>0</v>
      </c>
      <c r="Y3" s="6">
        <f>countifs('9A'!$E$2:$E$655, Y$1, '9A'!$B$2:$B$655, "&gt;"&amp;$L$3, '9A'!$B$2:$B$655, "&lt;"&amp;$M$3)</f>
        <v>0</v>
      </c>
      <c r="Z3" s="6">
        <f>countifs('9A'!$E$2:$E$655, Z$1, '9A'!$B$2:$B$655, "&gt;"&amp;$L$3, '9A'!$B$2:$B$655, "&lt;"&amp;$M$3)</f>
        <v>0</v>
      </c>
      <c r="AA3" s="6">
        <f>countifs('9A'!$E$2:$E$655, AA$1, '9A'!$B$2:$B$655, "&gt;"&amp;$L$3, '9A'!$B$2:$B$655, "&lt;"&amp;$M$3)</f>
        <v>0</v>
      </c>
      <c r="AB3" s="6">
        <f>countifs('9A'!$E$2:$E$655, AB$1, '9A'!$B$2:$B$655, "&gt;"&amp;$L$4, '9A'!$B$2:$B$655, "&lt;"&amp;$M$4)</f>
        <v>0</v>
      </c>
      <c r="AC3" s="6">
        <f>countifs('9A'!$E$2:$E$655, AC$1, '9A'!$B$2:$B$655, "&gt;"&amp;$L$4, '9A'!$B$2:$B$655, "&lt;"&amp;$M$4)</f>
        <v>0</v>
      </c>
      <c r="AD3" s="6">
        <f>countifs('9A'!$E$2:$E$655, AD$1, '9A'!$B$2:$B$655, "&gt;"&amp;$L$4, '9A'!$B$2:$B$655, "&lt;"&amp;$M$4)</f>
        <v>0</v>
      </c>
      <c r="AE3" s="6">
        <f>countifs('9A'!$E$2:$E$655, AE$1, '9A'!$B$2:$B$655, "&gt;"&amp;$L$4, '9A'!$B$2:$B$655, "&lt;"&amp;$M$4)</f>
        <v>0</v>
      </c>
      <c r="AF3" s="6">
        <f>countifs('9A'!$E$2:$E$655, AF$1, '9A'!$B$2:$B$655, "&gt;"&amp;$L$4, '9A'!$B$2:$B$655, "&lt;"&amp;$M$4)</f>
        <v>0</v>
      </c>
      <c r="AG3" s="6">
        <f>countifs('9A'!$E$2:$E$655, AG$1, '9A'!$B$2:$B$655, "&gt;"&amp;$L$4, '9A'!$B$2:$B$655, "&lt;"&amp;$M$4)</f>
        <v>0</v>
      </c>
      <c r="AH3" s="6">
        <f>countifs('9A'!$E$2:$E$655, AH$1, '9A'!$B$2:$B$655, "&gt;"&amp;$L$4, '9A'!$B$2:$B$655, "&lt;"&amp;$M$4)</f>
        <v>0</v>
      </c>
      <c r="AI3" s="3">
        <v>8.0</v>
      </c>
      <c r="AJ3" s="3">
        <v>11.0</v>
      </c>
      <c r="AK3" s="3">
        <v>11.0</v>
      </c>
      <c r="AL3" s="7" t="str">
        <f>IFERROR(__xludf.DUMMYFUNCTION("AVERAGE.WEIGHTED($N$1:$T$1, N3:T3)"),"#DIV/0!")</f>
        <v>#DIV/0!</v>
      </c>
      <c r="AM3" s="7" t="str">
        <f>IFERROR(__xludf.DUMMYFUNCTION("AVERAGE.WEIGHTED($U$1:$AA$1, U3:AA3)"),"#DIV/0!")</f>
        <v>#DIV/0!</v>
      </c>
      <c r="AN3" s="7" t="str">
        <f>IFERROR(__xludf.DUMMYFUNCTION("AVERAGE.WEIGHTED($AB$1:$AH$1, AB3:AH3)"),"#DIV/0!")</f>
        <v>#DIV/0!</v>
      </c>
      <c r="AO3" s="7" t="str">
        <f t="shared" ref="AO3:AQ3" si="8">(AL3-1)*100/6</f>
        <v>#DIV/0!</v>
      </c>
      <c r="AP3" s="7" t="str">
        <f t="shared" si="8"/>
        <v>#DIV/0!</v>
      </c>
      <c r="AQ3" s="7" t="str">
        <f t="shared" si="8"/>
        <v>#DIV/0!</v>
      </c>
      <c r="AR3" s="8" t="str">
        <f t="shared" ref="AR3:AT3" si="9">average($AO3:$AQ3)</f>
        <v>#DIV/0!</v>
      </c>
      <c r="AS3" s="8" t="str">
        <f t="shared" si="9"/>
        <v>#DIV/0!</v>
      </c>
      <c r="AT3" s="8" t="str">
        <f t="shared" si="9"/>
        <v>#DIV/0!</v>
      </c>
      <c r="AU3" s="8" t="str">
        <f t="shared" si="10"/>
        <v>#DIV/0!</v>
      </c>
      <c r="AV3" s="6">
        <f>countifs('9A'!$E$2:$E$655, AV$1, '9A'!$C$2:$C$655, "Karl")</f>
        <v>3</v>
      </c>
      <c r="AW3" s="6">
        <f>countifs('9A'!$E$2:$E$655, AW$1, '9A'!$C$2:$C$655, "Karl")</f>
        <v>0</v>
      </c>
      <c r="AX3" s="6">
        <f>countifs('9A'!$E$2:$E$655, AX$1, '9A'!$C$2:$C$655, "Karl")</f>
        <v>2</v>
      </c>
      <c r="AY3" s="6">
        <f>countifs('9A'!$E$2:$E$655, AY$1, '9A'!$C$2:$C$655, "Karl")</f>
        <v>0</v>
      </c>
      <c r="AZ3" s="6">
        <f>countifs('9A'!$E$2:$E$655, AZ$1, '9A'!$C$2:$C$655, "Karl")</f>
        <v>0</v>
      </c>
      <c r="BA3" s="6">
        <f>countifs('9A'!$E$2:$E$655, BA$1, '9A'!$C$2:$C$655, "Karl")</f>
        <v>1</v>
      </c>
      <c r="BB3" s="6">
        <f>countifs('9A'!$E$2:$E$655, BB$1, '9A'!$C$2:$C$655, "Karl")</f>
        <v>12</v>
      </c>
      <c r="BC3" s="6">
        <f>countifs('9A'!$E$2:$E$655, BC$1, '9A'!$C$2:$C$655, "Kona")</f>
        <v>2</v>
      </c>
      <c r="BD3" s="6">
        <f>countifs('9A'!$E$2:$E$655, BD$1, '9A'!$C$2:$C$655, "Kona")</f>
        <v>5</v>
      </c>
      <c r="BE3" s="6">
        <f>countifs('9A'!$E$2:$E$655, BE$1, '9A'!$C$2:$C$655, "Kona")</f>
        <v>3</v>
      </c>
      <c r="BF3" s="6">
        <f>countifs('9A'!$E$2:$E$655, BF$1, '9A'!$C$2:$C$655, "Kona")</f>
        <v>3</v>
      </c>
      <c r="BG3" s="6">
        <f>countifs('9A'!$E$2:$E$655, BG$1, '9A'!$C$2:$C$655, "Kona")</f>
        <v>7</v>
      </c>
      <c r="BH3" s="6">
        <f>countifs('9A'!$E$2:$E$655, BH$1, '9A'!$C$2:$C$655, "Kona")</f>
        <v>8</v>
      </c>
      <c r="BI3" s="6">
        <f>countifs('9A'!$E$2:$E$655, BI$1, '9A'!$C$2:$C$655, "Kona")</f>
        <v>19</v>
      </c>
      <c r="BJ3" s="9">
        <v>18.0</v>
      </c>
      <c r="BK3" s="9">
        <v>47.0</v>
      </c>
      <c r="BL3" s="7">
        <f>IFERROR(__xludf.DUMMYFUNCTION("AVERAGE.WEIGHTED($AV$1:$BB$1,AV3:BB3)"),5.5)</f>
        <v>5.5</v>
      </c>
      <c r="BM3" s="7">
        <f>IFERROR(__xludf.DUMMYFUNCTION("AVERAGE.WEIGHTED($BC$1:$BI$1,BC3:BI3)"),5.297872340425532)</f>
        <v>5.29787234</v>
      </c>
      <c r="BN3" s="7">
        <f t="shared" ref="BN3:BO3" si="11">(BL3-1)*100/6</f>
        <v>75</v>
      </c>
      <c r="BO3" s="7">
        <f t="shared" si="11"/>
        <v>71.63120567</v>
      </c>
      <c r="BP3" s="7">
        <f t="shared" si="12"/>
        <v>73.31560284</v>
      </c>
      <c r="BQ3" s="7">
        <f t="shared" si="13"/>
        <v>73.31560284</v>
      </c>
      <c r="BR3" s="8">
        <f t="shared" si="14"/>
        <v>0.7808567852</v>
      </c>
    </row>
    <row r="4">
      <c r="A4" s="3">
        <v>3.0</v>
      </c>
      <c r="B4" s="1" t="s">
        <v>5</v>
      </c>
      <c r="C4" s="6">
        <f>countif('9A'!$F$2:$F$655, C$1)</f>
        <v>11</v>
      </c>
      <c r="D4" s="6">
        <f>countif('9A'!$F$2:$F$655, D$1)</f>
        <v>2</v>
      </c>
      <c r="E4" s="6">
        <f>countif('9A'!$F$2:$F$655, E$1)</f>
        <v>1</v>
      </c>
      <c r="F4" s="6">
        <f>countif('9A'!$F$2:$F$655, F$1)</f>
        <v>0</v>
      </c>
      <c r="G4" s="6">
        <f>countif('9A'!$F$2:$F$655, G$1)</f>
        <v>9</v>
      </c>
      <c r="H4" s="6">
        <f>countif('9A'!$F$2:$F$655, H$1)</f>
        <v>11</v>
      </c>
      <c r="I4" s="6">
        <f>countif('9A'!$F$2:$F$655, I$1)</f>
        <v>31</v>
      </c>
      <c r="J4" s="6">
        <f t="shared" ref="J4:J16" si="19">SUM(C3:I3)</f>
        <v>65</v>
      </c>
      <c r="K4" s="7">
        <f t="shared" si="6"/>
        <v>5.323076923</v>
      </c>
      <c r="L4" s="6" t="str">
        <f t="shared" ref="L4:M4" si="15">'Average comparison (age groups)'!L4</f>
        <v>#REF!</v>
      </c>
      <c r="M4" s="6" t="str">
        <f t="shared" si="15"/>
        <v>#REF!</v>
      </c>
      <c r="N4" s="6">
        <f>countifs('9A'!$F$2:$F$655, N$1, '9A'!$B$2:$B$655, "&gt;"&amp;$L$2, '9A'!$B$2:$B$655, "&lt;"&amp;$M$2)</f>
        <v>0</v>
      </c>
      <c r="O4" s="6">
        <f>countifs('9A'!$F$2:$F$655, O$1, '9A'!$B$2:$B$655, "&gt;"&amp;$L$2, '9A'!$B$2:$B$655, "&lt;"&amp;$M$2)</f>
        <v>0</v>
      </c>
      <c r="P4" s="6">
        <f>countifs('9A'!$F$2:$F$655, P$1, '9A'!$B$2:$B$655, "&gt;"&amp;$L$2, '9A'!$B$2:$B$655, "&lt;"&amp;$M$2)</f>
        <v>0</v>
      </c>
      <c r="Q4" s="6">
        <f>countifs('9A'!$F$2:$F$655, Q$1, '9A'!$B$2:$B$655, "&gt;"&amp;$L$2, '9A'!$B$2:$B$655, "&lt;"&amp;$M$2)</f>
        <v>0</v>
      </c>
      <c r="R4" s="6">
        <f>countifs('9A'!$F$2:$F$655, R$1, '9A'!$B$2:$B$655, "&gt;"&amp;$L$2, '9A'!$B$2:$B$655, "&lt;"&amp;$M$2)</f>
        <v>0</v>
      </c>
      <c r="S4" s="6">
        <f>countifs('9A'!$F$2:$F$655, S$1, '9A'!$B$2:$B$655, "&gt;"&amp;$L$2, '9A'!$B$2:$B$655, "&lt;"&amp;$M$2)</f>
        <v>0</v>
      </c>
      <c r="T4" s="6">
        <f>countifs('9A'!$F$2:$F$655, T$1, '9A'!$B$2:$B$655, "&gt;"&amp;$L$2, '9A'!$B$2:$B$655, "&lt;"&amp;$M$2)</f>
        <v>0</v>
      </c>
      <c r="U4" s="6">
        <f>countifs('9A'!$F$2:$F$655, U$1, '9A'!$B$2:$B$655, "&gt;"&amp;$L$3, '9A'!$B$2:$B$655, "&lt;"&amp;$M$3)</f>
        <v>0</v>
      </c>
      <c r="V4" s="6">
        <f>countifs('9A'!$F$2:$F$655, V$1, '9A'!$B$2:$B$655, "&gt;"&amp;$L$3, '9A'!$B$2:$B$655, "&lt;"&amp;$M$3)</f>
        <v>0</v>
      </c>
      <c r="W4" s="6">
        <f>countifs('9A'!$F$2:$F$655, W$1, '9A'!$B$2:$B$655, "&gt;"&amp;$L$3, '9A'!$B$2:$B$655, "&lt;"&amp;$M$3)</f>
        <v>0</v>
      </c>
      <c r="X4" s="6">
        <f>countifs('9A'!$F$2:$F$655, X$1, '9A'!$B$2:$B$655, "&gt;"&amp;$L$3, '9A'!$B$2:$B$655, "&lt;"&amp;$M$3)</f>
        <v>0</v>
      </c>
      <c r="Y4" s="6">
        <f>countifs('9A'!$F$2:$F$655, Y$1, '9A'!$B$2:$B$655, "&gt;"&amp;$L$3, '9A'!$B$2:$B$655, "&lt;"&amp;$M$3)</f>
        <v>0</v>
      </c>
      <c r="Z4" s="6">
        <f>countifs('9A'!$F$2:$F$655, Z$1, '9A'!$B$2:$B$655, "&gt;"&amp;$L$3, '9A'!$B$2:$B$655, "&lt;"&amp;$M$3)</f>
        <v>0</v>
      </c>
      <c r="AA4" s="6">
        <f>countifs('9A'!$F$2:$F$655, AA$1, '9A'!$B$2:$B$655, "&gt;"&amp;$L$3, '9A'!$B$2:$B$655, "&lt;"&amp;$M$3)</f>
        <v>0</v>
      </c>
      <c r="AB4" s="6">
        <f>countifs('9A'!$F$2:$F$655, AB$1, '9A'!$B$2:$B$655, "&gt;"&amp;$L$4, '9A'!$B$2:$B$655, "&lt;"&amp;$M$4)</f>
        <v>0</v>
      </c>
      <c r="AC4" s="6">
        <f>countifs('9A'!$F$2:$F$655, AC$1, '9A'!$B$2:$B$655, "&gt;"&amp;$L$4, '9A'!$B$2:$B$655, "&lt;"&amp;$M$4)</f>
        <v>0</v>
      </c>
      <c r="AD4" s="6">
        <f>countifs('9A'!$F$2:$F$655, AD$1, '9A'!$B$2:$B$655, "&gt;"&amp;$L$4, '9A'!$B$2:$B$655, "&lt;"&amp;$M$4)</f>
        <v>0</v>
      </c>
      <c r="AE4" s="6">
        <f>countifs('9A'!$F$2:$F$655, AE$1, '9A'!$B$2:$B$655, "&gt;"&amp;$L$4, '9A'!$B$2:$B$655, "&lt;"&amp;$M$4)</f>
        <v>0</v>
      </c>
      <c r="AF4" s="6">
        <f>countifs('9A'!$F$2:$F$655, AF$1, '9A'!$B$2:$B$655, "&gt;"&amp;$L$4, '9A'!$B$2:$B$655, "&lt;"&amp;$M$4)</f>
        <v>0</v>
      </c>
      <c r="AG4" s="6">
        <f>countifs('9A'!$F$2:$F$655, AG$1, '9A'!$B$2:$B$655, "&gt;"&amp;$L$4, '9A'!$B$2:$B$655, "&lt;"&amp;$M$4)</f>
        <v>0</v>
      </c>
      <c r="AH4" s="6">
        <f>countifs('9A'!$F$2:$F$655, AH$1, '9A'!$B$2:$B$655, "&gt;"&amp;$L$4, '9A'!$B$2:$B$655, "&lt;"&amp;$M$4)</f>
        <v>0</v>
      </c>
      <c r="AI4" s="3">
        <v>8.0</v>
      </c>
      <c r="AJ4" s="3">
        <v>11.0</v>
      </c>
      <c r="AK4" s="3">
        <v>11.0</v>
      </c>
      <c r="AL4" s="7" t="str">
        <f>IFERROR(__xludf.DUMMYFUNCTION("AVERAGE.WEIGHTED($N$1:$T$1, N4:T4)"),"#DIV/0!")</f>
        <v>#DIV/0!</v>
      </c>
      <c r="AM4" s="7" t="str">
        <f>IFERROR(__xludf.DUMMYFUNCTION("AVERAGE.WEIGHTED($U$1:$AA$1, U4:AA4)"),"#DIV/0!")</f>
        <v>#DIV/0!</v>
      </c>
      <c r="AN4" s="7" t="str">
        <f>IFERROR(__xludf.DUMMYFUNCTION("AVERAGE.WEIGHTED($AB$1:$AH$1, AB4:AH4)"),"#DIV/0!")</f>
        <v>#DIV/0!</v>
      </c>
      <c r="AO4" s="7" t="str">
        <f t="shared" ref="AO4:AQ4" si="16">(AL4-1)*100/6</f>
        <v>#DIV/0!</v>
      </c>
      <c r="AP4" s="7" t="str">
        <f t="shared" si="16"/>
        <v>#DIV/0!</v>
      </c>
      <c r="AQ4" s="7" t="str">
        <f t="shared" si="16"/>
        <v>#DIV/0!</v>
      </c>
      <c r="AR4" s="8" t="str">
        <f t="shared" ref="AR4:AT4" si="17">average($AO4:$AQ4)</f>
        <v>#DIV/0!</v>
      </c>
      <c r="AS4" s="8" t="str">
        <f t="shared" si="17"/>
        <v>#DIV/0!</v>
      </c>
      <c r="AT4" s="8" t="str">
        <f t="shared" si="17"/>
        <v>#DIV/0!</v>
      </c>
      <c r="AU4" s="8" t="str">
        <f t="shared" si="10"/>
        <v>#DIV/0!</v>
      </c>
      <c r="AV4" s="6">
        <f>countifs('9A'!$F$2:$F$655, AV$1, '9A'!$C$2:$C$655, "Karl")</f>
        <v>4</v>
      </c>
      <c r="AW4" s="6">
        <f>countifs('9A'!$F$2:$F$655, AW$1, '9A'!$C$2:$C$655, "Karl")</f>
        <v>0</v>
      </c>
      <c r="AX4" s="6">
        <f>countifs('9A'!$F$2:$F$655, AX$1, '9A'!$C$2:$C$655, "Karl")</f>
        <v>0</v>
      </c>
      <c r="AY4" s="6">
        <f>countifs('9A'!$F$2:$F$655, AY$1, '9A'!$C$2:$C$655, "Karl")</f>
        <v>0</v>
      </c>
      <c r="AZ4" s="6">
        <f>countifs('9A'!$F$2:$F$655, AZ$1, '9A'!$C$2:$C$655, "Karl")</f>
        <v>1</v>
      </c>
      <c r="BA4" s="6">
        <f>countifs('9A'!$F$2:$F$655, BA$1, '9A'!$C$2:$C$655, "Karl")</f>
        <v>2</v>
      </c>
      <c r="BB4" s="6">
        <f>countifs('9A'!$F$2:$F$655, BB$1, '9A'!$C$2:$C$655, "Karl")</f>
        <v>11</v>
      </c>
      <c r="BC4" s="6">
        <f>countifs('9A'!$F$2:$F$655, BC$1, '9A'!$C$2:$C$655, "Kona")</f>
        <v>7</v>
      </c>
      <c r="BD4" s="6">
        <f>countifs('9A'!$F$2:$F$655, BD$1, '9A'!$C$2:$C$655, "Kona")</f>
        <v>2</v>
      </c>
      <c r="BE4" s="6">
        <f>countifs('9A'!$F$2:$F$655, BE$1, '9A'!$C$2:$C$655, "Kona")</f>
        <v>1</v>
      </c>
      <c r="BF4" s="6">
        <f>countifs('9A'!$F$2:$F$655, BF$1, '9A'!$C$2:$C$655, "Kona")</f>
        <v>0</v>
      </c>
      <c r="BG4" s="6">
        <f>countifs('9A'!$F$2:$F$655, BG$1, '9A'!$C$2:$C$655, "Kona")</f>
        <v>8</v>
      </c>
      <c r="BH4" s="6">
        <f>countifs('9A'!$F$2:$F$655, BH$1, '9A'!$C$2:$C$655, "Kona")</f>
        <v>9</v>
      </c>
      <c r="BI4" s="6">
        <f>countifs('9A'!$F$2:$F$655, BI$1, '9A'!$C$2:$C$655, "Kona")</f>
        <v>20</v>
      </c>
      <c r="BJ4" s="9">
        <v>18.0</v>
      </c>
      <c r="BK4" s="9">
        <v>47.0</v>
      </c>
      <c r="BL4" s="7">
        <f>IFERROR(__xludf.DUMMYFUNCTION("AVERAGE.WEIGHTED($AV$1:$BB$1,AV4:BB4)"),5.444444444444445)</f>
        <v>5.444444444</v>
      </c>
      <c r="BM4" s="7">
        <f>IFERROR(__xludf.DUMMYFUNCTION("AVERAGE.WEIGHTED($BC$1:$BI$1,BC4:BI4)"),5.276595744680852)</f>
        <v>5.276595745</v>
      </c>
      <c r="BN4" s="7">
        <f t="shared" ref="BN4:BO4" si="18">(BL4-1)*100/6</f>
        <v>74.07407407</v>
      </c>
      <c r="BO4" s="7">
        <f t="shared" si="18"/>
        <v>71.27659574</v>
      </c>
      <c r="BP4" s="7">
        <f t="shared" si="12"/>
        <v>72.67533491</v>
      </c>
      <c r="BQ4" s="7">
        <f t="shared" si="13"/>
        <v>72.67533491</v>
      </c>
      <c r="BR4" s="8">
        <f t="shared" si="14"/>
        <v>0.8165088734</v>
      </c>
    </row>
    <row r="5">
      <c r="A5" s="3">
        <v>4.0</v>
      </c>
      <c r="B5" s="1" t="s">
        <v>6</v>
      </c>
      <c r="C5" s="6">
        <f>countif('9A'!$G$2:$G$655, C$1)</f>
        <v>21</v>
      </c>
      <c r="D5" s="6">
        <f>countif('9A'!$G$2:$G$655, D$1)</f>
        <v>2</v>
      </c>
      <c r="E5" s="6">
        <f>countif('9A'!$G$2:$G$655, E$1)</f>
        <v>5</v>
      </c>
      <c r="F5" s="6">
        <f>countif('9A'!$G$2:$G$655, F$1)</f>
        <v>2</v>
      </c>
      <c r="G5" s="6">
        <f>countif('9A'!$G$2:$G$655, G$1)</f>
        <v>4</v>
      </c>
      <c r="H5" s="6">
        <f>countif('9A'!$G$2:$G$655, H$1)</f>
        <v>8</v>
      </c>
      <c r="I5" s="6">
        <f>countif('9A'!$G$2:$G$655, I$1)</f>
        <v>23</v>
      </c>
      <c r="J5" s="6">
        <f t="shared" si="19"/>
        <v>65</v>
      </c>
      <c r="K5" s="7">
        <f t="shared" si="6"/>
        <v>4.261538462</v>
      </c>
      <c r="N5" s="6">
        <f>countifs('9A'!$G$2:$G$655, N$1, '9A'!$B$2:$B$655, "&gt;"&amp;$L$2, '9A'!$B$2:$B$655, "&lt;"&amp;$M$2)</f>
        <v>0</v>
      </c>
      <c r="O5" s="6">
        <f>countifs('9A'!$G$2:$G$655, O$1, '9A'!$B$2:$B$655, "&gt;"&amp;$L$2, '9A'!$B$2:$B$655, "&lt;"&amp;$M$2)</f>
        <v>0</v>
      </c>
      <c r="P5" s="6">
        <f>countifs('9A'!$G$2:$G$655, P$1, '9A'!$B$2:$B$655, "&gt;"&amp;$L$2, '9A'!$B$2:$B$655, "&lt;"&amp;$M$2)</f>
        <v>0</v>
      </c>
      <c r="Q5" s="6">
        <f>countifs('9A'!$G$2:$G$655, Q$1, '9A'!$B$2:$B$655, "&gt;"&amp;$L$2, '9A'!$B$2:$B$655, "&lt;"&amp;$M$2)</f>
        <v>0</v>
      </c>
      <c r="R5" s="6">
        <f>countifs('9A'!$G$2:$G$655, R$1, '9A'!$B$2:$B$655, "&gt;"&amp;$L$2, '9A'!$B$2:$B$655, "&lt;"&amp;$M$2)</f>
        <v>0</v>
      </c>
      <c r="S5" s="6">
        <f>countifs('9A'!$G$2:$G$655, S$1, '9A'!$B$2:$B$655, "&gt;"&amp;$L$2, '9A'!$B$2:$B$655, "&lt;"&amp;$M$2)</f>
        <v>0</v>
      </c>
      <c r="T5" s="6">
        <f>countifs('9A'!$G$2:$G$655, T$1, '9A'!$B$2:$B$655, "&gt;"&amp;$L$2, '9A'!$B$2:$B$655, "&lt;"&amp;$M$2)</f>
        <v>0</v>
      </c>
      <c r="U5" s="6">
        <f>countifs('9A'!$G$2:$G$655, U$1, '9A'!$B$2:$B$655, "&gt;"&amp;$L$3, '9A'!$B$2:$B$655, "&lt;"&amp;$M$3)</f>
        <v>0</v>
      </c>
      <c r="V5" s="6">
        <f>countifs('9A'!$G$2:$G$655, V$1, '9A'!$B$2:$B$655, "&gt;"&amp;$L$3, '9A'!$B$2:$B$655, "&lt;"&amp;$M$3)</f>
        <v>0</v>
      </c>
      <c r="W5" s="6">
        <f>countifs('9A'!$G$2:$G$655, W$1, '9A'!$B$2:$B$655, "&gt;"&amp;$L$3, '9A'!$B$2:$B$655, "&lt;"&amp;$M$3)</f>
        <v>0</v>
      </c>
      <c r="X5" s="6">
        <f>countifs('9A'!$G$2:$G$655, X$1, '9A'!$B$2:$B$655, "&gt;"&amp;$L$3, '9A'!$B$2:$B$655, "&lt;"&amp;$M$3)</f>
        <v>0</v>
      </c>
      <c r="Y5" s="6">
        <f>countifs('9A'!$G$2:$G$655, Y$1, '9A'!$B$2:$B$655, "&gt;"&amp;$L$3, '9A'!$B$2:$B$655, "&lt;"&amp;$M$3)</f>
        <v>0</v>
      </c>
      <c r="Z5" s="6">
        <f>countifs('9A'!$G$2:$G$655, Z$1, '9A'!$B$2:$B$655, "&gt;"&amp;$L$3, '9A'!$B$2:$B$655, "&lt;"&amp;$M$3)</f>
        <v>0</v>
      </c>
      <c r="AA5" s="6">
        <f>countifs('9A'!$G$2:$G$655, AA$1, '9A'!$B$2:$B$655, "&gt;"&amp;$L$3, '9A'!$B$2:$B$655, "&lt;"&amp;$M$3)</f>
        <v>0</v>
      </c>
      <c r="AB5" s="6">
        <f>countifs('9A'!$G$2:$G$655, AB$1, '9A'!$B$2:$B$655, "&gt;"&amp;$L$4, '9A'!$B$2:$B$655, "&lt;"&amp;$M$4)</f>
        <v>0</v>
      </c>
      <c r="AC5" s="6">
        <f>countifs('9A'!$G$2:$G$655, AC$1, '9A'!$B$2:$B$655, "&gt;"&amp;$L$4, '9A'!$B$2:$B$655, "&lt;"&amp;$M$4)</f>
        <v>0</v>
      </c>
      <c r="AD5" s="6">
        <f>countifs('9A'!$G$2:$G$655, AD$1, '9A'!$B$2:$B$655, "&gt;"&amp;$L$4, '9A'!$B$2:$B$655, "&lt;"&amp;$M$4)</f>
        <v>0</v>
      </c>
      <c r="AE5" s="6">
        <f>countifs('9A'!$G$2:$G$655, AE$1, '9A'!$B$2:$B$655, "&gt;"&amp;$L$4, '9A'!$B$2:$B$655, "&lt;"&amp;$M$4)</f>
        <v>0</v>
      </c>
      <c r="AF5" s="6">
        <f>countifs('9A'!$G$2:$G$655, AF$1, '9A'!$B$2:$B$655, "&gt;"&amp;$L$4, '9A'!$B$2:$B$655, "&lt;"&amp;$M$4)</f>
        <v>0</v>
      </c>
      <c r="AG5" s="6">
        <f>countifs('9A'!$G$2:$G$655, AG$1, '9A'!$B$2:$B$655, "&gt;"&amp;$L$4, '9A'!$B$2:$B$655, "&lt;"&amp;$M$4)</f>
        <v>0</v>
      </c>
      <c r="AH5" s="6">
        <f>countifs('9A'!$G$2:$G$655, AH$1, '9A'!$B$2:$B$655, "&gt;"&amp;$L$4, '9A'!$B$2:$B$655, "&lt;"&amp;$M$4)</f>
        <v>0</v>
      </c>
      <c r="AI5" s="3">
        <v>8.0</v>
      </c>
      <c r="AJ5" s="3">
        <v>11.0</v>
      </c>
      <c r="AK5" s="3">
        <v>11.0</v>
      </c>
      <c r="AL5" s="7" t="str">
        <f>IFERROR(__xludf.DUMMYFUNCTION("AVERAGE.WEIGHTED($N$1:$T$1, N5:T5)"),"#DIV/0!")</f>
        <v>#DIV/0!</v>
      </c>
      <c r="AM5" s="7" t="str">
        <f>IFERROR(__xludf.DUMMYFUNCTION("AVERAGE.WEIGHTED($U$1:$AA$1, U5:AA5)"),"#DIV/0!")</f>
        <v>#DIV/0!</v>
      </c>
      <c r="AN5" s="7" t="str">
        <f>IFERROR(__xludf.DUMMYFUNCTION("AVERAGE.WEIGHTED($AB$1:$AH$1, AB5:AH5)"),"#DIV/0!")</f>
        <v>#DIV/0!</v>
      </c>
      <c r="AO5" s="7" t="str">
        <f t="shared" ref="AO5:AQ5" si="20">(AL5-1)*100/6</f>
        <v>#DIV/0!</v>
      </c>
      <c r="AP5" s="7" t="str">
        <f t="shared" si="20"/>
        <v>#DIV/0!</v>
      </c>
      <c r="AQ5" s="7" t="str">
        <f t="shared" si="20"/>
        <v>#DIV/0!</v>
      </c>
      <c r="AR5" s="8" t="str">
        <f t="shared" ref="AR5:AT5" si="21">average($AO5:$AQ5)</f>
        <v>#DIV/0!</v>
      </c>
      <c r="AS5" s="8" t="str">
        <f t="shared" si="21"/>
        <v>#DIV/0!</v>
      </c>
      <c r="AT5" s="8" t="str">
        <f t="shared" si="21"/>
        <v>#DIV/0!</v>
      </c>
      <c r="AU5" s="8" t="str">
        <f t="shared" si="10"/>
        <v>#DIV/0!</v>
      </c>
      <c r="AV5" s="6">
        <f>countifs('9A'!$G$2:$G$655, AV$1, '9A'!$C$2:$C$655, "Karl")</f>
        <v>6</v>
      </c>
      <c r="AW5" s="6">
        <f>countifs('9A'!$G$2:$G$655, AW$1, '9A'!$C$2:$C$655, "Karl")</f>
        <v>1</v>
      </c>
      <c r="AX5" s="6">
        <f>countifs('9A'!$G$2:$G$655, AX$1, '9A'!$C$2:$C$655, "Karl")</f>
        <v>2</v>
      </c>
      <c r="AY5" s="6">
        <f>countifs('9A'!$G$2:$G$655, AY$1, '9A'!$C$2:$C$655, "Karl")</f>
        <v>0</v>
      </c>
      <c r="AZ5" s="6">
        <f>countifs('9A'!$G$2:$G$655, AZ$1, '9A'!$C$2:$C$655, "Karl")</f>
        <v>2</v>
      </c>
      <c r="BA5" s="6">
        <f>countifs('9A'!$G$2:$G$655, BA$1, '9A'!$C$2:$C$655, "Karl")</f>
        <v>1</v>
      </c>
      <c r="BB5" s="6">
        <f>countifs('9A'!$G$2:$G$655, BB$1, '9A'!$C$2:$C$655, "Karl")</f>
        <v>6</v>
      </c>
      <c r="BC5" s="6">
        <f>countifs('9A'!$G$2:$G$655, BC$1, '9A'!$C$2:$C$655, "Kona")</f>
        <v>15</v>
      </c>
      <c r="BD5" s="6">
        <f>countifs('9A'!$G$2:$G$655, BD$1, '9A'!$C$2:$C$655, "Kona")</f>
        <v>1</v>
      </c>
      <c r="BE5" s="6">
        <f>countifs('9A'!$G$2:$G$655, BE$1, '9A'!$C$2:$C$655, "Kona")</f>
        <v>3</v>
      </c>
      <c r="BF5" s="6">
        <f>countifs('9A'!$G$2:$G$655, BF$1, '9A'!$C$2:$C$655, "Kona")</f>
        <v>2</v>
      </c>
      <c r="BG5" s="6">
        <f>countifs('9A'!$G$2:$G$655, BG$1, '9A'!$C$2:$C$655, "Kona")</f>
        <v>2</v>
      </c>
      <c r="BH5" s="6">
        <f>countifs('9A'!$G$2:$G$655, BH$1, '9A'!$C$2:$C$655, "Kona")</f>
        <v>7</v>
      </c>
      <c r="BI5" s="6">
        <f>countifs('9A'!$G$2:$G$655, BI$1, '9A'!$C$2:$C$655, "Kona")</f>
        <v>17</v>
      </c>
      <c r="BJ5" s="9">
        <v>18.0</v>
      </c>
      <c r="BK5" s="9">
        <v>47.0</v>
      </c>
      <c r="BL5" s="7">
        <f>IFERROR(__xludf.DUMMYFUNCTION("AVERAGE.WEIGHTED($AV$1:$BB$1,AV5:BB5)"),4.0)</f>
        <v>4</v>
      </c>
      <c r="BM5" s="7">
        <f>IFERROR(__xludf.DUMMYFUNCTION("AVERAGE.WEIGHTED($BC$1:$BI$1,BC5:BI5)"),4.361702127659575)</f>
        <v>4.361702128</v>
      </c>
      <c r="BN5" s="7">
        <f t="shared" ref="BN5:BO5" si="22">(BL5-1)*100/6</f>
        <v>50</v>
      </c>
      <c r="BO5" s="7">
        <f t="shared" si="22"/>
        <v>56.02836879</v>
      </c>
      <c r="BP5" s="7">
        <f t="shared" si="12"/>
        <v>53.0141844</v>
      </c>
      <c r="BQ5" s="7">
        <f t="shared" si="13"/>
        <v>53.0141844</v>
      </c>
      <c r="BR5" s="8">
        <f t="shared" si="14"/>
        <v>0.5582461172</v>
      </c>
    </row>
    <row r="6">
      <c r="A6" s="3">
        <v>5.0</v>
      </c>
      <c r="B6" s="1" t="s">
        <v>7</v>
      </c>
      <c r="C6" s="6">
        <f>countif('9A'!$H$2:$H$655, C$1)</f>
        <v>8</v>
      </c>
      <c r="D6" s="6">
        <f>countif('9A'!$H$2:$H$655, D$1)</f>
        <v>7</v>
      </c>
      <c r="E6" s="6">
        <f>countif('9A'!$H$2:$H$655, E$1)</f>
        <v>5</v>
      </c>
      <c r="F6" s="6">
        <f>countif('9A'!$H$2:$H$655, F$1)</f>
        <v>5</v>
      </c>
      <c r="G6" s="6">
        <f>countif('9A'!$H$2:$H$655, G$1)</f>
        <v>8</v>
      </c>
      <c r="H6" s="6">
        <f>countif('9A'!$H$2:$H$655, H$1)</f>
        <v>14</v>
      </c>
      <c r="I6" s="6">
        <f>countif('9A'!$H$2:$H$655, I$1)</f>
        <v>18</v>
      </c>
      <c r="J6" s="6">
        <f t="shared" si="19"/>
        <v>65</v>
      </c>
      <c r="K6" s="7">
        <f t="shared" si="6"/>
        <v>4.723076923</v>
      </c>
      <c r="N6" s="6">
        <f>countifs('9A'!$H$2:$H$655, N$1, '9A'!$B$2:$B$655, "&gt;"&amp;$L$2, '9A'!$B$2:$B$655, "&lt;"&amp;$M$2)</f>
        <v>0</v>
      </c>
      <c r="O6" s="6">
        <f>countifs('9A'!$H$2:$H$655, O$1, '9A'!$B$2:$B$655, "&gt;"&amp;$L$2, '9A'!$B$2:$B$655, "&lt;"&amp;$M$2)</f>
        <v>0</v>
      </c>
      <c r="P6" s="6">
        <f>countifs('9A'!$H$2:$H$655, P$1, '9A'!$B$2:$B$655, "&gt;"&amp;$L$2, '9A'!$B$2:$B$655, "&lt;"&amp;$M$2)</f>
        <v>0</v>
      </c>
      <c r="Q6" s="6">
        <f>countifs('9A'!$H$2:$H$655, Q$1, '9A'!$B$2:$B$655, "&gt;"&amp;$L$2, '9A'!$B$2:$B$655, "&lt;"&amp;$M$2)</f>
        <v>0</v>
      </c>
      <c r="R6" s="6">
        <f>countifs('9A'!$H$2:$H$655, R$1, '9A'!$B$2:$B$655, "&gt;"&amp;$L$2, '9A'!$B$2:$B$655, "&lt;"&amp;$M$2)</f>
        <v>0</v>
      </c>
      <c r="S6" s="6">
        <f>countifs('9A'!$H$2:$H$655, S$1, '9A'!$B$2:$B$655, "&gt;"&amp;$L$2, '9A'!$B$2:$B$655, "&lt;"&amp;$M$2)</f>
        <v>0</v>
      </c>
      <c r="T6" s="6">
        <f>countifs('9A'!$H$2:$H$655, T$1, '9A'!$B$2:$B$655, "&gt;"&amp;$L$2, '9A'!$B$2:$B$655, "&lt;"&amp;$M$2)</f>
        <v>0</v>
      </c>
      <c r="U6" s="6">
        <f>countifs('9A'!$H$2:$H$655, U$1, '9A'!$B$2:$B$655, "&gt;"&amp;$L$3, '9A'!$B$2:$B$655, "&lt;"&amp;$M$3)</f>
        <v>0</v>
      </c>
      <c r="V6" s="6">
        <f>countifs('9A'!$H$2:$H$655, V$1, '9A'!$B$2:$B$655, "&gt;"&amp;$L$3, '9A'!$B$2:$B$655, "&lt;"&amp;$M$3)</f>
        <v>0</v>
      </c>
      <c r="W6" s="6">
        <f>countifs('9A'!$H$2:$H$655, W$1, '9A'!$B$2:$B$655, "&gt;"&amp;$L$3, '9A'!$B$2:$B$655, "&lt;"&amp;$M$3)</f>
        <v>0</v>
      </c>
      <c r="X6" s="6">
        <f>countifs('9A'!$H$2:$H$655, X$1, '9A'!$B$2:$B$655, "&gt;"&amp;$L$3, '9A'!$B$2:$B$655, "&lt;"&amp;$M$3)</f>
        <v>0</v>
      </c>
      <c r="Y6" s="6">
        <f>countifs('9A'!$H$2:$H$655, Y$1, '9A'!$B$2:$B$655, "&gt;"&amp;$L$3, '9A'!$B$2:$B$655, "&lt;"&amp;$M$3)</f>
        <v>0</v>
      </c>
      <c r="Z6" s="6">
        <f>countifs('9A'!$H$2:$H$655, Z$1, '9A'!$B$2:$B$655, "&gt;"&amp;$L$3, '9A'!$B$2:$B$655, "&lt;"&amp;$M$3)</f>
        <v>0</v>
      </c>
      <c r="AA6" s="6">
        <f>countifs('9A'!$H$2:$H$655, AA$1, '9A'!$B$2:$B$655, "&gt;"&amp;$L$3, '9A'!$B$2:$B$655, "&lt;"&amp;$M$3)</f>
        <v>0</v>
      </c>
      <c r="AB6" s="6">
        <f>countifs('9A'!$H$2:$H$655, AB$1, '9A'!$B$2:$B$655, "&gt;"&amp;$L$4, '9A'!$B$2:$B$655, "&lt;"&amp;$M$4)</f>
        <v>0</v>
      </c>
      <c r="AC6" s="6">
        <f>countifs('9A'!$H$2:$H$655, AC$1, '9A'!$B$2:$B$655, "&gt;"&amp;$L$4, '9A'!$B$2:$B$655, "&lt;"&amp;$M$4)</f>
        <v>0</v>
      </c>
      <c r="AD6" s="6">
        <f>countifs('9A'!$H$2:$H$655, AD$1, '9A'!$B$2:$B$655, "&gt;"&amp;$L$4, '9A'!$B$2:$B$655, "&lt;"&amp;$M$4)</f>
        <v>0</v>
      </c>
      <c r="AE6" s="6">
        <f>countifs('9A'!$H$2:$H$655, AE$1, '9A'!$B$2:$B$655, "&gt;"&amp;$L$4, '9A'!$B$2:$B$655, "&lt;"&amp;$M$4)</f>
        <v>0</v>
      </c>
      <c r="AF6" s="6">
        <f>countifs('9A'!$H$2:$H$655, AF$1, '9A'!$B$2:$B$655, "&gt;"&amp;$L$4, '9A'!$B$2:$B$655, "&lt;"&amp;$M$4)</f>
        <v>0</v>
      </c>
      <c r="AG6" s="6">
        <f>countifs('9A'!$H$2:$H$655, AG$1, '9A'!$B$2:$B$655, "&gt;"&amp;$L$4, '9A'!$B$2:$B$655, "&lt;"&amp;$M$4)</f>
        <v>0</v>
      </c>
      <c r="AH6" s="6">
        <f>countifs('9A'!$H$2:$H$655, AH$1, '9A'!$B$2:$B$655, "&gt;"&amp;$L$4, '9A'!$B$2:$B$655, "&lt;"&amp;$M$4)</f>
        <v>0</v>
      </c>
      <c r="AI6" s="3">
        <v>8.0</v>
      </c>
      <c r="AJ6" s="3">
        <v>11.0</v>
      </c>
      <c r="AK6" s="3">
        <v>11.0</v>
      </c>
      <c r="AL6" s="7" t="str">
        <f>IFERROR(__xludf.DUMMYFUNCTION("AVERAGE.WEIGHTED($N$1:$T$1, N6:T6)"),"#DIV/0!")</f>
        <v>#DIV/0!</v>
      </c>
      <c r="AM6" s="7" t="str">
        <f>IFERROR(__xludf.DUMMYFUNCTION("AVERAGE.WEIGHTED($U$1:$AA$1, U6:AA6)"),"#DIV/0!")</f>
        <v>#DIV/0!</v>
      </c>
      <c r="AN6" s="7" t="str">
        <f>IFERROR(__xludf.DUMMYFUNCTION("AVERAGE.WEIGHTED($AB$1:$AH$1, AB6:AH6)"),"#DIV/0!")</f>
        <v>#DIV/0!</v>
      </c>
      <c r="AO6" s="7" t="str">
        <f t="shared" ref="AO6:AQ6" si="23">(AL6-1)*100/6</f>
        <v>#DIV/0!</v>
      </c>
      <c r="AP6" s="7" t="str">
        <f t="shared" si="23"/>
        <v>#DIV/0!</v>
      </c>
      <c r="AQ6" s="7" t="str">
        <f t="shared" si="23"/>
        <v>#DIV/0!</v>
      </c>
      <c r="AR6" s="8" t="str">
        <f t="shared" ref="AR6:AT6" si="24">average($AO6:$AQ6)</f>
        <v>#DIV/0!</v>
      </c>
      <c r="AS6" s="8" t="str">
        <f t="shared" si="24"/>
        <v>#DIV/0!</v>
      </c>
      <c r="AT6" s="8" t="str">
        <f t="shared" si="24"/>
        <v>#DIV/0!</v>
      </c>
      <c r="AU6" s="8" t="str">
        <f t="shared" si="10"/>
        <v>#DIV/0!</v>
      </c>
      <c r="AV6" s="6">
        <f>countifs('9A'!$H$2:$H$655, AV$1, '9A'!$C$2:$C$655, "Karl")</f>
        <v>2</v>
      </c>
      <c r="AW6" s="6">
        <f>countifs('9A'!$H$2:$H$655, AW$1, '9A'!$C$2:$C$655, "Karl")</f>
        <v>3</v>
      </c>
      <c r="AX6" s="6">
        <f>countifs('9A'!$H$2:$H$655, AX$1, '9A'!$C$2:$C$655, "Karl")</f>
        <v>2</v>
      </c>
      <c r="AY6" s="6">
        <f>countifs('9A'!$H$2:$H$655, AY$1, '9A'!$C$2:$C$655, "Karl")</f>
        <v>1</v>
      </c>
      <c r="AZ6" s="6">
        <f>countifs('9A'!$H$2:$H$655, AZ$1, '9A'!$C$2:$C$655, "Karl")</f>
        <v>2</v>
      </c>
      <c r="BA6" s="6">
        <f>countifs('9A'!$H$2:$H$655, BA$1, '9A'!$C$2:$C$655, "Karl")</f>
        <v>4</v>
      </c>
      <c r="BB6" s="6">
        <f>countifs('9A'!$H$2:$H$655, BB$1, '9A'!$C$2:$C$655, "Karl")</f>
        <v>4</v>
      </c>
      <c r="BC6" s="6">
        <f>countifs('9A'!$H$2:$H$655, BC$1, '9A'!$C$2:$C$655, "Kona")</f>
        <v>6</v>
      </c>
      <c r="BD6" s="6">
        <f>countifs('9A'!$H$2:$H$655, BD$1, '9A'!$C$2:$C$655, "Kona")</f>
        <v>4</v>
      </c>
      <c r="BE6" s="6">
        <f>countifs('9A'!$H$2:$H$655, BE$1, '9A'!$C$2:$C$655, "Kona")</f>
        <v>3</v>
      </c>
      <c r="BF6" s="6">
        <f>countifs('9A'!$H$2:$H$655, BF$1, '9A'!$C$2:$C$655, "Kona")</f>
        <v>4</v>
      </c>
      <c r="BG6" s="6">
        <f>countifs('9A'!$H$2:$H$655, BG$1, '9A'!$C$2:$C$655, "Kona")</f>
        <v>6</v>
      </c>
      <c r="BH6" s="6">
        <f>countifs('9A'!$H$2:$H$655, BH$1, '9A'!$C$2:$C$655, "Kona")</f>
        <v>10</v>
      </c>
      <c r="BI6" s="6">
        <f>countifs('9A'!$H$2:$H$655, BI$1, '9A'!$C$2:$C$655, "Kona")</f>
        <v>14</v>
      </c>
      <c r="BJ6" s="9">
        <v>18.0</v>
      </c>
      <c r="BK6" s="9">
        <v>47.0</v>
      </c>
      <c r="BL6" s="7">
        <f>IFERROR(__xludf.DUMMYFUNCTION("AVERAGE.WEIGHTED($AV$1:$BB$1,AV6:BB6)"),4.444444444444445)</f>
        <v>4.444444444</v>
      </c>
      <c r="BM6" s="7">
        <f>IFERROR(__xludf.DUMMYFUNCTION("AVERAGE.WEIGHTED($BC$1:$BI$1,BC6:BI6)"),4.829787234042553)</f>
        <v>4.829787234</v>
      </c>
      <c r="BN6" s="7">
        <f t="shared" ref="BN6:BO6" si="25">(BL6-1)*100/6</f>
        <v>57.40740741</v>
      </c>
      <c r="BO6" s="7">
        <f t="shared" si="25"/>
        <v>63.82978723</v>
      </c>
      <c r="BP6" s="7">
        <f t="shared" si="12"/>
        <v>60.61859732</v>
      </c>
      <c r="BQ6" s="7">
        <f t="shared" si="13"/>
        <v>60.61859732</v>
      </c>
      <c r="BR6" s="8">
        <f t="shared" si="14"/>
        <v>0.5597039542</v>
      </c>
    </row>
    <row r="7">
      <c r="A7" s="3">
        <v>6.0</v>
      </c>
      <c r="B7" s="1" t="s">
        <v>8</v>
      </c>
      <c r="C7" s="6">
        <f>countif('9A'!$I$2:$I$655, C$1)</f>
        <v>46</v>
      </c>
      <c r="D7" s="6">
        <f>countif('9A'!$I$2:$I$655, D$1)</f>
        <v>8</v>
      </c>
      <c r="E7" s="6">
        <f>countif('9A'!$I$2:$I$655, E$1)</f>
        <v>2</v>
      </c>
      <c r="F7" s="6">
        <f>countif('9A'!$I$2:$I$655, F$1)</f>
        <v>0</v>
      </c>
      <c r="G7" s="6">
        <f>countif('9A'!$I$2:$I$655, G$1)</f>
        <v>2</v>
      </c>
      <c r="H7" s="6">
        <f>countif('9A'!$I$2:$I$655, H$1)</f>
        <v>2</v>
      </c>
      <c r="I7" s="6">
        <f>countif('9A'!$I$2:$I$655, I$1)</f>
        <v>5</v>
      </c>
      <c r="J7" s="6">
        <f t="shared" si="19"/>
        <v>65</v>
      </c>
      <c r="K7" s="7">
        <f t="shared" si="6"/>
        <v>1.923076923</v>
      </c>
      <c r="N7" s="6">
        <f>countifs('9A'!$I$2:$I$655, N$1, '9A'!$B$2:$B$655, "&gt;"&amp;$L$2, '9A'!$B$2:$B$655, "&lt;"&amp;$M$2)</f>
        <v>0</v>
      </c>
      <c r="O7" s="6">
        <f>countifs('9A'!$I$2:$I$655, O$1, '9A'!$B$2:$B$655, "&gt;"&amp;$L$2, '9A'!$B$2:$B$655, "&lt;"&amp;$M$2)</f>
        <v>0</v>
      </c>
      <c r="P7" s="6">
        <f>countifs('9A'!$I$2:$I$655, P$1, '9A'!$B$2:$B$655, "&gt;"&amp;$L$2, '9A'!$B$2:$B$655, "&lt;"&amp;$M$2)</f>
        <v>0</v>
      </c>
      <c r="Q7" s="6">
        <f>countifs('9A'!$I$2:$I$655, Q$1, '9A'!$B$2:$B$655, "&gt;"&amp;$L$2, '9A'!$B$2:$B$655, "&lt;"&amp;$M$2)</f>
        <v>0</v>
      </c>
      <c r="R7" s="6">
        <f>countifs('9A'!$I$2:$I$655, R$1, '9A'!$B$2:$B$655, "&gt;"&amp;$L$2, '9A'!$B$2:$B$655, "&lt;"&amp;$M$2)</f>
        <v>0</v>
      </c>
      <c r="S7" s="6">
        <f>countifs('9A'!$I$2:$I$655, S$1, '9A'!$B$2:$B$655, "&gt;"&amp;$L$2, '9A'!$B$2:$B$655, "&lt;"&amp;$M$2)</f>
        <v>0</v>
      </c>
      <c r="T7" s="6">
        <f>countifs('9A'!$I$2:$I$655, T$1, '9A'!$B$2:$B$655, "&gt;"&amp;$L$2, '9A'!$B$2:$B$655, "&lt;"&amp;$M$2)</f>
        <v>0</v>
      </c>
      <c r="U7" s="6">
        <f>countifs('9A'!$I$2:$I$655, U$1, '9A'!$B$2:$B$655, "&gt;"&amp;$L$3, '9A'!$B$2:$B$655, "&lt;"&amp;$M$3)</f>
        <v>0</v>
      </c>
      <c r="V7" s="6">
        <f>countifs('9A'!$I$2:$I$655, V$1, '9A'!$B$2:$B$655, "&gt;"&amp;$L$3, '9A'!$B$2:$B$655, "&lt;"&amp;$M$3)</f>
        <v>0</v>
      </c>
      <c r="W7" s="6">
        <f>countifs('9A'!$I$2:$I$655, W$1, '9A'!$B$2:$B$655, "&gt;"&amp;$L$3, '9A'!$B$2:$B$655, "&lt;"&amp;$M$3)</f>
        <v>0</v>
      </c>
      <c r="X7" s="6">
        <f>countifs('9A'!$I$2:$I$655, X$1, '9A'!$B$2:$B$655, "&gt;"&amp;$L$3, '9A'!$B$2:$B$655, "&lt;"&amp;$M$3)</f>
        <v>0</v>
      </c>
      <c r="Y7" s="6">
        <f>countifs('9A'!$I$2:$I$655, Y$1, '9A'!$B$2:$B$655, "&gt;"&amp;$L$3, '9A'!$B$2:$B$655, "&lt;"&amp;$M$3)</f>
        <v>0</v>
      </c>
      <c r="Z7" s="6">
        <f>countifs('9A'!$I$2:$I$655, Z$1, '9A'!$B$2:$B$655, "&gt;"&amp;$L$3, '9A'!$B$2:$B$655, "&lt;"&amp;$M$3)</f>
        <v>0</v>
      </c>
      <c r="AA7" s="6">
        <f>countifs('9A'!$I$2:$I$655, AA$1, '9A'!$B$2:$B$655, "&gt;"&amp;$L$3, '9A'!$B$2:$B$655, "&lt;"&amp;$M$3)</f>
        <v>0</v>
      </c>
      <c r="AB7" s="6">
        <f>countifs('9A'!$I$2:$I$655, AB$1, '9A'!$B$2:$B$655, "&gt;"&amp;$L$4, '9A'!$B$2:$B$655, "&lt;"&amp;$M$4)</f>
        <v>0</v>
      </c>
      <c r="AC7" s="6">
        <f>countifs('9A'!$I$2:$I$655, AC$1, '9A'!$B$2:$B$655, "&gt;"&amp;$L$4, '9A'!$B$2:$B$655, "&lt;"&amp;$M$4)</f>
        <v>0</v>
      </c>
      <c r="AD7" s="6">
        <f>countifs('9A'!$I$2:$I$655, AD$1, '9A'!$B$2:$B$655, "&gt;"&amp;$L$4, '9A'!$B$2:$B$655, "&lt;"&amp;$M$4)</f>
        <v>0</v>
      </c>
      <c r="AE7" s="6">
        <f>countifs('9A'!$I$2:$I$655, AE$1, '9A'!$B$2:$B$655, "&gt;"&amp;$L$4, '9A'!$B$2:$B$655, "&lt;"&amp;$M$4)</f>
        <v>0</v>
      </c>
      <c r="AF7" s="6">
        <f>countifs('9A'!$I$2:$I$655, AF$1, '9A'!$B$2:$B$655, "&gt;"&amp;$L$4, '9A'!$B$2:$B$655, "&lt;"&amp;$M$4)</f>
        <v>0</v>
      </c>
      <c r="AG7" s="6">
        <f>countifs('9A'!$I$2:$I$655, AG$1, '9A'!$B$2:$B$655, "&gt;"&amp;$L$4, '9A'!$B$2:$B$655, "&lt;"&amp;$M$4)</f>
        <v>0</v>
      </c>
      <c r="AH7" s="6">
        <f>countifs('9A'!$I$2:$I$655, AH$1, '9A'!$B$2:$B$655, "&gt;"&amp;$L$4, '9A'!$B$2:$B$655, "&lt;"&amp;$M$4)</f>
        <v>0</v>
      </c>
      <c r="AI7" s="3">
        <v>8.0</v>
      </c>
      <c r="AJ7" s="3">
        <v>11.0</v>
      </c>
      <c r="AK7" s="3">
        <v>11.0</v>
      </c>
      <c r="AL7" s="7" t="str">
        <f>IFERROR(__xludf.DUMMYFUNCTION("AVERAGE.WEIGHTED($N$1:$T$1, N7:T7)"),"#DIV/0!")</f>
        <v>#DIV/0!</v>
      </c>
      <c r="AM7" s="7" t="str">
        <f>IFERROR(__xludf.DUMMYFUNCTION("AVERAGE.WEIGHTED($U$1:$AA$1, U7:AA7)"),"#DIV/0!")</f>
        <v>#DIV/0!</v>
      </c>
      <c r="AN7" s="7" t="str">
        <f>IFERROR(__xludf.DUMMYFUNCTION("AVERAGE.WEIGHTED($AB$1:$AH$1, AB7:AH7)"),"#DIV/0!")</f>
        <v>#DIV/0!</v>
      </c>
      <c r="AO7" s="7" t="str">
        <f t="shared" ref="AO7:AQ7" si="26">(AL7-1)*100/6</f>
        <v>#DIV/0!</v>
      </c>
      <c r="AP7" s="7" t="str">
        <f t="shared" si="26"/>
        <v>#DIV/0!</v>
      </c>
      <c r="AQ7" s="7" t="str">
        <f t="shared" si="26"/>
        <v>#DIV/0!</v>
      </c>
      <c r="AR7" s="8" t="str">
        <f t="shared" ref="AR7:AT7" si="27">average($AO7:$AQ7)</f>
        <v>#DIV/0!</v>
      </c>
      <c r="AS7" s="8" t="str">
        <f t="shared" si="27"/>
        <v>#DIV/0!</v>
      </c>
      <c r="AT7" s="8" t="str">
        <f t="shared" si="27"/>
        <v>#DIV/0!</v>
      </c>
      <c r="AU7" s="8" t="str">
        <f t="shared" si="10"/>
        <v>#DIV/0!</v>
      </c>
      <c r="AV7" s="6">
        <f>countifs('9A'!$I$2:$I$655, AV$1, '9A'!$C$2:$C$655, "Karl")</f>
        <v>15</v>
      </c>
      <c r="AW7" s="6">
        <f>countifs('9A'!$I$2:$I$655, AW$1, '9A'!$C$2:$C$655, "Karl")</f>
        <v>2</v>
      </c>
      <c r="AX7" s="6">
        <f>countifs('9A'!$I$2:$I$655, AX$1, '9A'!$C$2:$C$655, "Karl")</f>
        <v>0</v>
      </c>
      <c r="AY7" s="6">
        <f>countifs('9A'!$I$2:$I$655, AY$1, '9A'!$C$2:$C$655, "Karl")</f>
        <v>0</v>
      </c>
      <c r="AZ7" s="6">
        <f>countifs('9A'!$I$2:$I$655, AZ$1, '9A'!$C$2:$C$655, "Karl")</f>
        <v>0</v>
      </c>
      <c r="BA7" s="6">
        <f>countifs('9A'!$I$2:$I$655, BA$1, '9A'!$C$2:$C$655, "Karl")</f>
        <v>0</v>
      </c>
      <c r="BB7" s="6">
        <f>countifs('9A'!$I$2:$I$655, BB$1, '9A'!$C$2:$C$655, "Karl")</f>
        <v>1</v>
      </c>
      <c r="BC7" s="6">
        <f>countifs('9A'!$I$2:$I$655, BC$1, '9A'!$C$2:$C$655, "Kona")</f>
        <v>31</v>
      </c>
      <c r="BD7" s="6">
        <f>countifs('9A'!$I$2:$I$655, BD$1, '9A'!$C$2:$C$655, "Kona")</f>
        <v>6</v>
      </c>
      <c r="BE7" s="6">
        <f>countifs('9A'!$I$2:$I$655, BE$1, '9A'!$C$2:$C$655, "Kona")</f>
        <v>2</v>
      </c>
      <c r="BF7" s="6">
        <f>countifs('9A'!$I$2:$I$655, BF$1, '9A'!$C$2:$C$655, "Kona")</f>
        <v>0</v>
      </c>
      <c r="BG7" s="6">
        <f>countifs('9A'!$I$2:$I$655, BG$1, '9A'!$C$2:$C$655, "Kona")</f>
        <v>2</v>
      </c>
      <c r="BH7" s="6">
        <f>countifs('9A'!$I$2:$I$655, BH$1, '9A'!$C$2:$C$655, "Kona")</f>
        <v>2</v>
      </c>
      <c r="BI7" s="6">
        <f>countifs('9A'!$I$2:$I$655, BI$1, '9A'!$C$2:$C$655, "Kona")</f>
        <v>4</v>
      </c>
      <c r="BJ7" s="9">
        <v>18.0</v>
      </c>
      <c r="BK7" s="9">
        <v>47.0</v>
      </c>
      <c r="BL7" s="7">
        <f>IFERROR(__xludf.DUMMYFUNCTION("AVERAGE.WEIGHTED($AV$1:$BB$1,AV7:BB7)"),1.4444444444444444)</f>
        <v>1.444444444</v>
      </c>
      <c r="BM7" s="7">
        <f>IFERROR(__xludf.DUMMYFUNCTION("AVERAGE.WEIGHTED($BC$1:$BI$1,BC7:BI7)"),2.106382978723404)</f>
        <v>2.106382979</v>
      </c>
      <c r="BN7" s="7">
        <f t="shared" ref="BN7:BO7" si="28">(BL7-1)*100/6</f>
        <v>7.407407407</v>
      </c>
      <c r="BO7" s="7">
        <f t="shared" si="28"/>
        <v>18.43971631</v>
      </c>
      <c r="BP7" s="7">
        <f t="shared" si="12"/>
        <v>12.92356186</v>
      </c>
      <c r="BQ7" s="7">
        <f t="shared" si="13"/>
        <v>12.92356186</v>
      </c>
      <c r="BR7" s="8">
        <f t="shared" si="14"/>
        <v>0.0300066306</v>
      </c>
    </row>
    <row r="8">
      <c r="A8" s="3">
        <v>7.0</v>
      </c>
      <c r="B8" s="1" t="s">
        <v>9</v>
      </c>
      <c r="C8" s="6">
        <f>countif('9A'!$J$2:$J$655, C$1)</f>
        <v>13</v>
      </c>
      <c r="D8" s="6">
        <f>countif('9A'!$J$2:$J$655, D$1)</f>
        <v>12</v>
      </c>
      <c r="E8" s="6">
        <f>countif('9A'!$J$2:$J$655, E$1)</f>
        <v>7</v>
      </c>
      <c r="F8" s="6">
        <f>countif('9A'!$J$2:$J$655, F$1)</f>
        <v>2</v>
      </c>
      <c r="G8" s="6">
        <f>countif('9A'!$J$2:$J$655, G$1)</f>
        <v>8</v>
      </c>
      <c r="H8" s="6">
        <f>countif('9A'!$J$2:$J$655, H$1)</f>
        <v>5</v>
      </c>
      <c r="I8" s="6">
        <f>countif('9A'!$J$2:$J$655, I$1)</f>
        <v>18</v>
      </c>
      <c r="J8" s="6">
        <f t="shared" si="19"/>
        <v>65</v>
      </c>
      <c r="K8" s="7">
        <f t="shared" si="6"/>
        <v>4.030769231</v>
      </c>
      <c r="N8" s="6">
        <f>countifs('9A'!$J$2:$J$655, N$1, '9A'!$B$2:$B$655, "&gt;"&amp;$L$2, '9A'!$B$2:$B$655, "&lt;"&amp;$M$2)</f>
        <v>0</v>
      </c>
      <c r="O8" s="6">
        <f>countifs('9A'!$J$2:$J$655, O$1, '9A'!$B$2:$B$655, "&gt;"&amp;$L$2, '9A'!$B$2:$B$655, "&lt;"&amp;$M$2)</f>
        <v>0</v>
      </c>
      <c r="P8" s="6">
        <f>countifs('9A'!$J$2:$J$655, P$1, '9A'!$B$2:$B$655, "&gt;"&amp;$L$2, '9A'!$B$2:$B$655, "&lt;"&amp;$M$2)</f>
        <v>0</v>
      </c>
      <c r="Q8" s="6">
        <f>countifs('9A'!$J$2:$J$655, Q$1, '9A'!$B$2:$B$655, "&gt;"&amp;$L$2, '9A'!$B$2:$B$655, "&lt;"&amp;$M$2)</f>
        <v>0</v>
      </c>
      <c r="R8" s="6">
        <f>countifs('9A'!$J$2:$J$655, R$1, '9A'!$B$2:$B$655, "&gt;"&amp;$L$2, '9A'!$B$2:$B$655, "&lt;"&amp;$M$2)</f>
        <v>0</v>
      </c>
      <c r="S8" s="6">
        <f>countifs('9A'!$J$2:$J$655, S$1, '9A'!$B$2:$B$655, "&gt;"&amp;$L$2, '9A'!$B$2:$B$655, "&lt;"&amp;$M$2)</f>
        <v>0</v>
      </c>
      <c r="T8" s="6">
        <f>countifs('9A'!$J$2:$J$655, T$1, '9A'!$B$2:$B$655, "&gt;"&amp;$L$2, '9A'!$B$2:$B$655, "&lt;"&amp;$M$2)</f>
        <v>0</v>
      </c>
      <c r="U8" s="6">
        <f>countifs('9A'!$J$2:$J$655, U$1, '9A'!$B$2:$B$655, "&gt;"&amp;$L$3, '9A'!$B$2:$B$655, "&lt;"&amp;$M$3)</f>
        <v>0</v>
      </c>
      <c r="V8" s="6">
        <f>countifs('9A'!$J$2:$J$655, V$1, '9A'!$B$2:$B$655, "&gt;"&amp;$L$3, '9A'!$B$2:$B$655, "&lt;"&amp;$M$3)</f>
        <v>0</v>
      </c>
      <c r="W8" s="6">
        <f>countifs('9A'!$J$2:$J$655, W$1, '9A'!$B$2:$B$655, "&gt;"&amp;$L$3, '9A'!$B$2:$B$655, "&lt;"&amp;$M$3)</f>
        <v>0</v>
      </c>
      <c r="X8" s="6">
        <f>countifs('9A'!$J$2:$J$655, X$1, '9A'!$B$2:$B$655, "&gt;"&amp;$L$3, '9A'!$B$2:$B$655, "&lt;"&amp;$M$3)</f>
        <v>0</v>
      </c>
      <c r="Y8" s="6">
        <f>countifs('9A'!$J$2:$J$655, Y$1, '9A'!$B$2:$B$655, "&gt;"&amp;$L$3, '9A'!$B$2:$B$655, "&lt;"&amp;$M$3)</f>
        <v>0</v>
      </c>
      <c r="Z8" s="6">
        <f>countifs('9A'!$J$2:$J$655, Z$1, '9A'!$B$2:$B$655, "&gt;"&amp;$L$3, '9A'!$B$2:$B$655, "&lt;"&amp;$M$3)</f>
        <v>0</v>
      </c>
      <c r="AA8" s="6">
        <f>countifs('9A'!$J$2:$J$655, AA$1, '9A'!$B$2:$B$655, "&gt;"&amp;$L$3, '9A'!$B$2:$B$655, "&lt;"&amp;$M$3)</f>
        <v>0</v>
      </c>
      <c r="AB8" s="6">
        <f>countifs('9A'!$J$2:$J$655, AB$1, '9A'!$B$2:$B$655, "&gt;"&amp;$L$4, '9A'!$B$2:$B$655, "&lt;"&amp;$M$4)</f>
        <v>0</v>
      </c>
      <c r="AC8" s="6">
        <f>countifs('9A'!$J$2:$J$655, AC$1, '9A'!$B$2:$B$655, "&gt;"&amp;$L$4, '9A'!$B$2:$B$655, "&lt;"&amp;$M$4)</f>
        <v>0</v>
      </c>
      <c r="AD8" s="6">
        <f>countifs('9A'!$J$2:$J$655, AD$1, '9A'!$B$2:$B$655, "&gt;"&amp;$L$4, '9A'!$B$2:$B$655, "&lt;"&amp;$M$4)</f>
        <v>0</v>
      </c>
      <c r="AE8" s="6">
        <f>countifs('9A'!$J$2:$J$655, AE$1, '9A'!$B$2:$B$655, "&gt;"&amp;$L$4, '9A'!$B$2:$B$655, "&lt;"&amp;$M$4)</f>
        <v>0</v>
      </c>
      <c r="AF8" s="6">
        <f>countifs('9A'!$J$2:$J$655, AF$1, '9A'!$B$2:$B$655, "&gt;"&amp;$L$4, '9A'!$B$2:$B$655, "&lt;"&amp;$M$4)</f>
        <v>0</v>
      </c>
      <c r="AG8" s="6">
        <f>countifs('9A'!$J$2:$J$655, AG$1, '9A'!$B$2:$B$655, "&gt;"&amp;$L$4, '9A'!$B$2:$B$655, "&lt;"&amp;$M$4)</f>
        <v>0</v>
      </c>
      <c r="AH8" s="6">
        <f>countifs('9A'!$J$2:$J$655, AH$1, '9A'!$B$2:$B$655, "&gt;"&amp;$L$4, '9A'!$B$2:$B$655, "&lt;"&amp;$M$4)</f>
        <v>0</v>
      </c>
      <c r="AI8" s="3">
        <v>8.0</v>
      </c>
      <c r="AJ8" s="3">
        <v>11.0</v>
      </c>
      <c r="AK8" s="3">
        <v>11.0</v>
      </c>
      <c r="AL8" s="7" t="str">
        <f>IFERROR(__xludf.DUMMYFUNCTION("AVERAGE.WEIGHTED($N$1:$T$1, N8:T8)"),"#DIV/0!")</f>
        <v>#DIV/0!</v>
      </c>
      <c r="AM8" s="7" t="str">
        <f>IFERROR(__xludf.DUMMYFUNCTION("AVERAGE.WEIGHTED($U$1:$AA$1, U8:AA8)"),"#DIV/0!")</f>
        <v>#DIV/0!</v>
      </c>
      <c r="AN8" s="7" t="str">
        <f>IFERROR(__xludf.DUMMYFUNCTION("AVERAGE.WEIGHTED($AB$1:$AH$1, AB8:AH8)"),"#DIV/0!")</f>
        <v>#DIV/0!</v>
      </c>
      <c r="AO8" s="7" t="str">
        <f t="shared" ref="AO8:AQ8" si="29">(AL8-1)*100/6</f>
        <v>#DIV/0!</v>
      </c>
      <c r="AP8" s="7" t="str">
        <f t="shared" si="29"/>
        <v>#DIV/0!</v>
      </c>
      <c r="AQ8" s="7" t="str">
        <f t="shared" si="29"/>
        <v>#DIV/0!</v>
      </c>
      <c r="AR8" s="8" t="str">
        <f t="shared" ref="AR8:AT8" si="30">average($AO8:$AQ8)</f>
        <v>#DIV/0!</v>
      </c>
      <c r="AS8" s="8" t="str">
        <f t="shared" si="30"/>
        <v>#DIV/0!</v>
      </c>
      <c r="AT8" s="8" t="str">
        <f t="shared" si="30"/>
        <v>#DIV/0!</v>
      </c>
      <c r="AU8" s="8" t="str">
        <f t="shared" si="10"/>
        <v>#DIV/0!</v>
      </c>
      <c r="AV8" s="6">
        <f>countifs('9A'!$J$2:$J$655, AV$1, '9A'!$C$2:$C$655, "Karl")</f>
        <v>2</v>
      </c>
      <c r="AW8" s="6">
        <f>countifs('9A'!$J$2:$J$655, AW$1, '9A'!$C$2:$C$655, "Karl")</f>
        <v>1</v>
      </c>
      <c r="AX8" s="6">
        <f>countifs('9A'!$J$2:$J$655, AX$1, '9A'!$C$2:$C$655, "Karl")</f>
        <v>1</v>
      </c>
      <c r="AY8" s="6">
        <f>countifs('9A'!$J$2:$J$655, AY$1, '9A'!$C$2:$C$655, "Karl")</f>
        <v>0</v>
      </c>
      <c r="AZ8" s="6">
        <f>countifs('9A'!$J$2:$J$655, AZ$1, '9A'!$C$2:$C$655, "Karl")</f>
        <v>4</v>
      </c>
      <c r="BA8" s="6">
        <f>countifs('9A'!$J$2:$J$655, BA$1, '9A'!$C$2:$C$655, "Karl")</f>
        <v>2</v>
      </c>
      <c r="BB8" s="6">
        <f>countifs('9A'!$J$2:$J$655, BB$1, '9A'!$C$2:$C$655, "Karl")</f>
        <v>8</v>
      </c>
      <c r="BC8" s="6">
        <f>countifs('9A'!$J$2:$J$655, BC$1, '9A'!$C$2:$C$655, "Kona")</f>
        <v>11</v>
      </c>
      <c r="BD8" s="6">
        <f>countifs('9A'!$J$2:$J$655, BD$1, '9A'!$C$2:$C$655, "Kona")</f>
        <v>11</v>
      </c>
      <c r="BE8" s="6">
        <f>countifs('9A'!$J$2:$J$655, BE$1, '9A'!$C$2:$C$655, "Kona")</f>
        <v>6</v>
      </c>
      <c r="BF8" s="6">
        <f>countifs('9A'!$J$2:$J$655, BF$1, '9A'!$C$2:$C$655, "Kona")</f>
        <v>2</v>
      </c>
      <c r="BG8" s="6">
        <f>countifs('9A'!$J$2:$J$655, BG$1, '9A'!$C$2:$C$655, "Kona")</f>
        <v>4</v>
      </c>
      <c r="BH8" s="6">
        <f>countifs('9A'!$J$2:$J$655, BH$1, '9A'!$C$2:$C$655, "Kona")</f>
        <v>3</v>
      </c>
      <c r="BI8" s="6">
        <f>countifs('9A'!$J$2:$J$655, BI$1, '9A'!$C$2:$C$655, "Kona")</f>
        <v>10</v>
      </c>
      <c r="BJ8" s="9">
        <v>18.0</v>
      </c>
      <c r="BK8" s="9">
        <v>47.0</v>
      </c>
      <c r="BL8" s="7">
        <f>IFERROR(__xludf.DUMMYFUNCTION("AVERAGE.WEIGHTED($AV$1:$BB$1,AV8:BB8)"),5.277777777777778)</f>
        <v>5.277777778</v>
      </c>
      <c r="BM8" s="7">
        <f>IFERROR(__xludf.DUMMYFUNCTION("AVERAGE.WEIGHTED($BC$1:$BI$1,BC8:BI8)"),3.5531914893617023)</f>
        <v>3.553191489</v>
      </c>
      <c r="BN8" s="7">
        <f t="shared" ref="BN8:BO8" si="31">(BL8-1)*100/6</f>
        <v>71.2962963</v>
      </c>
      <c r="BO8" s="7">
        <f t="shared" si="31"/>
        <v>42.55319149</v>
      </c>
      <c r="BP8" s="7">
        <f t="shared" si="12"/>
        <v>56.92474389</v>
      </c>
      <c r="BQ8" s="7">
        <f t="shared" si="13"/>
        <v>56.92474389</v>
      </c>
      <c r="BR8" s="8">
        <f t="shared" si="14"/>
        <v>0.007063887317</v>
      </c>
    </row>
    <row r="9">
      <c r="A9" s="3">
        <v>8.0</v>
      </c>
      <c r="B9" s="1" t="s">
        <v>10</v>
      </c>
      <c r="C9" s="6">
        <f>countif('9A'!$K$2:$K$655, C$1)</f>
        <v>1</v>
      </c>
      <c r="D9" s="6">
        <f>countif('9A'!$K$2:$K$655, D$1)</f>
        <v>2</v>
      </c>
      <c r="E9" s="6">
        <f>countif('9A'!$K$2:$K$655, E$1)</f>
        <v>2</v>
      </c>
      <c r="F9" s="6">
        <f>countif('9A'!$K$2:$K$655, F$1)</f>
        <v>2</v>
      </c>
      <c r="G9" s="6">
        <f>countif('9A'!$K$2:$K$655, G$1)</f>
        <v>9</v>
      </c>
      <c r="H9" s="6">
        <f>countif('9A'!$K$2:$K$655, H$1)</f>
        <v>14</v>
      </c>
      <c r="I9" s="6">
        <f>countif('9A'!$K$2:$K$655, I$1)</f>
        <v>35</v>
      </c>
      <c r="J9" s="6">
        <f t="shared" si="19"/>
        <v>65</v>
      </c>
      <c r="K9" s="7">
        <f t="shared" si="6"/>
        <v>6.046153846</v>
      </c>
      <c r="N9" s="6">
        <f>countifs('9A'!$K$2:$K$655, N$1, '9A'!$B$2:$B$655, "&gt;"&amp;$L$2, '9A'!$B$2:$B$655, "&lt;"&amp;$M$2)</f>
        <v>0</v>
      </c>
      <c r="O9" s="6">
        <f>countifs('9A'!$K$2:$K$655, O$1, '9A'!$B$2:$B$655, "&gt;"&amp;$L$2, '9A'!$B$2:$B$655, "&lt;"&amp;$M$2)</f>
        <v>0</v>
      </c>
      <c r="P9" s="6">
        <f>countifs('9A'!$K$2:$K$655, P$1, '9A'!$B$2:$B$655, "&gt;"&amp;$L$2, '9A'!$B$2:$B$655, "&lt;"&amp;$M$2)</f>
        <v>0</v>
      </c>
      <c r="Q9" s="6">
        <f>countifs('9A'!$K$2:$K$655, Q$1, '9A'!$B$2:$B$655, "&gt;"&amp;$L$2, '9A'!$B$2:$B$655, "&lt;"&amp;$M$2)</f>
        <v>0</v>
      </c>
      <c r="R9" s="6">
        <f>countifs('9A'!$K$2:$K$655, R$1, '9A'!$B$2:$B$655, "&gt;"&amp;$L$2, '9A'!$B$2:$B$655, "&lt;"&amp;$M$2)</f>
        <v>0</v>
      </c>
      <c r="S9" s="6">
        <f>countifs('9A'!$K$2:$K$655, S$1, '9A'!$B$2:$B$655, "&gt;"&amp;$L$2, '9A'!$B$2:$B$655, "&lt;"&amp;$M$2)</f>
        <v>0</v>
      </c>
      <c r="T9" s="6">
        <f>countifs('9A'!$K$2:$K$655, T$1, '9A'!$B$2:$B$655, "&gt;"&amp;$L$2, '9A'!$B$2:$B$655, "&lt;"&amp;$M$2)</f>
        <v>0</v>
      </c>
      <c r="U9" s="6">
        <f>countifs('9A'!$K$2:$K$655, U$1, '9A'!$B$2:$B$655, "&gt;"&amp;$L$3, '9A'!$B$2:$B$655, "&lt;"&amp;$M$3)</f>
        <v>0</v>
      </c>
      <c r="V9" s="6">
        <f>countifs('9A'!$K$2:$K$655, V$1, '9A'!$B$2:$B$655, "&gt;"&amp;$L$3, '9A'!$B$2:$B$655, "&lt;"&amp;$M$3)</f>
        <v>0</v>
      </c>
      <c r="W9" s="6">
        <f>countifs('9A'!$K$2:$K$655, W$1, '9A'!$B$2:$B$655, "&gt;"&amp;$L$3, '9A'!$B$2:$B$655, "&lt;"&amp;$M$3)</f>
        <v>0</v>
      </c>
      <c r="X9" s="6">
        <f>countifs('9A'!$K$2:$K$655, X$1, '9A'!$B$2:$B$655, "&gt;"&amp;$L$3, '9A'!$B$2:$B$655, "&lt;"&amp;$M$3)</f>
        <v>0</v>
      </c>
      <c r="Y9" s="6">
        <f>countifs('9A'!$K$2:$K$655, Y$1, '9A'!$B$2:$B$655, "&gt;"&amp;$L$3, '9A'!$B$2:$B$655, "&lt;"&amp;$M$3)</f>
        <v>0</v>
      </c>
      <c r="Z9" s="6">
        <f>countifs('9A'!$K$2:$K$655, Z$1, '9A'!$B$2:$B$655, "&gt;"&amp;$L$3, '9A'!$B$2:$B$655, "&lt;"&amp;$M$3)</f>
        <v>0</v>
      </c>
      <c r="AA9" s="6">
        <f>countifs('9A'!$K$2:$K$655, AA$1, '9A'!$B$2:$B$655, "&gt;"&amp;$L$3, '9A'!$B$2:$B$655, "&lt;"&amp;$M$3)</f>
        <v>0</v>
      </c>
      <c r="AB9" s="6">
        <f>countifs('9A'!$K$2:$K$655, AB$1, '9A'!$B$2:$B$655, "&gt;"&amp;$L$4, '9A'!$B$2:$B$655, "&lt;"&amp;$M$4)</f>
        <v>0</v>
      </c>
      <c r="AC9" s="6">
        <f>countifs('9A'!$K$2:$K$655, AC$1, '9A'!$B$2:$B$655, "&gt;"&amp;$L$4, '9A'!$B$2:$B$655, "&lt;"&amp;$M$4)</f>
        <v>0</v>
      </c>
      <c r="AD9" s="6">
        <f>countifs('9A'!$K$2:$K$655, AD$1, '9A'!$B$2:$B$655, "&gt;"&amp;$L$4, '9A'!$B$2:$B$655, "&lt;"&amp;$M$4)</f>
        <v>0</v>
      </c>
      <c r="AE9" s="6">
        <f>countifs('9A'!$K$2:$K$655, AE$1, '9A'!$B$2:$B$655, "&gt;"&amp;$L$4, '9A'!$B$2:$B$655, "&lt;"&amp;$M$4)</f>
        <v>0</v>
      </c>
      <c r="AF9" s="6">
        <f>countifs('9A'!$K$2:$K$655, AF$1, '9A'!$B$2:$B$655, "&gt;"&amp;$L$4, '9A'!$B$2:$B$655, "&lt;"&amp;$M$4)</f>
        <v>0</v>
      </c>
      <c r="AG9" s="6">
        <f>countifs('9A'!$K$2:$K$655, AG$1, '9A'!$B$2:$B$655, "&gt;"&amp;$L$4, '9A'!$B$2:$B$655, "&lt;"&amp;$M$4)</f>
        <v>0</v>
      </c>
      <c r="AH9" s="6">
        <f>countifs('9A'!$K$2:$K$655, AH$1, '9A'!$B$2:$B$655, "&gt;"&amp;$L$4, '9A'!$B$2:$B$655, "&lt;"&amp;$M$4)</f>
        <v>0</v>
      </c>
      <c r="AI9" s="3">
        <v>8.0</v>
      </c>
      <c r="AJ9" s="3">
        <v>11.0</v>
      </c>
      <c r="AK9" s="3">
        <v>11.0</v>
      </c>
      <c r="AL9" s="7" t="str">
        <f>IFERROR(__xludf.DUMMYFUNCTION("AVERAGE.WEIGHTED($N$1:$T$1, N9:T9)"),"#DIV/0!")</f>
        <v>#DIV/0!</v>
      </c>
      <c r="AM9" s="7" t="str">
        <f>IFERROR(__xludf.DUMMYFUNCTION("AVERAGE.WEIGHTED($U$1:$AA$1, U9:AA9)"),"#DIV/0!")</f>
        <v>#DIV/0!</v>
      </c>
      <c r="AN9" s="7" t="str">
        <f>IFERROR(__xludf.DUMMYFUNCTION("AVERAGE.WEIGHTED($AB$1:$AH$1, AB9:AH9)"),"#DIV/0!")</f>
        <v>#DIV/0!</v>
      </c>
      <c r="AO9" s="7" t="str">
        <f t="shared" ref="AO9:AQ9" si="32">(AL9-1)*100/6</f>
        <v>#DIV/0!</v>
      </c>
      <c r="AP9" s="7" t="str">
        <f t="shared" si="32"/>
        <v>#DIV/0!</v>
      </c>
      <c r="AQ9" s="7" t="str">
        <f t="shared" si="32"/>
        <v>#DIV/0!</v>
      </c>
      <c r="AR9" s="8" t="str">
        <f t="shared" ref="AR9:AT9" si="33">average($AO9:$AQ9)</f>
        <v>#DIV/0!</v>
      </c>
      <c r="AS9" s="8" t="str">
        <f t="shared" si="33"/>
        <v>#DIV/0!</v>
      </c>
      <c r="AT9" s="8" t="str">
        <f t="shared" si="33"/>
        <v>#DIV/0!</v>
      </c>
      <c r="AU9" s="8" t="str">
        <f t="shared" si="10"/>
        <v>#DIV/0!</v>
      </c>
      <c r="AV9" s="6">
        <f>countifs('9A'!$K$2:$K$655, AV$1, '9A'!$C$2:$C$655, "Karl")</f>
        <v>0</v>
      </c>
      <c r="AW9" s="6">
        <f>countifs('9A'!$K$2:$K$655, AW$1, '9A'!$C$2:$C$655, "Karl")</f>
        <v>0</v>
      </c>
      <c r="AX9" s="6">
        <f>countifs('9A'!$K$2:$K$655, AX$1, '9A'!$C$2:$C$655, "Karl")</f>
        <v>0</v>
      </c>
      <c r="AY9" s="6">
        <f>countifs('9A'!$K$2:$K$655, AY$1, '9A'!$C$2:$C$655, "Karl")</f>
        <v>0</v>
      </c>
      <c r="AZ9" s="6">
        <f>countifs('9A'!$K$2:$K$655, AZ$1, '9A'!$C$2:$C$655, "Karl")</f>
        <v>1</v>
      </c>
      <c r="BA9" s="6">
        <f>countifs('9A'!$K$2:$K$655, BA$1, '9A'!$C$2:$C$655, "Karl")</f>
        <v>6</v>
      </c>
      <c r="BB9" s="6">
        <f>countifs('9A'!$K$2:$K$655, BB$1, '9A'!$C$2:$C$655, "Karl")</f>
        <v>11</v>
      </c>
      <c r="BC9" s="6">
        <f>countifs('9A'!$K$2:$K$655, BC$1, '9A'!$C$2:$C$655, "Kona")</f>
        <v>1</v>
      </c>
      <c r="BD9" s="6">
        <f>countifs('9A'!$K$2:$K$655, BD$1, '9A'!$C$2:$C$655, "Kona")</f>
        <v>2</v>
      </c>
      <c r="BE9" s="6">
        <f>countifs('9A'!$K$2:$K$655, BE$1, '9A'!$C$2:$C$655, "Kona")</f>
        <v>2</v>
      </c>
      <c r="BF9" s="6">
        <f>countifs('9A'!$K$2:$K$655, BF$1, '9A'!$C$2:$C$655, "Kona")</f>
        <v>2</v>
      </c>
      <c r="BG9" s="6">
        <f>countifs('9A'!$K$2:$K$655, BG$1, '9A'!$C$2:$C$655, "Kona")</f>
        <v>8</v>
      </c>
      <c r="BH9" s="6">
        <f>countifs('9A'!$K$2:$K$655, BH$1, '9A'!$C$2:$C$655, "Kona")</f>
        <v>8</v>
      </c>
      <c r="BI9" s="6">
        <f>countifs('9A'!$K$2:$K$655, BI$1, '9A'!$C$2:$C$655, "Kona")</f>
        <v>24</v>
      </c>
      <c r="BJ9" s="9">
        <v>18.0</v>
      </c>
      <c r="BK9" s="9">
        <v>47.0</v>
      </c>
      <c r="BL9" s="7">
        <f>IFERROR(__xludf.DUMMYFUNCTION("AVERAGE.WEIGHTED($AV$1:$BB$1,AV9:BB9)"),6.555555555555555)</f>
        <v>6.555555556</v>
      </c>
      <c r="BM9" s="7">
        <f>IFERROR(__xludf.DUMMYFUNCTION("AVERAGE.WEIGHTED($BC$1:$BI$1,BC9:BI9)"),5.851063829787234)</f>
        <v>5.85106383</v>
      </c>
      <c r="BN9" s="7">
        <f t="shared" ref="BN9:BO9" si="34">(BL9-1)*100/6</f>
        <v>92.59259259</v>
      </c>
      <c r="BO9" s="7">
        <f t="shared" si="34"/>
        <v>80.85106383</v>
      </c>
      <c r="BP9" s="7">
        <f t="shared" si="12"/>
        <v>86.72182821</v>
      </c>
      <c r="BQ9" s="7">
        <f t="shared" si="13"/>
        <v>86.72182821</v>
      </c>
      <c r="BR9" s="8">
        <f t="shared" si="14"/>
        <v>0.3726344756</v>
      </c>
    </row>
    <row r="10">
      <c r="A10" s="3">
        <v>9.0</v>
      </c>
      <c r="B10" s="1" t="s">
        <v>11</v>
      </c>
      <c r="C10" s="6">
        <f>countif('9A'!$L$2:$L$655, C$1)</f>
        <v>4</v>
      </c>
      <c r="D10" s="6">
        <f>countif('9A'!$L$2:$L$655, D$1)</f>
        <v>1</v>
      </c>
      <c r="E10" s="6">
        <f>countif('9A'!$L$2:$L$655, E$1)</f>
        <v>3</v>
      </c>
      <c r="F10" s="6">
        <f>countif('9A'!$L$2:$L$655, F$1)</f>
        <v>1</v>
      </c>
      <c r="G10" s="6">
        <f>countif('9A'!$L$2:$L$655, G$1)</f>
        <v>4</v>
      </c>
      <c r="H10" s="6">
        <f>countif('9A'!$L$2:$L$655, H$1)</f>
        <v>7</v>
      </c>
      <c r="I10" s="6">
        <f>countif('9A'!$L$2:$L$655, I$1)</f>
        <v>45</v>
      </c>
      <c r="J10" s="6">
        <f t="shared" si="19"/>
        <v>65</v>
      </c>
      <c r="K10" s="7">
        <f t="shared" si="6"/>
        <v>6.092307692</v>
      </c>
      <c r="N10" s="6">
        <f>countifs('9A'!$L$2:$L$655, N$1, '9A'!$B$2:$B$655, "&gt;"&amp;$L$2, '9A'!$B$2:$B$655, "&lt;"&amp;$M$2)</f>
        <v>0</v>
      </c>
      <c r="O10" s="6">
        <f>countifs('9A'!$L$2:$L$655, O$1, '9A'!$B$2:$B$655, "&gt;"&amp;$L$2, '9A'!$B$2:$B$655, "&lt;"&amp;$M$2)</f>
        <v>0</v>
      </c>
      <c r="P10" s="6">
        <f>countifs('9A'!$L$2:$L$655, P$1, '9A'!$B$2:$B$655, "&gt;"&amp;$L$2, '9A'!$B$2:$B$655, "&lt;"&amp;$M$2)</f>
        <v>0</v>
      </c>
      <c r="Q10" s="6">
        <f>countifs('9A'!$L$2:$L$655, Q$1, '9A'!$B$2:$B$655, "&gt;"&amp;$L$2, '9A'!$B$2:$B$655, "&lt;"&amp;$M$2)</f>
        <v>0</v>
      </c>
      <c r="R10" s="6">
        <f>countifs('9A'!$L$2:$L$655, R$1, '9A'!$B$2:$B$655, "&gt;"&amp;$L$2, '9A'!$B$2:$B$655, "&lt;"&amp;$M$2)</f>
        <v>0</v>
      </c>
      <c r="S10" s="6">
        <f>countifs('9A'!$L$2:$L$655, S$1, '9A'!$B$2:$B$655, "&gt;"&amp;$L$2, '9A'!$B$2:$B$655, "&lt;"&amp;$M$2)</f>
        <v>0</v>
      </c>
      <c r="T10" s="6">
        <f>countifs('9A'!$L$2:$L$655, T$1, '9A'!$B$2:$B$655, "&gt;"&amp;$L$2, '9A'!$B$2:$B$655, "&lt;"&amp;$M$2)</f>
        <v>0</v>
      </c>
      <c r="U10" s="6">
        <f>countifs('9A'!$L$2:$L$655, U$1, '9A'!$B$2:$B$655, "&gt;"&amp;$L$3, '9A'!$B$2:$B$655, "&lt;"&amp;$M$3)</f>
        <v>0</v>
      </c>
      <c r="V10" s="6">
        <f>countifs('9A'!$L$2:$L$655, V$1, '9A'!$B$2:$B$655, "&gt;"&amp;$L$3, '9A'!$B$2:$B$655, "&lt;"&amp;$M$3)</f>
        <v>0</v>
      </c>
      <c r="W10" s="6">
        <f>countifs('9A'!$L$2:$L$655, W$1, '9A'!$B$2:$B$655, "&gt;"&amp;$L$3, '9A'!$B$2:$B$655, "&lt;"&amp;$M$3)</f>
        <v>0</v>
      </c>
      <c r="X10" s="6">
        <f>countifs('9A'!$L$2:$L$655, X$1, '9A'!$B$2:$B$655, "&gt;"&amp;$L$3, '9A'!$B$2:$B$655, "&lt;"&amp;$M$3)</f>
        <v>0</v>
      </c>
      <c r="Y10" s="6">
        <f>countifs('9A'!$L$2:$L$655, Y$1, '9A'!$B$2:$B$655, "&gt;"&amp;$L$3, '9A'!$B$2:$B$655, "&lt;"&amp;$M$3)</f>
        <v>0</v>
      </c>
      <c r="Z10" s="6">
        <f>countifs('9A'!$L$2:$L$655, Z$1, '9A'!$B$2:$B$655, "&gt;"&amp;$L$3, '9A'!$B$2:$B$655, "&lt;"&amp;$M$3)</f>
        <v>0</v>
      </c>
      <c r="AA10" s="6">
        <f>countifs('9A'!$L$2:$L$655, AA$1, '9A'!$B$2:$B$655, "&gt;"&amp;$L$3, '9A'!$B$2:$B$655, "&lt;"&amp;$M$3)</f>
        <v>0</v>
      </c>
      <c r="AB10" s="6">
        <f>countifs('9A'!$L$2:$L$655, AB$1, '9A'!$B$2:$B$655, "&gt;"&amp;$L$4, '9A'!$B$2:$B$655, "&lt;"&amp;$M$4)</f>
        <v>0</v>
      </c>
      <c r="AC10" s="6">
        <f>countifs('9A'!$L$2:$L$655, AC$1, '9A'!$B$2:$B$655, "&gt;"&amp;$L$4, '9A'!$B$2:$B$655, "&lt;"&amp;$M$4)</f>
        <v>0</v>
      </c>
      <c r="AD10" s="6">
        <f>countifs('9A'!$L$2:$L$655, AD$1, '9A'!$B$2:$B$655, "&gt;"&amp;$L$4, '9A'!$B$2:$B$655, "&lt;"&amp;$M$4)</f>
        <v>0</v>
      </c>
      <c r="AE10" s="6">
        <f>countifs('9A'!$L$2:$L$655, AE$1, '9A'!$B$2:$B$655, "&gt;"&amp;$L$4, '9A'!$B$2:$B$655, "&lt;"&amp;$M$4)</f>
        <v>0</v>
      </c>
      <c r="AF10" s="6">
        <f>countifs('9A'!$L$2:$L$655, AF$1, '9A'!$B$2:$B$655, "&gt;"&amp;$L$4, '9A'!$B$2:$B$655, "&lt;"&amp;$M$4)</f>
        <v>0</v>
      </c>
      <c r="AG10" s="6">
        <f>countifs('9A'!$L$2:$L$655, AG$1, '9A'!$B$2:$B$655, "&gt;"&amp;$L$4, '9A'!$B$2:$B$655, "&lt;"&amp;$M$4)</f>
        <v>0</v>
      </c>
      <c r="AH10" s="6">
        <f>countifs('9A'!$L$2:$L$655, AH$1, '9A'!$B$2:$B$655, "&gt;"&amp;$L$4, '9A'!$B$2:$B$655, "&lt;"&amp;$M$4)</f>
        <v>0</v>
      </c>
      <c r="AI10" s="3">
        <v>8.0</v>
      </c>
      <c r="AJ10" s="3">
        <v>11.0</v>
      </c>
      <c r="AK10" s="3">
        <v>11.0</v>
      </c>
      <c r="AL10" s="7" t="str">
        <f>IFERROR(__xludf.DUMMYFUNCTION("AVERAGE.WEIGHTED($N$1:$T$1, N10:T10)"),"#DIV/0!")</f>
        <v>#DIV/0!</v>
      </c>
      <c r="AM10" s="7" t="str">
        <f>IFERROR(__xludf.DUMMYFUNCTION("AVERAGE.WEIGHTED($U$1:$AA$1, U10:AA10)"),"#DIV/0!")</f>
        <v>#DIV/0!</v>
      </c>
      <c r="AN10" s="7" t="str">
        <f>IFERROR(__xludf.DUMMYFUNCTION("AVERAGE.WEIGHTED($AB$1:$AH$1, AB10:AH10)"),"#DIV/0!")</f>
        <v>#DIV/0!</v>
      </c>
      <c r="AO10" s="7" t="str">
        <f t="shared" ref="AO10:AQ10" si="35">(AL10-1)*100/6</f>
        <v>#DIV/0!</v>
      </c>
      <c r="AP10" s="7" t="str">
        <f t="shared" si="35"/>
        <v>#DIV/0!</v>
      </c>
      <c r="AQ10" s="7" t="str">
        <f t="shared" si="35"/>
        <v>#DIV/0!</v>
      </c>
      <c r="AR10" s="8" t="str">
        <f t="shared" ref="AR10:AT10" si="36">average($AO10:$AQ10)</f>
        <v>#DIV/0!</v>
      </c>
      <c r="AS10" s="8" t="str">
        <f t="shared" si="36"/>
        <v>#DIV/0!</v>
      </c>
      <c r="AT10" s="8" t="str">
        <f t="shared" si="36"/>
        <v>#DIV/0!</v>
      </c>
      <c r="AU10" s="8" t="str">
        <f t="shared" si="10"/>
        <v>#DIV/0!</v>
      </c>
      <c r="AV10" s="6">
        <f>countifs('9A'!$L$2:$L$655, AV$1, '9A'!$C$2:$C$655, "Karl")</f>
        <v>2</v>
      </c>
      <c r="AW10" s="6">
        <f>countifs('9A'!$L$2:$L$655, AW$1, '9A'!$C$2:$C$655, "Karl")</f>
        <v>0</v>
      </c>
      <c r="AX10" s="6">
        <f>countifs('9A'!$L$2:$L$655, AX$1, '9A'!$C$2:$C$655, "Karl")</f>
        <v>0</v>
      </c>
      <c r="AY10" s="6">
        <f>countifs('9A'!$L$2:$L$655, AY$1, '9A'!$C$2:$C$655, "Karl")</f>
        <v>1</v>
      </c>
      <c r="AZ10" s="6">
        <f>countifs('9A'!$L$2:$L$655, AZ$1, '9A'!$C$2:$C$655, "Karl")</f>
        <v>1</v>
      </c>
      <c r="BA10" s="6">
        <f>countifs('9A'!$L$2:$L$655, BA$1, '9A'!$C$2:$C$655, "Karl")</f>
        <v>1</v>
      </c>
      <c r="BB10" s="6">
        <f>countifs('9A'!$L$2:$L$655, BB$1, '9A'!$C$2:$C$655, "Karl")</f>
        <v>13</v>
      </c>
      <c r="BC10" s="6">
        <f>countifs('9A'!$L$2:$L$655, BC$1, '9A'!$C$2:$C$655, "Kona")</f>
        <v>2</v>
      </c>
      <c r="BD10" s="6">
        <f>countifs('9A'!$L$2:$L$655, BD$1, '9A'!$C$2:$C$655, "Kona")</f>
        <v>1</v>
      </c>
      <c r="BE10" s="6">
        <f>countifs('9A'!$L$2:$L$655, BE$1, '9A'!$C$2:$C$655, "Kona")</f>
        <v>3</v>
      </c>
      <c r="BF10" s="6">
        <f>countifs('9A'!$L$2:$L$655, BF$1, '9A'!$C$2:$C$655, "Kona")</f>
        <v>0</v>
      </c>
      <c r="BG10" s="6">
        <f>countifs('9A'!$L$2:$L$655, BG$1, '9A'!$C$2:$C$655, "Kona")</f>
        <v>3</v>
      </c>
      <c r="BH10" s="6">
        <f>countifs('9A'!$L$2:$L$655, BH$1, '9A'!$C$2:$C$655, "Kona")</f>
        <v>6</v>
      </c>
      <c r="BI10" s="6">
        <f>countifs('9A'!$L$2:$L$655, BI$1, '9A'!$C$2:$C$655, "Kona")</f>
        <v>32</v>
      </c>
      <c r="BJ10" s="9">
        <v>18.0</v>
      </c>
      <c r="BK10" s="9">
        <v>47.0</v>
      </c>
      <c r="BL10" s="7">
        <f>IFERROR(__xludf.DUMMYFUNCTION("AVERAGE.WEIGHTED($AV$1:$BB$1,AV10:BB10)"),6.0)</f>
        <v>6</v>
      </c>
      <c r="BM10" s="7">
        <f>IFERROR(__xludf.DUMMYFUNCTION("AVERAGE.WEIGHTED($BC$1:$BI$1,BC10:BI10)"),6.127659574468085)</f>
        <v>6.127659574</v>
      </c>
      <c r="BN10" s="7">
        <f t="shared" ref="BN10:BO10" si="37">(BL10-1)*100/6</f>
        <v>83.33333333</v>
      </c>
      <c r="BO10" s="7">
        <f t="shared" si="37"/>
        <v>85.46099291</v>
      </c>
      <c r="BP10" s="7">
        <f t="shared" si="12"/>
        <v>84.39716312</v>
      </c>
      <c r="BQ10" s="7">
        <f t="shared" si="13"/>
        <v>84.39716312</v>
      </c>
      <c r="BR10" s="8">
        <f t="shared" si="14"/>
        <v>0.8699155132</v>
      </c>
    </row>
    <row r="11">
      <c r="A11" s="3">
        <v>10.0</v>
      </c>
      <c r="B11" s="1" t="s">
        <v>12</v>
      </c>
      <c r="C11" s="6">
        <f>countif('9A'!$M$2:$M$655, C$1)</f>
        <v>47</v>
      </c>
      <c r="D11" s="6">
        <f>countif('9A'!$M$2:$M$655, D$1)</f>
        <v>7</v>
      </c>
      <c r="E11" s="6">
        <f>countif('9A'!$M$2:$M$655, E$1)</f>
        <v>2</v>
      </c>
      <c r="F11" s="6">
        <f>countif('9A'!$M$2:$M$655, F$1)</f>
        <v>1</v>
      </c>
      <c r="G11" s="6">
        <f>countif('9A'!$M$2:$M$655, G$1)</f>
        <v>2</v>
      </c>
      <c r="H11" s="6">
        <f>countif('9A'!$M$2:$M$655, H$1)</f>
        <v>2</v>
      </c>
      <c r="I11" s="6">
        <f>countif('9A'!$M$2:$M$655, I$1)</f>
        <v>4</v>
      </c>
      <c r="J11" s="6">
        <f t="shared" si="19"/>
        <v>65</v>
      </c>
      <c r="K11" s="7">
        <f t="shared" si="6"/>
        <v>1.861538462</v>
      </c>
      <c r="N11" s="6">
        <f>countifs('9A'!$M$2:$M$655, N$1, '9A'!$B$2:$B$655, "&gt;"&amp;$L$2, '9A'!$B$2:$B$655, "&lt;"&amp;$M$2)</f>
        <v>0</v>
      </c>
      <c r="O11" s="6">
        <f>countifs('9A'!$M$2:$M$655, O$1, '9A'!$B$2:$B$655, "&gt;"&amp;$L$2, '9A'!$B$2:$B$655, "&lt;"&amp;$M$2)</f>
        <v>0</v>
      </c>
      <c r="P11" s="6">
        <f>countifs('9A'!$M$2:$M$655, P$1, '9A'!$B$2:$B$655, "&gt;"&amp;$L$2, '9A'!$B$2:$B$655, "&lt;"&amp;$M$2)</f>
        <v>0</v>
      </c>
      <c r="Q11" s="6">
        <f>countifs('9A'!$M$2:$M$655, Q$1, '9A'!$B$2:$B$655, "&gt;"&amp;$L$2, '9A'!$B$2:$B$655, "&lt;"&amp;$M$2)</f>
        <v>0</v>
      </c>
      <c r="R11" s="6">
        <f>countifs('9A'!$M$2:$M$655, R$1, '9A'!$B$2:$B$655, "&gt;"&amp;$L$2, '9A'!$B$2:$B$655, "&lt;"&amp;$M$2)</f>
        <v>0</v>
      </c>
      <c r="S11" s="6">
        <f>countifs('9A'!$M$2:$M$655, S$1, '9A'!$B$2:$B$655, "&gt;"&amp;$L$2, '9A'!$B$2:$B$655, "&lt;"&amp;$M$2)</f>
        <v>0</v>
      </c>
      <c r="T11" s="6">
        <f>countifs('9A'!$M$2:$M$655, T$1, '9A'!$B$2:$B$655, "&gt;"&amp;$L$2, '9A'!$B$2:$B$655, "&lt;"&amp;$M$2)</f>
        <v>0</v>
      </c>
      <c r="U11" s="6">
        <f>countifs('9A'!$M$2:$M$655, U$1, '9A'!$B$2:$B$655, "&gt;"&amp;$L$3, '9A'!$B$2:$B$655, "&lt;"&amp;$M$3)</f>
        <v>0</v>
      </c>
      <c r="V11" s="6">
        <f>countifs('9A'!$M$2:$M$655, V$1, '9A'!$B$2:$B$655, "&gt;"&amp;$L$3, '9A'!$B$2:$B$655, "&lt;"&amp;$M$3)</f>
        <v>0</v>
      </c>
      <c r="W11" s="6">
        <f>countifs('9A'!$M$2:$M$655, W$1, '9A'!$B$2:$B$655, "&gt;"&amp;$L$3, '9A'!$B$2:$B$655, "&lt;"&amp;$M$3)</f>
        <v>0</v>
      </c>
      <c r="X11" s="6">
        <f>countifs('9A'!$M$2:$M$655, X$1, '9A'!$B$2:$B$655, "&gt;"&amp;$L$3, '9A'!$B$2:$B$655, "&lt;"&amp;$M$3)</f>
        <v>0</v>
      </c>
      <c r="Y11" s="6">
        <f>countifs('9A'!$M$2:$M$655, Y$1, '9A'!$B$2:$B$655, "&gt;"&amp;$L$3, '9A'!$B$2:$B$655, "&lt;"&amp;$M$3)</f>
        <v>0</v>
      </c>
      <c r="Z11" s="6">
        <f>countifs('9A'!$M$2:$M$655, Z$1, '9A'!$B$2:$B$655, "&gt;"&amp;$L$3, '9A'!$B$2:$B$655, "&lt;"&amp;$M$3)</f>
        <v>0</v>
      </c>
      <c r="AA11" s="6">
        <f>countifs('9A'!$M$2:$M$655, AA$1, '9A'!$B$2:$B$655, "&gt;"&amp;$L$3, '9A'!$B$2:$B$655, "&lt;"&amp;$M$3)</f>
        <v>0</v>
      </c>
      <c r="AB11" s="6">
        <f>countifs('9A'!$M$2:$M$655, AB$1, '9A'!$B$2:$B$655, "&gt;"&amp;$L$4, '9A'!$B$2:$B$655, "&lt;"&amp;$M$4)</f>
        <v>0</v>
      </c>
      <c r="AC11" s="6">
        <f>countifs('9A'!$M$2:$M$655, AC$1, '9A'!$B$2:$B$655, "&gt;"&amp;$L$4, '9A'!$B$2:$B$655, "&lt;"&amp;$M$4)</f>
        <v>0</v>
      </c>
      <c r="AD11" s="6">
        <f>countifs('9A'!$M$2:$M$655, AD$1, '9A'!$B$2:$B$655, "&gt;"&amp;$L$4, '9A'!$B$2:$B$655, "&lt;"&amp;$M$4)</f>
        <v>0</v>
      </c>
      <c r="AE11" s="6">
        <f>countifs('9A'!$M$2:$M$655, AE$1, '9A'!$B$2:$B$655, "&gt;"&amp;$L$4, '9A'!$B$2:$B$655, "&lt;"&amp;$M$4)</f>
        <v>0</v>
      </c>
      <c r="AF11" s="6">
        <f>countifs('9A'!$M$2:$M$655, AF$1, '9A'!$B$2:$B$655, "&gt;"&amp;$L$4, '9A'!$B$2:$B$655, "&lt;"&amp;$M$4)</f>
        <v>0</v>
      </c>
      <c r="AG11" s="6">
        <f>countifs('9A'!$M$2:$M$655, AG$1, '9A'!$B$2:$B$655, "&gt;"&amp;$L$4, '9A'!$B$2:$B$655, "&lt;"&amp;$M$4)</f>
        <v>0</v>
      </c>
      <c r="AH11" s="6">
        <f>countifs('9A'!$M$2:$M$655, AH$1, '9A'!$B$2:$B$655, "&gt;"&amp;$L$4, '9A'!$B$2:$B$655, "&lt;"&amp;$M$4)</f>
        <v>0</v>
      </c>
      <c r="AI11" s="3">
        <v>8.0</v>
      </c>
      <c r="AJ11" s="3">
        <v>11.0</v>
      </c>
      <c r="AK11" s="3">
        <v>11.0</v>
      </c>
      <c r="AL11" s="7" t="str">
        <f>IFERROR(__xludf.DUMMYFUNCTION("AVERAGE.WEIGHTED($N$1:$T$1, N11:T11)"),"#DIV/0!")</f>
        <v>#DIV/0!</v>
      </c>
      <c r="AM11" s="7" t="str">
        <f>IFERROR(__xludf.DUMMYFUNCTION("AVERAGE.WEIGHTED($U$1:$AA$1, U11:AA11)"),"#DIV/0!")</f>
        <v>#DIV/0!</v>
      </c>
      <c r="AN11" s="7" t="str">
        <f>IFERROR(__xludf.DUMMYFUNCTION("AVERAGE.WEIGHTED($AB$1:$AH$1, AB11:AH11)"),"#DIV/0!")</f>
        <v>#DIV/0!</v>
      </c>
      <c r="AO11" s="7" t="str">
        <f t="shared" ref="AO11:AQ11" si="38">(AL11-1)*100/6</f>
        <v>#DIV/0!</v>
      </c>
      <c r="AP11" s="7" t="str">
        <f t="shared" si="38"/>
        <v>#DIV/0!</v>
      </c>
      <c r="AQ11" s="7" t="str">
        <f t="shared" si="38"/>
        <v>#DIV/0!</v>
      </c>
      <c r="AR11" s="8" t="str">
        <f t="shared" ref="AR11:AT11" si="39">average($AO11:$AQ11)</f>
        <v>#DIV/0!</v>
      </c>
      <c r="AS11" s="8" t="str">
        <f t="shared" si="39"/>
        <v>#DIV/0!</v>
      </c>
      <c r="AT11" s="8" t="str">
        <f t="shared" si="39"/>
        <v>#DIV/0!</v>
      </c>
      <c r="AU11" s="8" t="str">
        <f t="shared" si="10"/>
        <v>#DIV/0!</v>
      </c>
      <c r="AV11" s="6">
        <f>countifs('9A'!$M$2:$M$655, AV$1, '9A'!$C$2:$C$655, "Karl")</f>
        <v>12</v>
      </c>
      <c r="AW11" s="6">
        <f>countifs('9A'!$M$2:$M$655, AW$1, '9A'!$C$2:$C$655, "Karl")</f>
        <v>2</v>
      </c>
      <c r="AX11" s="6">
        <f>countifs('9A'!$M$2:$M$655, AX$1, '9A'!$C$2:$C$655, "Karl")</f>
        <v>0</v>
      </c>
      <c r="AY11" s="6">
        <f>countifs('9A'!$M$2:$M$655, AY$1, '9A'!$C$2:$C$655, "Karl")</f>
        <v>0</v>
      </c>
      <c r="AZ11" s="6">
        <f>countifs('9A'!$M$2:$M$655, AZ$1, '9A'!$C$2:$C$655, "Karl")</f>
        <v>1</v>
      </c>
      <c r="BA11" s="6">
        <f>countifs('9A'!$M$2:$M$655, BA$1, '9A'!$C$2:$C$655, "Karl")</f>
        <v>0</v>
      </c>
      <c r="BB11" s="6">
        <f>countifs('9A'!$M$2:$M$655, BB$1, '9A'!$C$2:$C$655, "Karl")</f>
        <v>3</v>
      </c>
      <c r="BC11" s="6">
        <f>countifs('9A'!$M$2:$M$655, BC$1, '9A'!$C$2:$C$655, "Kona")</f>
        <v>35</v>
      </c>
      <c r="BD11" s="6">
        <f>countifs('9A'!$M$2:$M$655, BD$1, '9A'!$C$2:$C$655, "Kona")</f>
        <v>5</v>
      </c>
      <c r="BE11" s="6">
        <f>countifs('9A'!$M$2:$M$655, BE$1, '9A'!$C$2:$C$655, "Kona")</f>
        <v>2</v>
      </c>
      <c r="BF11" s="6">
        <f>countifs('9A'!$M$2:$M$655, BF$1, '9A'!$C$2:$C$655, "Kona")</f>
        <v>1</v>
      </c>
      <c r="BG11" s="6">
        <f>countifs('9A'!$M$2:$M$655, BG$1, '9A'!$C$2:$C$655, "Kona")</f>
        <v>1</v>
      </c>
      <c r="BH11" s="6">
        <f>countifs('9A'!$M$2:$M$655, BH$1, '9A'!$C$2:$C$655, "Kona")</f>
        <v>2</v>
      </c>
      <c r="BI11" s="6">
        <f>countifs('9A'!$M$2:$M$655, BI$1, '9A'!$C$2:$C$655, "Kona")</f>
        <v>1</v>
      </c>
      <c r="BJ11" s="9">
        <v>18.0</v>
      </c>
      <c r="BK11" s="9">
        <v>47.0</v>
      </c>
      <c r="BL11" s="7">
        <f>IFERROR(__xludf.DUMMYFUNCTION("AVERAGE.WEIGHTED($AV$1:$BB$1,AV11:BB11)"),2.3333333333333335)</f>
        <v>2.333333333</v>
      </c>
      <c r="BM11" s="7">
        <f>IFERROR(__xludf.DUMMYFUNCTION("AVERAGE.WEIGHTED($BC$1:$BI$1,BC11:BI11)"),1.680851063829787)</f>
        <v>1.680851064</v>
      </c>
      <c r="BN11" s="7">
        <f t="shared" ref="BN11:BO11" si="40">(BL11-1)*100/6</f>
        <v>22.22222222</v>
      </c>
      <c r="BO11" s="7">
        <f t="shared" si="40"/>
        <v>11.34751773</v>
      </c>
      <c r="BP11" s="7">
        <f t="shared" si="12"/>
        <v>16.78486998</v>
      </c>
      <c r="BQ11" s="7">
        <f t="shared" si="13"/>
        <v>16.78486998</v>
      </c>
      <c r="BR11" s="8">
        <f t="shared" si="14"/>
        <v>0.06053041371</v>
      </c>
    </row>
    <row r="12">
      <c r="A12" s="3">
        <v>11.0</v>
      </c>
      <c r="B12" s="1" t="s">
        <v>13</v>
      </c>
      <c r="C12" s="6">
        <f>countif('9A'!$N$2:$N$655, C$1)</f>
        <v>3</v>
      </c>
      <c r="D12" s="6">
        <f>countif('9A'!$N$2:$N$655, D$1)</f>
        <v>4</v>
      </c>
      <c r="E12" s="6">
        <f>countif('9A'!$N$2:$N$655, E$1)</f>
        <v>2</v>
      </c>
      <c r="F12" s="6">
        <f>countif('9A'!$N$2:$N$655, F$1)</f>
        <v>1</v>
      </c>
      <c r="G12" s="6">
        <f>countif('9A'!$N$2:$N$655, G$1)</f>
        <v>5</v>
      </c>
      <c r="H12" s="6">
        <f>countif('9A'!$N$2:$N$655, H$1)</f>
        <v>11</v>
      </c>
      <c r="I12" s="6">
        <f>countif('9A'!$N$2:$N$655, I$1)</f>
        <v>39</v>
      </c>
      <c r="J12" s="6">
        <f t="shared" si="19"/>
        <v>65</v>
      </c>
      <c r="K12" s="7">
        <f t="shared" si="6"/>
        <v>5.923076923</v>
      </c>
      <c r="N12" s="6">
        <f>countifs('9A'!$N$2:$N$655, N$1, '9A'!$B$2:$B$655, "&gt;"&amp;$L$2, '9A'!$B$2:$B$655, "&lt;"&amp;$M$2)</f>
        <v>0</v>
      </c>
      <c r="O12" s="6">
        <f>countifs('9A'!$N$2:$N$655, O$1, '9A'!$B$2:$B$655, "&gt;"&amp;$L$2, '9A'!$B$2:$B$655, "&lt;"&amp;$M$2)</f>
        <v>0</v>
      </c>
      <c r="P12" s="6">
        <f>countifs('9A'!$N$2:$N$655, P$1, '9A'!$B$2:$B$655, "&gt;"&amp;$L$2, '9A'!$B$2:$B$655, "&lt;"&amp;$M$2)</f>
        <v>0</v>
      </c>
      <c r="Q12" s="6">
        <f>countifs('9A'!$N$2:$N$655, Q$1, '9A'!$B$2:$B$655, "&gt;"&amp;$L$2, '9A'!$B$2:$B$655, "&lt;"&amp;$M$2)</f>
        <v>0</v>
      </c>
      <c r="R12" s="6">
        <f>countifs('9A'!$N$2:$N$655, R$1, '9A'!$B$2:$B$655, "&gt;"&amp;$L$2, '9A'!$B$2:$B$655, "&lt;"&amp;$M$2)</f>
        <v>0</v>
      </c>
      <c r="S12" s="6">
        <f>countifs('9A'!$N$2:$N$655, S$1, '9A'!$B$2:$B$655, "&gt;"&amp;$L$2, '9A'!$B$2:$B$655, "&lt;"&amp;$M$2)</f>
        <v>0</v>
      </c>
      <c r="T12" s="6">
        <f>countifs('9A'!$N$2:$N$655, T$1, '9A'!$B$2:$B$655, "&gt;"&amp;$L$2, '9A'!$B$2:$B$655, "&lt;"&amp;$M$2)</f>
        <v>0</v>
      </c>
      <c r="U12" s="6">
        <f>countifs('9A'!$N$2:$N$655, U$1, '9A'!$B$2:$B$655, "&gt;"&amp;$L$3, '9A'!$B$2:$B$655, "&lt;"&amp;$M$3)</f>
        <v>0</v>
      </c>
      <c r="V12" s="6">
        <f>countifs('9A'!$N$2:$N$655, V$1, '9A'!$B$2:$B$655, "&gt;"&amp;$L$3, '9A'!$B$2:$B$655, "&lt;"&amp;$M$3)</f>
        <v>0</v>
      </c>
      <c r="W12" s="6">
        <f>countifs('9A'!$N$2:$N$655, W$1, '9A'!$B$2:$B$655, "&gt;"&amp;$L$3, '9A'!$B$2:$B$655, "&lt;"&amp;$M$3)</f>
        <v>0</v>
      </c>
      <c r="X12" s="6">
        <f>countifs('9A'!$N$2:$N$655, X$1, '9A'!$B$2:$B$655, "&gt;"&amp;$L$3, '9A'!$B$2:$B$655, "&lt;"&amp;$M$3)</f>
        <v>0</v>
      </c>
      <c r="Y12" s="6">
        <f>countifs('9A'!$N$2:$N$655, Y$1, '9A'!$B$2:$B$655, "&gt;"&amp;$L$3, '9A'!$B$2:$B$655, "&lt;"&amp;$M$3)</f>
        <v>0</v>
      </c>
      <c r="Z12" s="6">
        <f>countifs('9A'!$N$2:$N$655, Z$1, '9A'!$B$2:$B$655, "&gt;"&amp;$L$3, '9A'!$B$2:$B$655, "&lt;"&amp;$M$3)</f>
        <v>0</v>
      </c>
      <c r="AA12" s="6">
        <f>countifs('9A'!$N$2:$N$655, AA$1, '9A'!$B$2:$B$655, "&gt;"&amp;$L$3, '9A'!$B$2:$B$655, "&lt;"&amp;$M$3)</f>
        <v>0</v>
      </c>
      <c r="AB12" s="6">
        <f>countifs('9A'!$N$2:$N$655, AB$1, '9A'!$B$2:$B$655, "&gt;"&amp;$L$4, '9A'!$B$2:$B$655, "&lt;"&amp;$M$4)</f>
        <v>0</v>
      </c>
      <c r="AC12" s="6">
        <f>countifs('9A'!$N$2:$N$655, AC$1, '9A'!$B$2:$B$655, "&gt;"&amp;$L$4, '9A'!$B$2:$B$655, "&lt;"&amp;$M$4)</f>
        <v>0</v>
      </c>
      <c r="AD12" s="6">
        <f>countifs('9A'!$N$2:$N$655, AD$1, '9A'!$B$2:$B$655, "&gt;"&amp;$L$4, '9A'!$B$2:$B$655, "&lt;"&amp;$M$4)</f>
        <v>0</v>
      </c>
      <c r="AE12" s="6">
        <f>countifs('9A'!$N$2:$N$655, AE$1, '9A'!$B$2:$B$655, "&gt;"&amp;$L$4, '9A'!$B$2:$B$655, "&lt;"&amp;$M$4)</f>
        <v>0</v>
      </c>
      <c r="AF12" s="6">
        <f>countifs('9A'!$N$2:$N$655, AF$1, '9A'!$B$2:$B$655, "&gt;"&amp;$L$4, '9A'!$B$2:$B$655, "&lt;"&amp;$M$4)</f>
        <v>0</v>
      </c>
      <c r="AG12" s="6">
        <f>countifs('9A'!$N$2:$N$655, AG$1, '9A'!$B$2:$B$655, "&gt;"&amp;$L$4, '9A'!$B$2:$B$655, "&lt;"&amp;$M$4)</f>
        <v>0</v>
      </c>
      <c r="AH12" s="6">
        <f>countifs('9A'!$N$2:$N$655, AH$1, '9A'!$B$2:$B$655, "&gt;"&amp;$L$4, '9A'!$B$2:$B$655, "&lt;"&amp;$M$4)</f>
        <v>0</v>
      </c>
      <c r="AI12" s="3">
        <v>8.0</v>
      </c>
      <c r="AJ12" s="3">
        <v>11.0</v>
      </c>
      <c r="AK12" s="3">
        <v>11.0</v>
      </c>
      <c r="AL12" s="7" t="str">
        <f>IFERROR(__xludf.DUMMYFUNCTION("AVERAGE.WEIGHTED($N$1:$T$1, N12:T12)"),"#DIV/0!")</f>
        <v>#DIV/0!</v>
      </c>
      <c r="AM12" s="7" t="str">
        <f>IFERROR(__xludf.DUMMYFUNCTION("AVERAGE.WEIGHTED($U$1:$AA$1, U12:AA12)"),"#DIV/0!")</f>
        <v>#DIV/0!</v>
      </c>
      <c r="AN12" s="7" t="str">
        <f>IFERROR(__xludf.DUMMYFUNCTION("AVERAGE.WEIGHTED($AB$1:$AH$1, AB12:AH12)"),"#DIV/0!")</f>
        <v>#DIV/0!</v>
      </c>
      <c r="AO12" s="7" t="str">
        <f t="shared" ref="AO12:AQ12" si="41">(AL12-1)*100/6</f>
        <v>#DIV/0!</v>
      </c>
      <c r="AP12" s="7" t="str">
        <f t="shared" si="41"/>
        <v>#DIV/0!</v>
      </c>
      <c r="AQ12" s="7" t="str">
        <f t="shared" si="41"/>
        <v>#DIV/0!</v>
      </c>
      <c r="AR12" s="8" t="str">
        <f t="shared" ref="AR12:AT12" si="42">average($AO12:$AQ12)</f>
        <v>#DIV/0!</v>
      </c>
      <c r="AS12" s="8" t="str">
        <f t="shared" si="42"/>
        <v>#DIV/0!</v>
      </c>
      <c r="AT12" s="8" t="str">
        <f t="shared" si="42"/>
        <v>#DIV/0!</v>
      </c>
      <c r="AU12" s="8" t="str">
        <f t="shared" si="10"/>
        <v>#DIV/0!</v>
      </c>
      <c r="AV12" s="6">
        <f>countifs('9A'!$N$2:$N$655, AV$1, '9A'!$C$2:$C$655, "Karl")</f>
        <v>1</v>
      </c>
      <c r="AW12" s="6">
        <f>countifs('9A'!$N$2:$N$655, AW$1, '9A'!$C$2:$C$655, "Karl")</f>
        <v>1</v>
      </c>
      <c r="AX12" s="6">
        <f>countifs('9A'!$N$2:$N$655, AX$1, '9A'!$C$2:$C$655, "Karl")</f>
        <v>1</v>
      </c>
      <c r="AY12" s="6">
        <f>countifs('9A'!$N$2:$N$655, AY$1, '9A'!$C$2:$C$655, "Karl")</f>
        <v>0</v>
      </c>
      <c r="AZ12" s="6">
        <f>countifs('9A'!$N$2:$N$655, AZ$1, '9A'!$C$2:$C$655, "Karl")</f>
        <v>1</v>
      </c>
      <c r="BA12" s="6">
        <f>countifs('9A'!$N$2:$N$655, BA$1, '9A'!$C$2:$C$655, "Karl")</f>
        <v>5</v>
      </c>
      <c r="BB12" s="6">
        <f>countifs('9A'!$N$2:$N$655, BB$1, '9A'!$C$2:$C$655, "Karl")</f>
        <v>9</v>
      </c>
      <c r="BC12" s="6">
        <f>countifs('9A'!$N$2:$N$655, BC$1, '9A'!$C$2:$C$655, "Kona")</f>
        <v>2</v>
      </c>
      <c r="BD12" s="6">
        <f>countifs('9A'!$N$2:$N$655, BD$1, '9A'!$C$2:$C$655, "Kona")</f>
        <v>3</v>
      </c>
      <c r="BE12" s="6">
        <f>countifs('9A'!$N$2:$N$655, BE$1, '9A'!$C$2:$C$655, "Kona")</f>
        <v>1</v>
      </c>
      <c r="BF12" s="6">
        <f>countifs('9A'!$N$2:$N$655, BF$1, '9A'!$C$2:$C$655, "Kona")</f>
        <v>1</v>
      </c>
      <c r="BG12" s="6">
        <f>countifs('9A'!$N$2:$N$655, BG$1, '9A'!$C$2:$C$655, "Kona")</f>
        <v>4</v>
      </c>
      <c r="BH12" s="6">
        <f>countifs('9A'!$N$2:$N$655, BH$1, '9A'!$C$2:$C$655, "Kona")</f>
        <v>6</v>
      </c>
      <c r="BI12" s="6">
        <f>countifs('9A'!$N$2:$N$655, BI$1, '9A'!$C$2:$C$655, "Kona")</f>
        <v>30</v>
      </c>
      <c r="BJ12" s="9">
        <v>18.0</v>
      </c>
      <c r="BK12" s="9">
        <v>47.0</v>
      </c>
      <c r="BL12" s="7">
        <f>IFERROR(__xludf.DUMMYFUNCTION("AVERAGE.WEIGHTED($AV$1:$BB$1,AV12:BB12)"),5.777777777777778)</f>
        <v>5.777777778</v>
      </c>
      <c r="BM12" s="7">
        <f>IFERROR(__xludf.DUMMYFUNCTION("AVERAGE.WEIGHTED($BC$1:$BI$1,BC12:BI12)"),5.9787234042553195)</f>
        <v>5.978723404</v>
      </c>
      <c r="BN12" s="7">
        <f t="shared" ref="BN12:BO12" si="43">(BL12-1)*100/6</f>
        <v>79.62962963</v>
      </c>
      <c r="BO12" s="7">
        <f t="shared" si="43"/>
        <v>82.9787234</v>
      </c>
      <c r="BP12" s="7">
        <f t="shared" si="12"/>
        <v>81.30417652</v>
      </c>
      <c r="BQ12" s="7">
        <f t="shared" si="13"/>
        <v>81.30417652</v>
      </c>
      <c r="BR12" s="8">
        <f t="shared" si="14"/>
        <v>0.7928303914</v>
      </c>
    </row>
    <row r="13">
      <c r="A13" s="3">
        <v>12.0</v>
      </c>
      <c r="B13" s="1" t="s">
        <v>14</v>
      </c>
      <c r="C13" s="6">
        <f>countif('9A'!$O$2:$O$655, C$1)</f>
        <v>35</v>
      </c>
      <c r="D13" s="6">
        <f>countif('9A'!$O$2:$O$655, D$1)</f>
        <v>4</v>
      </c>
      <c r="E13" s="6">
        <f>countif('9A'!$O$2:$O$655, E$1)</f>
        <v>4</v>
      </c>
      <c r="F13" s="6">
        <f>countif('9A'!$O$2:$O$655, F$1)</f>
        <v>0</v>
      </c>
      <c r="G13" s="6">
        <f>countif('9A'!$O$2:$O$655, G$1)</f>
        <v>5</v>
      </c>
      <c r="H13" s="6">
        <f>countif('9A'!$O$2:$O$655, H$1)</f>
        <v>7</v>
      </c>
      <c r="I13" s="6">
        <f>countif('9A'!$O$2:$O$655, I$1)</f>
        <v>10</v>
      </c>
      <c r="J13" s="6">
        <f t="shared" si="19"/>
        <v>65</v>
      </c>
      <c r="K13" s="7">
        <f t="shared" si="6"/>
        <v>2.953846154</v>
      </c>
      <c r="N13" s="6">
        <f>countifs('9A'!$O$2:$O$655, N$1, '9A'!$B$2:$B$655, "&gt;"&amp;$L$2, '9A'!$B$2:$B$655, "&lt;"&amp;$M$2)</f>
        <v>0</v>
      </c>
      <c r="O13" s="6">
        <f>countifs('9A'!$O$2:$O$655, O$1, '9A'!$B$2:$B$655, "&gt;"&amp;$L$2, '9A'!$B$2:$B$655, "&lt;"&amp;$M$2)</f>
        <v>0</v>
      </c>
      <c r="P13" s="6">
        <f>countifs('9A'!$O$2:$O$655, P$1, '9A'!$B$2:$B$655, "&gt;"&amp;$L$2, '9A'!$B$2:$B$655, "&lt;"&amp;$M$2)</f>
        <v>0</v>
      </c>
      <c r="Q13" s="6">
        <f>countifs('9A'!$O$2:$O$655, Q$1, '9A'!$B$2:$B$655, "&gt;"&amp;$L$2, '9A'!$B$2:$B$655, "&lt;"&amp;$M$2)</f>
        <v>0</v>
      </c>
      <c r="R13" s="6">
        <f>countifs('9A'!$O$2:$O$655, R$1, '9A'!$B$2:$B$655, "&gt;"&amp;$L$2, '9A'!$B$2:$B$655, "&lt;"&amp;$M$2)</f>
        <v>0</v>
      </c>
      <c r="S13" s="6">
        <f>countifs('9A'!$O$2:$O$655, S$1, '9A'!$B$2:$B$655, "&gt;"&amp;$L$2, '9A'!$B$2:$B$655, "&lt;"&amp;$M$2)</f>
        <v>0</v>
      </c>
      <c r="T13" s="6">
        <f>countifs('9A'!$O$2:$O$655, T$1, '9A'!$B$2:$B$655, "&gt;"&amp;$L$2, '9A'!$B$2:$B$655, "&lt;"&amp;$M$2)</f>
        <v>0</v>
      </c>
      <c r="U13" s="6">
        <f>countifs('9A'!$O$2:$O$655, U$1, '9A'!$B$2:$B$655, "&gt;"&amp;$L$3, '9A'!$B$2:$B$655, "&lt;"&amp;$M$3)</f>
        <v>0</v>
      </c>
      <c r="V13" s="6">
        <f>countifs('9A'!$O$2:$O$655, V$1, '9A'!$B$2:$B$655, "&gt;"&amp;$L$3, '9A'!$B$2:$B$655, "&lt;"&amp;$M$3)</f>
        <v>0</v>
      </c>
      <c r="W13" s="6">
        <f>countifs('9A'!$O$2:$O$655, W$1, '9A'!$B$2:$B$655, "&gt;"&amp;$L$3, '9A'!$B$2:$B$655, "&lt;"&amp;$M$3)</f>
        <v>0</v>
      </c>
      <c r="X13" s="6">
        <f>countifs('9A'!$O$2:$O$655, X$1, '9A'!$B$2:$B$655, "&gt;"&amp;$L$3, '9A'!$B$2:$B$655, "&lt;"&amp;$M$3)</f>
        <v>0</v>
      </c>
      <c r="Y13" s="6">
        <f>countifs('9A'!$O$2:$O$655, Y$1, '9A'!$B$2:$B$655, "&gt;"&amp;$L$3, '9A'!$B$2:$B$655, "&lt;"&amp;$M$3)</f>
        <v>0</v>
      </c>
      <c r="Z13" s="6">
        <f>countifs('9A'!$O$2:$O$655, Z$1, '9A'!$B$2:$B$655, "&gt;"&amp;$L$3, '9A'!$B$2:$B$655, "&lt;"&amp;$M$3)</f>
        <v>0</v>
      </c>
      <c r="AA13" s="6">
        <f>countifs('9A'!$O$2:$O$655, AA$1, '9A'!$B$2:$B$655, "&gt;"&amp;$L$3, '9A'!$B$2:$B$655, "&lt;"&amp;$M$3)</f>
        <v>0</v>
      </c>
      <c r="AB13" s="6">
        <f>countifs('9A'!$O$2:$O$655, AB$1, '9A'!$B$2:$B$655, "&gt;"&amp;$L$4, '9A'!$B$2:$B$655, "&lt;"&amp;$M$4)</f>
        <v>0</v>
      </c>
      <c r="AC13" s="6">
        <f>countifs('9A'!$O$2:$O$655, AC$1, '9A'!$B$2:$B$655, "&gt;"&amp;$L$4, '9A'!$B$2:$B$655, "&lt;"&amp;$M$4)</f>
        <v>0</v>
      </c>
      <c r="AD13" s="6">
        <f>countifs('9A'!$O$2:$O$655, AD$1, '9A'!$B$2:$B$655, "&gt;"&amp;$L$4, '9A'!$B$2:$B$655, "&lt;"&amp;$M$4)</f>
        <v>0</v>
      </c>
      <c r="AE13" s="6">
        <f>countifs('9A'!$O$2:$O$655, AE$1, '9A'!$B$2:$B$655, "&gt;"&amp;$L$4, '9A'!$B$2:$B$655, "&lt;"&amp;$M$4)</f>
        <v>0</v>
      </c>
      <c r="AF13" s="6">
        <f>countifs('9A'!$O$2:$O$655, AF$1, '9A'!$B$2:$B$655, "&gt;"&amp;$L$4, '9A'!$B$2:$B$655, "&lt;"&amp;$M$4)</f>
        <v>0</v>
      </c>
      <c r="AG13" s="6">
        <f>countifs('9A'!$O$2:$O$655, AG$1, '9A'!$B$2:$B$655, "&gt;"&amp;$L$4, '9A'!$B$2:$B$655, "&lt;"&amp;$M$4)</f>
        <v>0</v>
      </c>
      <c r="AH13" s="6">
        <f>countifs('9A'!$O$2:$O$655, AH$1, '9A'!$B$2:$B$655, "&gt;"&amp;$L$4, '9A'!$B$2:$B$655, "&lt;"&amp;$M$4)</f>
        <v>0</v>
      </c>
      <c r="AI13" s="3">
        <v>8.0</v>
      </c>
      <c r="AJ13" s="3">
        <v>11.0</v>
      </c>
      <c r="AK13" s="3">
        <v>11.0</v>
      </c>
      <c r="AL13" s="7" t="str">
        <f>IFERROR(__xludf.DUMMYFUNCTION("AVERAGE.WEIGHTED($N$1:$T$1, N13:T13)"),"#DIV/0!")</f>
        <v>#DIV/0!</v>
      </c>
      <c r="AM13" s="7" t="str">
        <f>IFERROR(__xludf.DUMMYFUNCTION("AVERAGE.WEIGHTED($U$1:$AA$1, U13:AA13)"),"#DIV/0!")</f>
        <v>#DIV/0!</v>
      </c>
      <c r="AN13" s="7" t="str">
        <f>IFERROR(__xludf.DUMMYFUNCTION("AVERAGE.WEIGHTED($AB$1:$AH$1, AB13:AH13)"),"#DIV/0!")</f>
        <v>#DIV/0!</v>
      </c>
      <c r="AO13" s="7" t="str">
        <f t="shared" ref="AO13:AQ13" si="44">(AL13-1)*100/6</f>
        <v>#DIV/0!</v>
      </c>
      <c r="AP13" s="7" t="str">
        <f t="shared" si="44"/>
        <v>#DIV/0!</v>
      </c>
      <c r="AQ13" s="7" t="str">
        <f t="shared" si="44"/>
        <v>#DIV/0!</v>
      </c>
      <c r="AR13" s="8" t="str">
        <f t="shared" ref="AR13:AT13" si="45">average($AO13:$AQ13)</f>
        <v>#DIV/0!</v>
      </c>
      <c r="AS13" s="8" t="str">
        <f t="shared" si="45"/>
        <v>#DIV/0!</v>
      </c>
      <c r="AT13" s="8" t="str">
        <f t="shared" si="45"/>
        <v>#DIV/0!</v>
      </c>
      <c r="AU13" s="8" t="str">
        <f t="shared" si="10"/>
        <v>#DIV/0!</v>
      </c>
      <c r="AV13" s="6">
        <f>countifs('9A'!$O$2:$O$655, AV$1, '9A'!$C$2:$C$655, "Karl")</f>
        <v>10</v>
      </c>
      <c r="AW13" s="6">
        <f>countifs('9A'!$O$2:$O$655, AW$1, '9A'!$C$2:$C$655, "Karl")</f>
        <v>1</v>
      </c>
      <c r="AX13" s="6">
        <f>countifs('9A'!$O$2:$O$655, AX$1, '9A'!$C$2:$C$655, "Karl")</f>
        <v>1</v>
      </c>
      <c r="AY13" s="6">
        <f>countifs('9A'!$O$2:$O$655, AY$1, '9A'!$C$2:$C$655, "Karl")</f>
        <v>0</v>
      </c>
      <c r="AZ13" s="6">
        <f>countifs('9A'!$O$2:$O$655, AZ$1, '9A'!$C$2:$C$655, "Karl")</f>
        <v>2</v>
      </c>
      <c r="BA13" s="6">
        <f>countifs('9A'!$O$2:$O$655, BA$1, '9A'!$C$2:$C$655, "Karl")</f>
        <v>1</v>
      </c>
      <c r="BB13" s="6">
        <f>countifs('9A'!$O$2:$O$655, BB$1, '9A'!$C$2:$C$655, "Karl")</f>
        <v>3</v>
      </c>
      <c r="BC13" s="6">
        <f>countifs('9A'!$O$2:$O$655, BC$1, '9A'!$C$2:$C$655, "Kona")</f>
        <v>25</v>
      </c>
      <c r="BD13" s="6">
        <f>countifs('9A'!$O$2:$O$655, BD$1, '9A'!$C$2:$C$655, "Kona")</f>
        <v>3</v>
      </c>
      <c r="BE13" s="6">
        <f>countifs('9A'!$O$2:$O$655, BE$1, '9A'!$C$2:$C$655, "Kona")</f>
        <v>3</v>
      </c>
      <c r="BF13" s="6">
        <f>countifs('9A'!$O$2:$O$655, BF$1, '9A'!$C$2:$C$655, "Kona")</f>
        <v>0</v>
      </c>
      <c r="BG13" s="6">
        <f>countifs('9A'!$O$2:$O$655, BG$1, '9A'!$C$2:$C$655, "Kona")</f>
        <v>3</v>
      </c>
      <c r="BH13" s="6">
        <f>countifs('9A'!$O$2:$O$655, BH$1, '9A'!$C$2:$C$655, "Kona")</f>
        <v>6</v>
      </c>
      <c r="BI13" s="6">
        <f>countifs('9A'!$O$2:$O$655, BI$1, '9A'!$C$2:$C$655, "Kona")</f>
        <v>7</v>
      </c>
      <c r="BJ13" s="9">
        <v>18.0</v>
      </c>
      <c r="BK13" s="9">
        <v>47.0</v>
      </c>
      <c r="BL13" s="7">
        <f>IFERROR(__xludf.DUMMYFUNCTION("AVERAGE.WEIGHTED($AV$1:$BB$1,AV13:BB13)"),2.888888888888889)</f>
        <v>2.888888889</v>
      </c>
      <c r="BM13" s="7">
        <f>IFERROR(__xludf.DUMMYFUNCTION("AVERAGE.WEIGHTED($BC$1:$BI$1,BC13:BI13)"),2.978723404255319)</f>
        <v>2.978723404</v>
      </c>
      <c r="BN13" s="7">
        <f t="shared" ref="BN13:BO13" si="46">(BL13-1)*100/6</f>
        <v>31.48148148</v>
      </c>
      <c r="BO13" s="7">
        <f t="shared" si="46"/>
        <v>32.9787234</v>
      </c>
      <c r="BP13" s="7">
        <f t="shared" si="12"/>
        <v>32.23010244</v>
      </c>
      <c r="BQ13" s="7">
        <f t="shared" si="13"/>
        <v>32.23010244</v>
      </c>
      <c r="BR13" s="8">
        <f t="shared" si="14"/>
        <v>0.8520636889</v>
      </c>
    </row>
    <row r="14">
      <c r="A14" s="3">
        <v>13.0</v>
      </c>
      <c r="B14" s="1" t="s">
        <v>15</v>
      </c>
      <c r="C14" s="6">
        <f>countif('9A'!$P$2:$P$655, C$1)</f>
        <v>44</v>
      </c>
      <c r="D14" s="6">
        <f>countif('9A'!$P$2:$P$655, D$1)</f>
        <v>4</v>
      </c>
      <c r="E14" s="6">
        <f>countif('9A'!$P$2:$P$655, E$1)</f>
        <v>1</v>
      </c>
      <c r="F14" s="6">
        <f>countif('9A'!$P$2:$P$655, F$1)</f>
        <v>2</v>
      </c>
      <c r="G14" s="6">
        <f>countif('9A'!$P$2:$P$655, G$1)</f>
        <v>4</v>
      </c>
      <c r="H14" s="6">
        <f>countif('9A'!$P$2:$P$655, H$1)</f>
        <v>5</v>
      </c>
      <c r="I14" s="6">
        <f>countif('9A'!$P$2:$P$655, I$1)</f>
        <v>5</v>
      </c>
      <c r="J14" s="6">
        <f t="shared" si="19"/>
        <v>65</v>
      </c>
      <c r="K14" s="7">
        <f t="shared" si="6"/>
        <v>2.276923077</v>
      </c>
      <c r="N14" s="6">
        <f>countifs('9A'!$P$2:$P$655, N$1, '9A'!$B$2:$B$655, "&gt;"&amp;$L$2, '9A'!$B$2:$B$655, "&lt;"&amp;$M$2)</f>
        <v>0</v>
      </c>
      <c r="O14" s="6">
        <f>countifs('9A'!$P$2:$P$655, O$1, '9A'!$B$2:$B$655, "&gt;"&amp;$L$2, '9A'!$B$2:$B$655, "&lt;"&amp;$M$2)</f>
        <v>0</v>
      </c>
      <c r="P14" s="6">
        <f>countifs('9A'!$P$2:$P$655, P$1, '9A'!$B$2:$B$655, "&gt;"&amp;$L$2, '9A'!$B$2:$B$655, "&lt;"&amp;$M$2)</f>
        <v>0</v>
      </c>
      <c r="Q14" s="6">
        <f>countifs('9A'!$P$2:$P$655, Q$1, '9A'!$B$2:$B$655, "&gt;"&amp;$L$2, '9A'!$B$2:$B$655, "&lt;"&amp;$M$2)</f>
        <v>0</v>
      </c>
      <c r="R14" s="6">
        <f>countifs('9A'!$P$2:$P$655, R$1, '9A'!$B$2:$B$655, "&gt;"&amp;$L$2, '9A'!$B$2:$B$655, "&lt;"&amp;$M$2)</f>
        <v>0</v>
      </c>
      <c r="S14" s="6">
        <f>countifs('9A'!$P$2:$P$655, S$1, '9A'!$B$2:$B$655, "&gt;"&amp;$L$2, '9A'!$B$2:$B$655, "&lt;"&amp;$M$2)</f>
        <v>0</v>
      </c>
      <c r="T14" s="6">
        <f>countifs('9A'!$P$2:$P$655, T$1, '9A'!$B$2:$B$655, "&gt;"&amp;$L$2, '9A'!$B$2:$B$655, "&lt;"&amp;$M$2)</f>
        <v>0</v>
      </c>
      <c r="U14" s="6">
        <f>countifs('9A'!$P$2:$P$655, U$1, '9A'!$B$2:$B$655, "&gt;"&amp;$L$3, '9A'!$B$2:$B$655, "&lt;"&amp;$M$3)</f>
        <v>0</v>
      </c>
      <c r="V14" s="6">
        <f>countifs('9A'!$P$2:$P$655, V$1, '9A'!$B$2:$B$655, "&gt;"&amp;$L$3, '9A'!$B$2:$B$655, "&lt;"&amp;$M$3)</f>
        <v>0</v>
      </c>
      <c r="W14" s="6">
        <f>countifs('9A'!$P$2:$P$655, W$1, '9A'!$B$2:$B$655, "&gt;"&amp;$L$3, '9A'!$B$2:$B$655, "&lt;"&amp;$M$3)</f>
        <v>0</v>
      </c>
      <c r="X14" s="6">
        <f>countifs('9A'!$P$2:$P$655, X$1, '9A'!$B$2:$B$655, "&gt;"&amp;$L$3, '9A'!$B$2:$B$655, "&lt;"&amp;$M$3)</f>
        <v>0</v>
      </c>
      <c r="Y14" s="6">
        <f>countifs('9A'!$P$2:$P$655, Y$1, '9A'!$B$2:$B$655, "&gt;"&amp;$L$3, '9A'!$B$2:$B$655, "&lt;"&amp;$M$3)</f>
        <v>0</v>
      </c>
      <c r="Z14" s="6">
        <f>countifs('9A'!$P$2:$P$655, Z$1, '9A'!$B$2:$B$655, "&gt;"&amp;$L$3, '9A'!$B$2:$B$655, "&lt;"&amp;$M$3)</f>
        <v>0</v>
      </c>
      <c r="AA14" s="6">
        <f>countifs('9A'!$P$2:$P$655, AA$1, '9A'!$B$2:$B$655, "&gt;"&amp;$L$3, '9A'!$B$2:$B$655, "&lt;"&amp;$M$3)</f>
        <v>0</v>
      </c>
      <c r="AB14" s="6">
        <f>countifs('9A'!$P$2:$P$655, AB$1, '9A'!$B$2:$B$655, "&gt;"&amp;$L$4, '9A'!$B$2:$B$655, "&lt;"&amp;$M$4)</f>
        <v>0</v>
      </c>
      <c r="AC14" s="6">
        <f>countifs('9A'!$P$2:$P$655, AC$1, '9A'!$B$2:$B$655, "&gt;"&amp;$L$4, '9A'!$B$2:$B$655, "&lt;"&amp;$M$4)</f>
        <v>0</v>
      </c>
      <c r="AD14" s="6">
        <f>countifs('9A'!$P$2:$P$655, AD$1, '9A'!$B$2:$B$655, "&gt;"&amp;$L$4, '9A'!$B$2:$B$655, "&lt;"&amp;$M$4)</f>
        <v>0</v>
      </c>
      <c r="AE14" s="6">
        <f>countifs('9A'!$P$2:$P$655, AE$1, '9A'!$B$2:$B$655, "&gt;"&amp;$L$4, '9A'!$B$2:$B$655, "&lt;"&amp;$M$4)</f>
        <v>0</v>
      </c>
      <c r="AF14" s="6">
        <f>countifs('9A'!$P$2:$P$655, AF$1, '9A'!$B$2:$B$655, "&gt;"&amp;$L$4, '9A'!$B$2:$B$655, "&lt;"&amp;$M$4)</f>
        <v>0</v>
      </c>
      <c r="AG14" s="6">
        <f>countifs('9A'!$P$2:$P$655, AG$1, '9A'!$B$2:$B$655, "&gt;"&amp;$L$4, '9A'!$B$2:$B$655, "&lt;"&amp;$M$4)</f>
        <v>0</v>
      </c>
      <c r="AH14" s="6">
        <f>countifs('9A'!$P$2:$P$655, AH$1, '9A'!$B$2:$B$655, "&gt;"&amp;$L$4, '9A'!$B$2:$B$655, "&lt;"&amp;$M$4)</f>
        <v>0</v>
      </c>
      <c r="AI14" s="3">
        <v>8.0</v>
      </c>
      <c r="AJ14" s="3">
        <v>11.0</v>
      </c>
      <c r="AK14" s="3">
        <v>11.0</v>
      </c>
      <c r="AL14" s="7" t="str">
        <f>IFERROR(__xludf.DUMMYFUNCTION("AVERAGE.WEIGHTED($N$1:$T$1, N14:T14)"),"#DIV/0!")</f>
        <v>#DIV/0!</v>
      </c>
      <c r="AM14" s="7" t="str">
        <f>IFERROR(__xludf.DUMMYFUNCTION("AVERAGE.WEIGHTED($U$1:$AA$1, U14:AA14)"),"#DIV/0!")</f>
        <v>#DIV/0!</v>
      </c>
      <c r="AN14" s="7" t="str">
        <f>IFERROR(__xludf.DUMMYFUNCTION("AVERAGE.WEIGHTED($AB$1:$AH$1, AB14:AH14)"),"#DIV/0!")</f>
        <v>#DIV/0!</v>
      </c>
      <c r="AO14" s="7" t="str">
        <f t="shared" ref="AO14:AQ14" si="47">(AL14-1)*100/6</f>
        <v>#DIV/0!</v>
      </c>
      <c r="AP14" s="7" t="str">
        <f t="shared" si="47"/>
        <v>#DIV/0!</v>
      </c>
      <c r="AQ14" s="7" t="str">
        <f t="shared" si="47"/>
        <v>#DIV/0!</v>
      </c>
      <c r="AR14" s="8" t="str">
        <f t="shared" ref="AR14:AT14" si="48">average($AO14:$AQ14)</f>
        <v>#DIV/0!</v>
      </c>
      <c r="AS14" s="8" t="str">
        <f t="shared" si="48"/>
        <v>#DIV/0!</v>
      </c>
      <c r="AT14" s="8" t="str">
        <f t="shared" si="48"/>
        <v>#DIV/0!</v>
      </c>
      <c r="AU14" s="8" t="str">
        <f t="shared" si="10"/>
        <v>#DIV/0!</v>
      </c>
      <c r="AV14" s="6">
        <f>countifs('9A'!$P$2:$P$655, AV$1, '9A'!$C$2:$C$655, "Karl")</f>
        <v>11</v>
      </c>
      <c r="AW14" s="6">
        <f>countifs('9A'!$P$2:$P$655, AW$1, '9A'!$C$2:$C$655, "Karl")</f>
        <v>0</v>
      </c>
      <c r="AX14" s="6">
        <f>countifs('9A'!$P$2:$P$655, AX$1, '9A'!$C$2:$C$655, "Karl")</f>
        <v>0</v>
      </c>
      <c r="AY14" s="6">
        <f>countifs('9A'!$P$2:$P$655, AY$1, '9A'!$C$2:$C$655, "Karl")</f>
        <v>0</v>
      </c>
      <c r="AZ14" s="6">
        <f>countifs('9A'!$P$2:$P$655, AZ$1, '9A'!$C$2:$C$655, "Karl")</f>
        <v>3</v>
      </c>
      <c r="BA14" s="6">
        <f>countifs('9A'!$P$2:$P$655, BA$1, '9A'!$C$2:$C$655, "Karl")</f>
        <v>1</v>
      </c>
      <c r="BB14" s="6">
        <f>countifs('9A'!$P$2:$P$655, BB$1, '9A'!$C$2:$C$655, "Karl")</f>
        <v>3</v>
      </c>
      <c r="BC14" s="6">
        <f>countifs('9A'!$P$2:$P$655, BC$1, '9A'!$C$2:$C$655, "Kona")</f>
        <v>33</v>
      </c>
      <c r="BD14" s="6">
        <f>countifs('9A'!$P$2:$P$655, BD$1, '9A'!$C$2:$C$655, "Kona")</f>
        <v>4</v>
      </c>
      <c r="BE14" s="6">
        <f>countifs('9A'!$P$2:$P$655, BE$1, '9A'!$C$2:$C$655, "Kona")</f>
        <v>1</v>
      </c>
      <c r="BF14" s="6">
        <f>countifs('9A'!$P$2:$P$655, BF$1, '9A'!$C$2:$C$655, "Kona")</f>
        <v>2</v>
      </c>
      <c r="BG14" s="6">
        <f>countifs('9A'!$P$2:$P$655, BG$1, '9A'!$C$2:$C$655, "Kona")</f>
        <v>1</v>
      </c>
      <c r="BH14" s="6">
        <f>countifs('9A'!$P$2:$P$655, BH$1, '9A'!$C$2:$C$655, "Kona")</f>
        <v>4</v>
      </c>
      <c r="BI14" s="6">
        <f>countifs('9A'!$P$2:$P$655, BI$1, '9A'!$C$2:$C$655, "Kona")</f>
        <v>2</v>
      </c>
      <c r="BJ14" s="9">
        <v>18.0</v>
      </c>
      <c r="BK14" s="9">
        <v>47.0</v>
      </c>
      <c r="BL14" s="7">
        <f>IFERROR(__xludf.DUMMYFUNCTION("AVERAGE.WEIGHTED($AV$1:$BB$1,AV14:BB14)"),2.944444444444444)</f>
        <v>2.944444444</v>
      </c>
      <c r="BM14" s="7">
        <f>IFERROR(__xludf.DUMMYFUNCTION("AVERAGE.WEIGHTED($BC$1:$BI$1,BC14:BI14)"),2.021276595744681)</f>
        <v>2.021276596</v>
      </c>
      <c r="BN14" s="7">
        <f t="shared" ref="BN14:BO14" si="49">(BL14-1)*100/6</f>
        <v>32.40740741</v>
      </c>
      <c r="BO14" s="7">
        <f t="shared" si="49"/>
        <v>17.0212766</v>
      </c>
      <c r="BP14" s="7">
        <f t="shared" si="12"/>
        <v>24.714342</v>
      </c>
      <c r="BQ14" s="7">
        <f t="shared" si="13"/>
        <v>24.714342</v>
      </c>
      <c r="BR14" s="8">
        <f t="shared" si="14"/>
        <v>0.02863564128</v>
      </c>
    </row>
    <row r="15">
      <c r="A15" s="3">
        <v>14.0</v>
      </c>
      <c r="B15" s="1" t="s">
        <v>16</v>
      </c>
      <c r="C15" s="6">
        <f>countif('9A'!$Q$2:$Q$655, C$1)</f>
        <v>32</v>
      </c>
      <c r="D15" s="6">
        <f>countif('9A'!$Q$2:$Q$655, D$1)</f>
        <v>12</v>
      </c>
      <c r="E15" s="6">
        <f>countif('9A'!$Q$2:$Q$655, E$1)</f>
        <v>6</v>
      </c>
      <c r="F15" s="6">
        <f>countif('9A'!$Q$2:$Q$655, F$1)</f>
        <v>2</v>
      </c>
      <c r="G15" s="6">
        <f>countif('9A'!$Q$2:$Q$655, G$1)</f>
        <v>4</v>
      </c>
      <c r="H15" s="6">
        <f>countif('9A'!$Q$2:$Q$655, H$1)</f>
        <v>6</v>
      </c>
      <c r="I15" s="6">
        <f>countif('9A'!$Q$2:$Q$655, I$1)</f>
        <v>3</v>
      </c>
      <c r="J15" s="6">
        <f t="shared" si="19"/>
        <v>65</v>
      </c>
      <c r="K15" s="7">
        <f t="shared" si="6"/>
        <v>2.446153846</v>
      </c>
      <c r="N15" s="6">
        <f>countifs('9A'!$Q$2:$Q$655, N$1, '9A'!$B$2:$B$655, "&gt;"&amp;$L$2, '9A'!$B$2:$B$655, "&lt;"&amp;$M$2)</f>
        <v>0</v>
      </c>
      <c r="O15" s="6">
        <f>countifs('9A'!$Q$2:$Q$655, O$1, '9A'!$B$2:$B$655, "&gt;"&amp;$L$2, '9A'!$B$2:$B$655, "&lt;"&amp;$M$2)</f>
        <v>0</v>
      </c>
      <c r="P15" s="6">
        <f>countifs('9A'!$Q$2:$Q$655, P$1, '9A'!$B$2:$B$655, "&gt;"&amp;$L$2, '9A'!$B$2:$B$655, "&lt;"&amp;$M$2)</f>
        <v>0</v>
      </c>
      <c r="Q15" s="6">
        <f>countifs('9A'!$Q$2:$Q$655, Q$1, '9A'!$B$2:$B$655, "&gt;"&amp;$L$2, '9A'!$B$2:$B$655, "&lt;"&amp;$M$2)</f>
        <v>0</v>
      </c>
      <c r="R15" s="6">
        <f>countifs('9A'!$Q$2:$Q$655, R$1, '9A'!$B$2:$B$655, "&gt;"&amp;$L$2, '9A'!$B$2:$B$655, "&lt;"&amp;$M$2)</f>
        <v>0</v>
      </c>
      <c r="S15" s="6">
        <f>countifs('9A'!$Q$2:$Q$655, S$1, '9A'!$B$2:$B$655, "&gt;"&amp;$L$2, '9A'!$B$2:$B$655, "&lt;"&amp;$M$2)</f>
        <v>0</v>
      </c>
      <c r="T15" s="6">
        <f>countifs('9A'!$Q$2:$Q$655, T$1, '9A'!$B$2:$B$655, "&gt;"&amp;$L$2, '9A'!$B$2:$B$655, "&lt;"&amp;$M$2)</f>
        <v>0</v>
      </c>
      <c r="U15" s="6">
        <f>countifs('9A'!$Q$2:$Q$655, U$1, '9A'!$B$2:$B$655, "&gt;"&amp;$L$3, '9A'!$B$2:$B$655, "&lt;"&amp;$M$3)</f>
        <v>0</v>
      </c>
      <c r="V15" s="6">
        <f>countifs('9A'!$Q$2:$Q$655, V$1, '9A'!$B$2:$B$655, "&gt;"&amp;$L$3, '9A'!$B$2:$B$655, "&lt;"&amp;$M$3)</f>
        <v>0</v>
      </c>
      <c r="W15" s="6">
        <f>countifs('9A'!$Q$2:$Q$655, W$1, '9A'!$B$2:$B$655, "&gt;"&amp;$L$3, '9A'!$B$2:$B$655, "&lt;"&amp;$M$3)</f>
        <v>0</v>
      </c>
      <c r="X15" s="6">
        <f>countifs('9A'!$Q$2:$Q$655, X$1, '9A'!$B$2:$B$655, "&gt;"&amp;$L$3, '9A'!$B$2:$B$655, "&lt;"&amp;$M$3)</f>
        <v>0</v>
      </c>
      <c r="Y15" s="6">
        <f>countifs('9A'!$Q$2:$Q$655, Y$1, '9A'!$B$2:$B$655, "&gt;"&amp;$L$3, '9A'!$B$2:$B$655, "&lt;"&amp;$M$3)</f>
        <v>0</v>
      </c>
      <c r="Z15" s="6">
        <f>countifs('9A'!$Q$2:$Q$655, Z$1, '9A'!$B$2:$B$655, "&gt;"&amp;$L$3, '9A'!$B$2:$B$655, "&lt;"&amp;$M$3)</f>
        <v>0</v>
      </c>
      <c r="AA15" s="6">
        <f>countifs('9A'!$Q$2:$Q$655, AA$1, '9A'!$B$2:$B$655, "&gt;"&amp;$L$3, '9A'!$B$2:$B$655, "&lt;"&amp;$M$3)</f>
        <v>0</v>
      </c>
      <c r="AB15" s="6">
        <f>countifs('9A'!$Q$2:$Q$655, AB$1, '9A'!$B$2:$B$655, "&gt;"&amp;$L$4, '9A'!$B$2:$B$655, "&lt;"&amp;$M$4)</f>
        <v>0</v>
      </c>
      <c r="AC15" s="6">
        <f>countifs('9A'!$Q$2:$Q$655, AC$1, '9A'!$B$2:$B$655, "&gt;"&amp;$L$4, '9A'!$B$2:$B$655, "&lt;"&amp;$M$4)</f>
        <v>0</v>
      </c>
      <c r="AD15" s="6">
        <f>countifs('9A'!$Q$2:$Q$655, AD$1, '9A'!$B$2:$B$655, "&gt;"&amp;$L$4, '9A'!$B$2:$B$655, "&lt;"&amp;$M$4)</f>
        <v>0</v>
      </c>
      <c r="AE15" s="6">
        <f>countifs('9A'!$Q$2:$Q$655, AE$1, '9A'!$B$2:$B$655, "&gt;"&amp;$L$4, '9A'!$B$2:$B$655, "&lt;"&amp;$M$4)</f>
        <v>0</v>
      </c>
      <c r="AF15" s="6">
        <f>countifs('9A'!$Q$2:$Q$655, AF$1, '9A'!$B$2:$B$655, "&gt;"&amp;$L$4, '9A'!$B$2:$B$655, "&lt;"&amp;$M$4)</f>
        <v>0</v>
      </c>
      <c r="AG15" s="6">
        <f>countifs('9A'!$Q$2:$Q$655, AG$1, '9A'!$B$2:$B$655, "&gt;"&amp;$L$4, '9A'!$B$2:$B$655, "&lt;"&amp;$M$4)</f>
        <v>0</v>
      </c>
      <c r="AH15" s="6">
        <f>countifs('9A'!$Q$2:$Q$655, AH$1, '9A'!$B$2:$B$655, "&gt;"&amp;$L$4, '9A'!$B$2:$B$655, "&lt;"&amp;$M$4)</f>
        <v>0</v>
      </c>
      <c r="AI15" s="3">
        <v>8.0</v>
      </c>
      <c r="AJ15" s="3">
        <v>11.0</v>
      </c>
      <c r="AK15" s="3">
        <v>11.0</v>
      </c>
      <c r="AL15" s="7" t="str">
        <f>IFERROR(__xludf.DUMMYFUNCTION("AVERAGE.WEIGHTED($N$1:$T$1, N15:T15)"),"#DIV/0!")</f>
        <v>#DIV/0!</v>
      </c>
      <c r="AM15" s="7" t="str">
        <f>IFERROR(__xludf.DUMMYFUNCTION("AVERAGE.WEIGHTED($U$1:$AA$1, U15:AA15)"),"#DIV/0!")</f>
        <v>#DIV/0!</v>
      </c>
      <c r="AN15" s="7" t="str">
        <f>IFERROR(__xludf.DUMMYFUNCTION("AVERAGE.WEIGHTED($AB$1:$AH$1, AB15:AH15)"),"#DIV/0!")</f>
        <v>#DIV/0!</v>
      </c>
      <c r="AO15" s="7" t="str">
        <f t="shared" ref="AO15:AQ15" si="50">(AL15-1)*100/6</f>
        <v>#DIV/0!</v>
      </c>
      <c r="AP15" s="7" t="str">
        <f t="shared" si="50"/>
        <v>#DIV/0!</v>
      </c>
      <c r="AQ15" s="7" t="str">
        <f t="shared" si="50"/>
        <v>#DIV/0!</v>
      </c>
      <c r="AR15" s="8" t="str">
        <f t="shared" ref="AR15:AT15" si="51">average($AO15:$AQ15)</f>
        <v>#DIV/0!</v>
      </c>
      <c r="AS15" s="8" t="str">
        <f t="shared" si="51"/>
        <v>#DIV/0!</v>
      </c>
      <c r="AT15" s="8" t="str">
        <f t="shared" si="51"/>
        <v>#DIV/0!</v>
      </c>
      <c r="AU15" s="8" t="str">
        <f t="shared" si="10"/>
        <v>#DIV/0!</v>
      </c>
      <c r="AV15" s="6">
        <f>countifs('9A'!$Q$2:$Q$655, AV$1, '9A'!$C$2:$C$655, "Karl")</f>
        <v>11</v>
      </c>
      <c r="AW15" s="6">
        <f>countifs('9A'!$Q$2:$Q$655, AW$1, '9A'!$C$2:$C$655, "Karl")</f>
        <v>4</v>
      </c>
      <c r="AX15" s="6">
        <f>countifs('9A'!$Q$2:$Q$655, AX$1, '9A'!$C$2:$C$655, "Karl")</f>
        <v>1</v>
      </c>
      <c r="AY15" s="6">
        <f>countifs('9A'!$Q$2:$Q$655, AY$1, '9A'!$C$2:$C$655, "Karl")</f>
        <v>0</v>
      </c>
      <c r="AZ15" s="6">
        <f>countifs('9A'!$Q$2:$Q$655, AZ$1, '9A'!$C$2:$C$655, "Karl")</f>
        <v>0</v>
      </c>
      <c r="BA15" s="6">
        <f>countifs('9A'!$Q$2:$Q$655, BA$1, '9A'!$C$2:$C$655, "Karl")</f>
        <v>1</v>
      </c>
      <c r="BB15" s="6">
        <f>countifs('9A'!$Q$2:$Q$655, BB$1, '9A'!$C$2:$C$655, "Karl")</f>
        <v>1</v>
      </c>
      <c r="BC15" s="6">
        <f>countifs('9A'!$Q$2:$Q$655, BC$1, '9A'!$C$2:$C$655, "Kona")</f>
        <v>21</v>
      </c>
      <c r="BD15" s="6">
        <f>countifs('9A'!$Q$2:$Q$655, BD$1, '9A'!$C$2:$C$655, "Kona")</f>
        <v>8</v>
      </c>
      <c r="BE15" s="6">
        <f>countifs('9A'!$Q$2:$Q$655, BE$1, '9A'!$C$2:$C$655, "Kona")</f>
        <v>5</v>
      </c>
      <c r="BF15" s="6">
        <f>countifs('9A'!$Q$2:$Q$655, BF$1, '9A'!$C$2:$C$655, "Kona")</f>
        <v>2</v>
      </c>
      <c r="BG15" s="6">
        <f>countifs('9A'!$Q$2:$Q$655, BG$1, '9A'!$C$2:$C$655, "Kona")</f>
        <v>4</v>
      </c>
      <c r="BH15" s="6">
        <f>countifs('9A'!$Q$2:$Q$655, BH$1, '9A'!$C$2:$C$655, "Kona")</f>
        <v>5</v>
      </c>
      <c r="BI15" s="6">
        <f>countifs('9A'!$Q$2:$Q$655, BI$1, '9A'!$C$2:$C$655, "Kona")</f>
        <v>2</v>
      </c>
      <c r="BJ15" s="9">
        <v>18.0</v>
      </c>
      <c r="BK15" s="9">
        <v>47.0</v>
      </c>
      <c r="BL15" s="7">
        <f>IFERROR(__xludf.DUMMYFUNCTION("AVERAGE.WEIGHTED($AV$1:$BB$1,AV15:BB15)"),1.9444444444444444)</f>
        <v>1.944444444</v>
      </c>
      <c r="BM15" s="7">
        <f>IFERROR(__xludf.DUMMYFUNCTION("AVERAGE.WEIGHTED($BC$1:$BI$1,BC15:BI15)"),2.638297872340426)</f>
        <v>2.638297872</v>
      </c>
      <c r="BN15" s="7">
        <f t="shared" ref="BN15:BO15" si="52">(BL15-1)*100/6</f>
        <v>15.74074074</v>
      </c>
      <c r="BO15" s="7">
        <f t="shared" si="52"/>
        <v>27.30496454</v>
      </c>
      <c r="BP15" s="7">
        <f t="shared" si="12"/>
        <v>21.52285264</v>
      </c>
      <c r="BQ15" s="7">
        <f t="shared" si="13"/>
        <v>21.52285264</v>
      </c>
      <c r="BR15" s="8">
        <f t="shared" si="14"/>
        <v>0.07796947853</v>
      </c>
    </row>
    <row r="16">
      <c r="A16" s="3">
        <v>15.0</v>
      </c>
      <c r="B16" s="1" t="s">
        <v>17</v>
      </c>
      <c r="C16" s="6">
        <f>countif('9A'!$R$2:$R$655, C$1)</f>
        <v>26</v>
      </c>
      <c r="D16" s="6">
        <f>countif('9A'!$R$2:$R$655, D$1)</f>
        <v>5</v>
      </c>
      <c r="E16" s="6">
        <f>countif('9A'!$R$2:$R$655, E$1)</f>
        <v>5</v>
      </c>
      <c r="F16" s="6">
        <f>countif('9A'!$R$2:$R$655, F$1)</f>
        <v>1</v>
      </c>
      <c r="G16" s="6">
        <f>countif('9A'!$R$2:$R$655, G$1)</f>
        <v>4</v>
      </c>
      <c r="H16" s="6">
        <f>countif('9A'!$R$2:$R$655, H$1)</f>
        <v>9</v>
      </c>
      <c r="I16" s="6">
        <f>countif('9A'!$R$2:$R$655, I$1)</f>
        <v>15</v>
      </c>
      <c r="J16" s="6">
        <f t="shared" si="19"/>
        <v>65</v>
      </c>
      <c r="K16" s="7">
        <f t="shared" si="6"/>
        <v>3.6</v>
      </c>
      <c r="N16" s="6">
        <f>countifs('9A'!$R$2:$R$655, N$1, '9A'!$B$2:$B$655, "&gt;"&amp;$L$2, '9A'!$B$2:$B$655, "&lt;"&amp;$M$2)</f>
        <v>0</v>
      </c>
      <c r="O16" s="6">
        <f>countifs('9A'!$R$2:$R$655, O$1, '9A'!$B$2:$B$655, "&gt;"&amp;$L$2, '9A'!$B$2:$B$655, "&lt;"&amp;$M$2)</f>
        <v>0</v>
      </c>
      <c r="P16" s="6">
        <f>countifs('9A'!$R$2:$R$655, P$1, '9A'!$B$2:$B$655, "&gt;"&amp;$L$2, '9A'!$B$2:$B$655, "&lt;"&amp;$M$2)</f>
        <v>0</v>
      </c>
      <c r="Q16" s="6">
        <f>countifs('9A'!$R$2:$R$655, Q$1, '9A'!$B$2:$B$655, "&gt;"&amp;$L$2, '9A'!$B$2:$B$655, "&lt;"&amp;$M$2)</f>
        <v>0</v>
      </c>
      <c r="R16" s="6">
        <f>countifs('9A'!$R$2:$R$655, R$1, '9A'!$B$2:$B$655, "&gt;"&amp;$L$2, '9A'!$B$2:$B$655, "&lt;"&amp;$M$2)</f>
        <v>0</v>
      </c>
      <c r="S16" s="6">
        <f>countifs('9A'!$R$2:$R$655, S$1, '9A'!$B$2:$B$655, "&gt;"&amp;$L$2, '9A'!$B$2:$B$655, "&lt;"&amp;$M$2)</f>
        <v>0</v>
      </c>
      <c r="T16" s="6">
        <f>countifs('9A'!$R$2:$R$655, T$1, '9A'!$B$2:$B$655, "&gt;"&amp;$L$2, '9A'!$B$2:$B$655, "&lt;"&amp;$M$2)</f>
        <v>0</v>
      </c>
      <c r="U16" s="6">
        <f>countifs('9A'!$R$2:$R$655, U$1, '9A'!$B$2:$B$655, "&gt;"&amp;$L$3, '9A'!$B$2:$B$655, "&lt;"&amp;$M$3)</f>
        <v>0</v>
      </c>
      <c r="V16" s="6">
        <f>countifs('9A'!$R$2:$R$655, V$1, '9A'!$B$2:$B$655, "&gt;"&amp;$L$3, '9A'!$B$2:$B$655, "&lt;"&amp;$M$3)</f>
        <v>0</v>
      </c>
      <c r="W16" s="6">
        <f>countifs('9A'!$R$2:$R$655, W$1, '9A'!$B$2:$B$655, "&gt;"&amp;$L$3, '9A'!$B$2:$B$655, "&lt;"&amp;$M$3)</f>
        <v>0</v>
      </c>
      <c r="X16" s="6">
        <f>countifs('9A'!$R$2:$R$655, X$1, '9A'!$B$2:$B$655, "&gt;"&amp;$L$3, '9A'!$B$2:$B$655, "&lt;"&amp;$M$3)</f>
        <v>0</v>
      </c>
      <c r="Y16" s="6">
        <f>countifs('9A'!$R$2:$R$655, Y$1, '9A'!$B$2:$B$655, "&gt;"&amp;$L$3, '9A'!$B$2:$B$655, "&lt;"&amp;$M$3)</f>
        <v>0</v>
      </c>
      <c r="Z16" s="6">
        <f>countifs('9A'!$R$2:$R$655, Z$1, '9A'!$B$2:$B$655, "&gt;"&amp;$L$3, '9A'!$B$2:$B$655, "&lt;"&amp;$M$3)</f>
        <v>0</v>
      </c>
      <c r="AA16" s="6">
        <f>countifs('9A'!$R$2:$R$655, AA$1, '9A'!$B$2:$B$655, "&gt;"&amp;$L$3, '9A'!$B$2:$B$655, "&lt;"&amp;$M$3)</f>
        <v>0</v>
      </c>
      <c r="AB16" s="6">
        <f>countifs('9A'!$R$2:$R$655, AB$1, '9A'!$B$2:$B$655, "&gt;"&amp;$L$4, '9A'!$B$2:$B$655, "&lt;"&amp;$M$4)</f>
        <v>0</v>
      </c>
      <c r="AC16" s="6">
        <f>countifs('9A'!$R$2:$R$655, AC$1, '9A'!$B$2:$B$655, "&gt;"&amp;$L$4, '9A'!$B$2:$B$655, "&lt;"&amp;$M$4)</f>
        <v>0</v>
      </c>
      <c r="AD16" s="6">
        <f>countifs('9A'!$R$2:$R$655, AD$1, '9A'!$B$2:$B$655, "&gt;"&amp;$L$4, '9A'!$B$2:$B$655, "&lt;"&amp;$M$4)</f>
        <v>0</v>
      </c>
      <c r="AE16" s="6">
        <f>countifs('9A'!$R$2:$R$655, AE$1, '9A'!$B$2:$B$655, "&gt;"&amp;$L$4, '9A'!$B$2:$B$655, "&lt;"&amp;$M$4)</f>
        <v>0</v>
      </c>
      <c r="AF16" s="6">
        <f>countifs('9A'!$R$2:$R$655, AF$1, '9A'!$B$2:$B$655, "&gt;"&amp;$L$4, '9A'!$B$2:$B$655, "&lt;"&amp;$M$4)</f>
        <v>0</v>
      </c>
      <c r="AG16" s="6">
        <f>countifs('9A'!$R$2:$R$655, AG$1, '9A'!$B$2:$B$655, "&gt;"&amp;$L$4, '9A'!$B$2:$B$655, "&lt;"&amp;$M$4)</f>
        <v>0</v>
      </c>
      <c r="AH16" s="6">
        <f>countifs('9A'!$R$2:$R$655, AH$1, '9A'!$B$2:$B$655, "&gt;"&amp;$L$4, '9A'!$B$2:$B$655, "&lt;"&amp;$M$4)</f>
        <v>0</v>
      </c>
      <c r="AI16" s="3">
        <v>8.0</v>
      </c>
      <c r="AJ16" s="3">
        <v>11.0</v>
      </c>
      <c r="AK16" s="3">
        <v>11.0</v>
      </c>
      <c r="AL16" s="7" t="str">
        <f>IFERROR(__xludf.DUMMYFUNCTION("AVERAGE.WEIGHTED($N$1:$T$1, N16:T16)"),"#DIV/0!")</f>
        <v>#DIV/0!</v>
      </c>
      <c r="AM16" s="7" t="str">
        <f>IFERROR(__xludf.DUMMYFUNCTION("AVERAGE.WEIGHTED($U$1:$AA$1, U16:AA16)"),"#DIV/0!")</f>
        <v>#DIV/0!</v>
      </c>
      <c r="AN16" s="7" t="str">
        <f>IFERROR(__xludf.DUMMYFUNCTION("AVERAGE.WEIGHTED($AB$1:$AH$1, AB16:AH16)"),"#DIV/0!")</f>
        <v>#DIV/0!</v>
      </c>
      <c r="AO16" s="7" t="str">
        <f t="shared" ref="AO16:AQ16" si="53">(AL16-1)*100/6</f>
        <v>#DIV/0!</v>
      </c>
      <c r="AP16" s="7" t="str">
        <f t="shared" si="53"/>
        <v>#DIV/0!</v>
      </c>
      <c r="AQ16" s="7" t="str">
        <f t="shared" si="53"/>
        <v>#DIV/0!</v>
      </c>
      <c r="AR16" s="8" t="str">
        <f t="shared" ref="AR16:AT16" si="54">average($AO16:$AQ16)</f>
        <v>#DIV/0!</v>
      </c>
      <c r="AS16" s="8" t="str">
        <f t="shared" si="54"/>
        <v>#DIV/0!</v>
      </c>
      <c r="AT16" s="8" t="str">
        <f t="shared" si="54"/>
        <v>#DIV/0!</v>
      </c>
      <c r="AU16" s="8" t="str">
        <f t="shared" si="10"/>
        <v>#DIV/0!</v>
      </c>
      <c r="AV16" s="6">
        <f>countifs('9A'!$R$2:$R$655, AV$1, '9A'!$C$2:$C$655, "Karl")</f>
        <v>9</v>
      </c>
      <c r="AW16" s="6">
        <f>countifs('9A'!$R$2:$R$655, AW$1, '9A'!$C$2:$C$655, "Karl")</f>
        <v>1</v>
      </c>
      <c r="AX16" s="6">
        <f>countifs('9A'!$R$2:$R$655, AX$1, '9A'!$C$2:$C$655, "Karl")</f>
        <v>2</v>
      </c>
      <c r="AY16" s="6">
        <f>countifs('9A'!$R$2:$R$655, AY$1, '9A'!$C$2:$C$655, "Karl")</f>
        <v>0</v>
      </c>
      <c r="AZ16" s="6">
        <f>countifs('9A'!$R$2:$R$655, AZ$1, '9A'!$C$2:$C$655, "Karl")</f>
        <v>1</v>
      </c>
      <c r="BA16" s="6">
        <f>countifs('9A'!$R$2:$R$655, BA$1, '9A'!$C$2:$C$655, "Karl")</f>
        <v>2</v>
      </c>
      <c r="BB16" s="6">
        <f>countifs('9A'!$R$2:$R$655, BB$1, '9A'!$C$2:$C$655, "Karl")</f>
        <v>3</v>
      </c>
      <c r="BC16" s="6">
        <f>countifs('9A'!$R$2:$R$655, BC$1, '9A'!$C$2:$C$655, "Kona")</f>
        <v>17</v>
      </c>
      <c r="BD16" s="6">
        <f>countifs('9A'!$R$2:$R$655, BD$1, '9A'!$C$2:$C$655, "Kona")</f>
        <v>4</v>
      </c>
      <c r="BE16" s="6">
        <f>countifs('9A'!$R$2:$R$655, BE$1, '9A'!$C$2:$C$655, "Kona")</f>
        <v>3</v>
      </c>
      <c r="BF16" s="6">
        <f>countifs('9A'!$R$2:$R$655, BF$1, '9A'!$C$2:$C$655, "Kona")</f>
        <v>1</v>
      </c>
      <c r="BG16" s="6">
        <f>countifs('9A'!$R$2:$R$655, BG$1, '9A'!$C$2:$C$655, "Kona")</f>
        <v>3</v>
      </c>
      <c r="BH16" s="6">
        <f>countifs('9A'!$R$2:$R$655, BH$1, '9A'!$C$2:$C$655, "Kona")</f>
        <v>7</v>
      </c>
      <c r="BI16" s="6">
        <f>countifs('9A'!$R$2:$R$655, BI$1, '9A'!$C$2:$C$655, "Kona")</f>
        <v>12</v>
      </c>
      <c r="BJ16" s="9">
        <v>18.0</v>
      </c>
      <c r="BK16" s="9">
        <v>47.0</v>
      </c>
      <c r="BL16" s="7">
        <f>IFERROR(__xludf.DUMMYFUNCTION("AVERAGE.WEIGHTED($AV$1:$BB$1,AV16:BB16)"),3.0555555555555554)</f>
        <v>3.055555556</v>
      </c>
      <c r="BM16" s="7">
        <f>IFERROR(__xludf.DUMMYFUNCTION("AVERAGE.WEIGHTED($BC$1:$BI$1,BC16:BI16)"),3.808510638297872)</f>
        <v>3.808510638</v>
      </c>
      <c r="BN16" s="7">
        <f t="shared" ref="BN16:BO16" si="55">(BL16-1)*100/6</f>
        <v>34.25925926</v>
      </c>
      <c r="BO16" s="7">
        <f t="shared" si="55"/>
        <v>46.80851064</v>
      </c>
      <c r="BP16" s="7">
        <f t="shared" si="12"/>
        <v>40.53388495</v>
      </c>
      <c r="BQ16" s="7">
        <f t="shared" si="13"/>
        <v>40.53388495</v>
      </c>
      <c r="BR16" s="8">
        <f t="shared" si="14"/>
        <v>0.163384556</v>
      </c>
    </row>
    <row r="17">
      <c r="A17" s="3">
        <v>16.0</v>
      </c>
      <c r="B17" s="1" t="s">
        <v>18</v>
      </c>
      <c r="C17" s="6">
        <f>countif('9A'!$S$2:$S$655, C$1)</f>
        <v>8</v>
      </c>
      <c r="D17" s="6">
        <f>countif('9A'!$S$2:$S$655, D$1)</f>
        <v>3</v>
      </c>
      <c r="E17" s="6">
        <f>countif('9A'!$S$2:$S$655, E$1)</f>
        <v>2</v>
      </c>
      <c r="F17" s="6">
        <f>countif('9A'!$S$2:$S$655, F$1)</f>
        <v>2</v>
      </c>
      <c r="G17" s="6">
        <f>countif('9A'!$S$2:$S$655, G$1)</f>
        <v>11</v>
      </c>
      <c r="H17" s="6">
        <f>countif('9A'!$S$2:$S$655, H$1)</f>
        <v>7</v>
      </c>
      <c r="I17" s="6">
        <f>countif('9A'!$S$2:$S$655, I$1)</f>
        <v>32</v>
      </c>
      <c r="J17" s="6">
        <f t="shared" ref="J17:J26" si="59">SUM(C17:I17)</f>
        <v>65</v>
      </c>
      <c r="K17" s="7">
        <f t="shared" si="6"/>
        <v>5.369230769</v>
      </c>
      <c r="N17" s="6">
        <f>countifs('9A'!$S$2:$S$655, N$1, '9A'!$B$2:$B$655, "&gt;"&amp;$L$2, '9A'!$B$2:$B$655, "&lt;"&amp;$M$2)</f>
        <v>0</v>
      </c>
      <c r="O17" s="6">
        <f>countifs('9A'!$S$2:$S$655, O$1, '9A'!$B$2:$B$655, "&gt;"&amp;$L$2, '9A'!$B$2:$B$655, "&lt;"&amp;$M$2)</f>
        <v>0</v>
      </c>
      <c r="P17" s="6">
        <f>countifs('9A'!$S$2:$S$655, P$1, '9A'!$B$2:$B$655, "&gt;"&amp;$L$2, '9A'!$B$2:$B$655, "&lt;"&amp;$M$2)</f>
        <v>0</v>
      </c>
      <c r="Q17" s="6">
        <f>countifs('9A'!$S$2:$S$655, Q$1, '9A'!$B$2:$B$655, "&gt;"&amp;$L$2, '9A'!$B$2:$B$655, "&lt;"&amp;$M$2)</f>
        <v>0</v>
      </c>
      <c r="R17" s="6">
        <f>countifs('9A'!$S$2:$S$655, R$1, '9A'!$B$2:$B$655, "&gt;"&amp;$L$2, '9A'!$B$2:$B$655, "&lt;"&amp;$M$2)</f>
        <v>0</v>
      </c>
      <c r="S17" s="6">
        <f>countifs('9A'!$S$2:$S$655, S$1, '9A'!$B$2:$B$655, "&gt;"&amp;$L$2, '9A'!$B$2:$B$655, "&lt;"&amp;$M$2)</f>
        <v>0</v>
      </c>
      <c r="T17" s="6">
        <f>countifs('9A'!$S$2:$S$655, T$1, '9A'!$B$2:$B$655, "&gt;"&amp;$L$2, '9A'!$B$2:$B$655, "&lt;"&amp;$M$2)</f>
        <v>0</v>
      </c>
      <c r="U17" s="6">
        <f>countifs('9A'!$S$2:$S$655, U$1, '9A'!$B$2:$B$655, "&gt;"&amp;$L$3, '9A'!$B$2:$B$655, "&lt;"&amp;$M$3)</f>
        <v>0</v>
      </c>
      <c r="V17" s="6">
        <f>countifs('9A'!$S$2:$S$655, V$1, '9A'!$B$2:$B$655, "&gt;"&amp;$L$3, '9A'!$B$2:$B$655, "&lt;"&amp;$M$3)</f>
        <v>0</v>
      </c>
      <c r="W17" s="6">
        <f>countifs('9A'!$S$2:$S$655, W$1, '9A'!$B$2:$B$655, "&gt;"&amp;$L$3, '9A'!$B$2:$B$655, "&lt;"&amp;$M$3)</f>
        <v>0</v>
      </c>
      <c r="X17" s="6">
        <f>countifs('9A'!$S$2:$S$655, X$1, '9A'!$B$2:$B$655, "&gt;"&amp;$L$3, '9A'!$B$2:$B$655, "&lt;"&amp;$M$3)</f>
        <v>0</v>
      </c>
      <c r="Y17" s="6">
        <f>countifs('9A'!$S$2:$S$655, Y$1, '9A'!$B$2:$B$655, "&gt;"&amp;$L$3, '9A'!$B$2:$B$655, "&lt;"&amp;$M$3)</f>
        <v>0</v>
      </c>
      <c r="Z17" s="6">
        <f>countifs('9A'!$S$2:$S$655, Z$1, '9A'!$B$2:$B$655, "&gt;"&amp;$L$3, '9A'!$B$2:$B$655, "&lt;"&amp;$M$3)</f>
        <v>0</v>
      </c>
      <c r="AA17" s="6">
        <f>countifs('9A'!$S$2:$S$655, AA$1, '9A'!$B$2:$B$655, "&gt;"&amp;$L$3, '9A'!$B$2:$B$655, "&lt;"&amp;$M$3)</f>
        <v>0</v>
      </c>
      <c r="AB17" s="6">
        <f>countifs('9A'!$S$2:$S$655, AB$1, '9A'!$B$2:$B$655, "&gt;"&amp;$L$4, '9A'!$B$2:$B$655, "&lt;"&amp;$M$4)</f>
        <v>0</v>
      </c>
      <c r="AC17" s="6">
        <f>countifs('9A'!$S$2:$S$655, AC$1, '9A'!$B$2:$B$655, "&gt;"&amp;$L$4, '9A'!$B$2:$B$655, "&lt;"&amp;$M$4)</f>
        <v>0</v>
      </c>
      <c r="AD17" s="6">
        <f>countifs('9A'!$S$2:$S$655, AD$1, '9A'!$B$2:$B$655, "&gt;"&amp;$L$4, '9A'!$B$2:$B$655, "&lt;"&amp;$M$4)</f>
        <v>0</v>
      </c>
      <c r="AE17" s="6">
        <f>countifs('9A'!$S$2:$S$655, AE$1, '9A'!$B$2:$B$655, "&gt;"&amp;$L$4, '9A'!$B$2:$B$655, "&lt;"&amp;$M$4)</f>
        <v>0</v>
      </c>
      <c r="AF17" s="6">
        <f>countifs('9A'!$S$2:$S$655, AF$1, '9A'!$B$2:$B$655, "&gt;"&amp;$L$4, '9A'!$B$2:$B$655, "&lt;"&amp;$M$4)</f>
        <v>0</v>
      </c>
      <c r="AG17" s="6">
        <f>countifs('9A'!$S$2:$S$655, AG$1, '9A'!$B$2:$B$655, "&gt;"&amp;$L$4, '9A'!$B$2:$B$655, "&lt;"&amp;$M$4)</f>
        <v>0</v>
      </c>
      <c r="AH17" s="6">
        <f>countifs('9A'!$S$2:$S$655, AH$1, '9A'!$B$2:$B$655, "&gt;"&amp;$L$4, '9A'!$B$2:$B$655, "&lt;"&amp;$M$4)</f>
        <v>0</v>
      </c>
      <c r="AI17" s="3">
        <v>8.0</v>
      </c>
      <c r="AJ17" s="3">
        <v>11.0</v>
      </c>
      <c r="AK17" s="3">
        <v>11.0</v>
      </c>
      <c r="AL17" s="7" t="str">
        <f>IFERROR(__xludf.DUMMYFUNCTION("AVERAGE.WEIGHTED($N$1:$T$1, N17:T17)"),"#DIV/0!")</f>
        <v>#DIV/0!</v>
      </c>
      <c r="AM17" s="7" t="str">
        <f>IFERROR(__xludf.DUMMYFUNCTION("AVERAGE.WEIGHTED($U$1:$AA$1, U17:AA17)"),"#DIV/0!")</f>
        <v>#DIV/0!</v>
      </c>
      <c r="AN17" s="7" t="str">
        <f>IFERROR(__xludf.DUMMYFUNCTION("AVERAGE.WEIGHTED($AB$1:$AH$1, AB17:AH17)"),"#DIV/0!")</f>
        <v>#DIV/0!</v>
      </c>
      <c r="AO17" s="7" t="str">
        <f t="shared" ref="AO17:AQ17" si="56">(AL17-1)*100/6</f>
        <v>#DIV/0!</v>
      </c>
      <c r="AP17" s="7" t="str">
        <f t="shared" si="56"/>
        <v>#DIV/0!</v>
      </c>
      <c r="AQ17" s="7" t="str">
        <f t="shared" si="56"/>
        <v>#DIV/0!</v>
      </c>
      <c r="AR17" s="8" t="str">
        <f t="shared" ref="AR17:AT17" si="57">average($AO17:$AQ17)</f>
        <v>#DIV/0!</v>
      </c>
      <c r="AS17" s="8" t="str">
        <f t="shared" si="57"/>
        <v>#DIV/0!</v>
      </c>
      <c r="AT17" s="8" t="str">
        <f t="shared" si="57"/>
        <v>#DIV/0!</v>
      </c>
      <c r="AU17" s="8" t="str">
        <f t="shared" si="10"/>
        <v>#DIV/0!</v>
      </c>
      <c r="AV17" s="6">
        <f>countifs('9A'!$S$2:$S$655, AV$1, '9A'!$C$2:$C$655, "Karl")</f>
        <v>2</v>
      </c>
      <c r="AW17" s="6">
        <f>countifs('9A'!$S$2:$S$655, AW$1, '9A'!$C$2:$C$655, "Karl")</f>
        <v>1</v>
      </c>
      <c r="AX17" s="6">
        <f>countifs('9A'!$S$2:$S$655, AX$1, '9A'!$C$2:$C$655, "Karl")</f>
        <v>0</v>
      </c>
      <c r="AY17" s="6">
        <f>countifs('9A'!$S$2:$S$655, AY$1, '9A'!$C$2:$C$655, "Karl")</f>
        <v>1</v>
      </c>
      <c r="AZ17" s="6">
        <f>countifs('9A'!$S$2:$S$655, AZ$1, '9A'!$C$2:$C$655, "Karl")</f>
        <v>2</v>
      </c>
      <c r="BA17" s="6">
        <f>countifs('9A'!$S$2:$S$655, BA$1, '9A'!$C$2:$C$655, "Karl")</f>
        <v>2</v>
      </c>
      <c r="BB17" s="6">
        <f>countifs('9A'!$S$2:$S$655, BB$1, '9A'!$C$2:$C$655, "Karl")</f>
        <v>10</v>
      </c>
      <c r="BC17" s="6">
        <f>countifs('9A'!$S$2:$S$655, BC$1, '9A'!$C$2:$C$655, "Kona")</f>
        <v>6</v>
      </c>
      <c r="BD17" s="6">
        <f>countifs('9A'!$S$2:$S$655, BD$1, '9A'!$C$2:$C$655, "Kona")</f>
        <v>2</v>
      </c>
      <c r="BE17" s="6">
        <f>countifs('9A'!$S$2:$S$655, BE$1, '9A'!$C$2:$C$655, "Kona")</f>
        <v>2</v>
      </c>
      <c r="BF17" s="6">
        <f>countifs('9A'!$S$2:$S$655, BF$1, '9A'!$C$2:$C$655, "Kona")</f>
        <v>1</v>
      </c>
      <c r="BG17" s="6">
        <f>countifs('9A'!$S$2:$S$655, BG$1, '9A'!$C$2:$C$655, "Kona")</f>
        <v>9</v>
      </c>
      <c r="BH17" s="6">
        <f>countifs('9A'!$S$2:$S$655, BH$1, '9A'!$C$2:$C$655, "Kona")</f>
        <v>5</v>
      </c>
      <c r="BI17" s="6">
        <f>countifs('9A'!$S$2:$S$655, BI$1, '9A'!$C$2:$C$655, "Kona")</f>
        <v>22</v>
      </c>
      <c r="BJ17" s="9">
        <v>18.0</v>
      </c>
      <c r="BK17" s="9">
        <v>47.0</v>
      </c>
      <c r="BL17" s="7">
        <f>IFERROR(__xludf.DUMMYFUNCTION("AVERAGE.WEIGHTED($AV$1:$BB$1,AV17:BB17)"),5.555555555555555)</f>
        <v>5.555555556</v>
      </c>
      <c r="BM17" s="7">
        <f>IFERROR(__xludf.DUMMYFUNCTION("AVERAGE.WEIGHTED($BC$1:$BI$1,BC17:BI17)"),5.297872340425532)</f>
        <v>5.29787234</v>
      </c>
      <c r="BN17" s="7">
        <f t="shared" ref="BN17:BO17" si="58">(BL17-1)*100/6</f>
        <v>75.92592593</v>
      </c>
      <c r="BO17" s="7">
        <f t="shared" si="58"/>
        <v>71.63120567</v>
      </c>
      <c r="BP17" s="7">
        <f t="shared" si="12"/>
        <v>73.7785658</v>
      </c>
      <c r="BQ17" s="7">
        <f t="shared" si="13"/>
        <v>73.7785658</v>
      </c>
      <c r="BR17" s="8">
        <f t="shared" si="14"/>
        <v>0.7236737492</v>
      </c>
    </row>
    <row r="18">
      <c r="A18" s="3">
        <v>17.0</v>
      </c>
      <c r="B18" s="1" t="s">
        <v>19</v>
      </c>
      <c r="C18" s="6">
        <f>countif('9A'!$T$2:$T$655, C$1)</f>
        <v>3</v>
      </c>
      <c r="D18" s="6">
        <f>countif('9A'!$T$2:$T$655, D$1)</f>
        <v>1</v>
      </c>
      <c r="E18" s="6">
        <f>countif('9A'!$T$2:$T$655, E$1)</f>
        <v>3</v>
      </c>
      <c r="F18" s="6">
        <f>countif('9A'!$T$2:$T$655, F$1)</f>
        <v>2</v>
      </c>
      <c r="G18" s="6">
        <f>countif('9A'!$T$2:$T$655, G$1)</f>
        <v>3</v>
      </c>
      <c r="H18" s="6">
        <f>countif('9A'!$T$2:$T$655, H$1)</f>
        <v>13</v>
      </c>
      <c r="I18" s="6">
        <f>countif('9A'!$T$2:$T$655, I$1)</f>
        <v>40</v>
      </c>
      <c r="J18" s="6">
        <f t="shared" si="59"/>
        <v>65</v>
      </c>
      <c r="K18" s="7">
        <f t="shared" si="6"/>
        <v>6.076923077</v>
      </c>
      <c r="N18" s="6">
        <f>countifs('9A'!$T$2:$T$655, N$1, '9A'!$B$2:$B$655, "&gt;"&amp;$L$2, '9A'!$B$2:$B$655, "&lt;"&amp;$M$2)</f>
        <v>0</v>
      </c>
      <c r="O18" s="6">
        <f>countifs('9A'!$T$2:$T$655, O$1, '9A'!$B$2:$B$655, "&gt;"&amp;$L$2, '9A'!$B$2:$B$655, "&lt;"&amp;$M$2)</f>
        <v>0</v>
      </c>
      <c r="P18" s="6">
        <f>countifs('9A'!$T$2:$T$655, P$1, '9A'!$B$2:$B$655, "&gt;"&amp;$L$2, '9A'!$B$2:$B$655, "&lt;"&amp;$M$2)</f>
        <v>0</v>
      </c>
      <c r="Q18" s="6">
        <f>countifs('9A'!$T$2:$T$655, Q$1, '9A'!$B$2:$B$655, "&gt;"&amp;$L$2, '9A'!$B$2:$B$655, "&lt;"&amp;$M$2)</f>
        <v>0</v>
      </c>
      <c r="R18" s="6">
        <f>countifs('9A'!$T$2:$T$655, R$1, '9A'!$B$2:$B$655, "&gt;"&amp;$L$2, '9A'!$B$2:$B$655, "&lt;"&amp;$M$2)</f>
        <v>0</v>
      </c>
      <c r="S18" s="6">
        <f>countifs('9A'!$T$2:$T$655, S$1, '9A'!$B$2:$B$655, "&gt;"&amp;$L$2, '9A'!$B$2:$B$655, "&lt;"&amp;$M$2)</f>
        <v>0</v>
      </c>
      <c r="T18" s="6">
        <f>countifs('9A'!$T$2:$T$655, T$1, '9A'!$B$2:$B$655, "&gt;"&amp;$L$2, '9A'!$B$2:$B$655, "&lt;"&amp;$M$2)</f>
        <v>0</v>
      </c>
      <c r="U18" s="6">
        <f>countifs('9A'!$T$2:$T$655, U$1, '9A'!$B$2:$B$655, "&gt;"&amp;$L$3, '9A'!$B$2:$B$655, "&lt;"&amp;$M$3)</f>
        <v>0</v>
      </c>
      <c r="V18" s="6">
        <f>countifs('9A'!$T$2:$T$655, V$1, '9A'!$B$2:$B$655, "&gt;"&amp;$L$3, '9A'!$B$2:$B$655, "&lt;"&amp;$M$3)</f>
        <v>0</v>
      </c>
      <c r="W18" s="6">
        <f>countifs('9A'!$T$2:$T$655, W$1, '9A'!$B$2:$B$655, "&gt;"&amp;$L$3, '9A'!$B$2:$B$655, "&lt;"&amp;$M$3)</f>
        <v>0</v>
      </c>
      <c r="X18" s="6">
        <f>countifs('9A'!$T$2:$T$655, X$1, '9A'!$B$2:$B$655, "&gt;"&amp;$L$3, '9A'!$B$2:$B$655, "&lt;"&amp;$M$3)</f>
        <v>0</v>
      </c>
      <c r="Y18" s="6">
        <f>countifs('9A'!$T$2:$T$655, Y$1, '9A'!$B$2:$B$655, "&gt;"&amp;$L$3, '9A'!$B$2:$B$655, "&lt;"&amp;$M$3)</f>
        <v>0</v>
      </c>
      <c r="Z18" s="6">
        <f>countifs('9A'!$T$2:$T$655, Z$1, '9A'!$B$2:$B$655, "&gt;"&amp;$L$3, '9A'!$B$2:$B$655, "&lt;"&amp;$M$3)</f>
        <v>0</v>
      </c>
      <c r="AA18" s="6">
        <f>countifs('9A'!$T$2:$T$655, AA$1, '9A'!$B$2:$B$655, "&gt;"&amp;$L$3, '9A'!$B$2:$B$655, "&lt;"&amp;$M$3)</f>
        <v>0</v>
      </c>
      <c r="AB18" s="6">
        <f>countifs('9A'!$T$2:$T$655, AB$1, '9A'!$B$2:$B$655, "&gt;"&amp;$L$4, '9A'!$B$2:$B$655, "&lt;"&amp;$M$4)</f>
        <v>0</v>
      </c>
      <c r="AC18" s="6">
        <f>countifs('9A'!$T$2:$T$655, AC$1, '9A'!$B$2:$B$655, "&gt;"&amp;$L$4, '9A'!$B$2:$B$655, "&lt;"&amp;$M$4)</f>
        <v>0</v>
      </c>
      <c r="AD18" s="6">
        <f>countifs('9A'!$T$2:$T$655, AD$1, '9A'!$B$2:$B$655, "&gt;"&amp;$L$4, '9A'!$B$2:$B$655, "&lt;"&amp;$M$4)</f>
        <v>0</v>
      </c>
      <c r="AE18" s="6">
        <f>countifs('9A'!$T$2:$T$655, AE$1, '9A'!$B$2:$B$655, "&gt;"&amp;$L$4, '9A'!$B$2:$B$655, "&lt;"&amp;$M$4)</f>
        <v>0</v>
      </c>
      <c r="AF18" s="6">
        <f>countifs('9A'!$T$2:$T$655, AF$1, '9A'!$B$2:$B$655, "&gt;"&amp;$L$4, '9A'!$B$2:$B$655, "&lt;"&amp;$M$4)</f>
        <v>0</v>
      </c>
      <c r="AG18" s="6">
        <f>countifs('9A'!$T$2:$T$655, AG$1, '9A'!$B$2:$B$655, "&gt;"&amp;$L$4, '9A'!$B$2:$B$655, "&lt;"&amp;$M$4)</f>
        <v>0</v>
      </c>
      <c r="AH18" s="6">
        <f>countifs('9A'!$T$2:$T$655, AH$1, '9A'!$B$2:$B$655, "&gt;"&amp;$L$4, '9A'!$B$2:$B$655, "&lt;"&amp;$M$4)</f>
        <v>0</v>
      </c>
      <c r="AI18" s="3">
        <v>8.0</v>
      </c>
      <c r="AJ18" s="3">
        <v>11.0</v>
      </c>
      <c r="AK18" s="3">
        <v>11.0</v>
      </c>
      <c r="AL18" s="7" t="str">
        <f>IFERROR(__xludf.DUMMYFUNCTION("AVERAGE.WEIGHTED($N$1:$T$1, N18:T18)"),"#DIV/0!")</f>
        <v>#DIV/0!</v>
      </c>
      <c r="AM18" s="7" t="str">
        <f>IFERROR(__xludf.DUMMYFUNCTION("AVERAGE.WEIGHTED($U$1:$AA$1, U18:AA18)"),"#DIV/0!")</f>
        <v>#DIV/0!</v>
      </c>
      <c r="AN18" s="7" t="str">
        <f>IFERROR(__xludf.DUMMYFUNCTION("AVERAGE.WEIGHTED($AB$1:$AH$1, AB18:AH18)"),"#DIV/0!")</f>
        <v>#DIV/0!</v>
      </c>
      <c r="AO18" s="7" t="str">
        <f t="shared" ref="AO18:AQ18" si="60">(AL18-1)*100/6</f>
        <v>#DIV/0!</v>
      </c>
      <c r="AP18" s="7" t="str">
        <f t="shared" si="60"/>
        <v>#DIV/0!</v>
      </c>
      <c r="AQ18" s="7" t="str">
        <f t="shared" si="60"/>
        <v>#DIV/0!</v>
      </c>
      <c r="AR18" s="8" t="str">
        <f t="shared" ref="AR18:AT18" si="61">average($AO18:$AQ18)</f>
        <v>#DIV/0!</v>
      </c>
      <c r="AS18" s="8" t="str">
        <f t="shared" si="61"/>
        <v>#DIV/0!</v>
      </c>
      <c r="AT18" s="8" t="str">
        <f t="shared" si="61"/>
        <v>#DIV/0!</v>
      </c>
      <c r="AU18" s="8" t="str">
        <f t="shared" si="10"/>
        <v>#DIV/0!</v>
      </c>
      <c r="AV18" s="6">
        <f>countifs('9A'!$T$2:$T$655, AV$1, '9A'!$C$2:$C$655, "Karl")</f>
        <v>1</v>
      </c>
      <c r="AW18" s="6">
        <f>countifs('9A'!$T$2:$T$655, AW$1, '9A'!$C$2:$C$655, "Karl")</f>
        <v>0</v>
      </c>
      <c r="AX18" s="6">
        <f>countifs('9A'!$T$2:$T$655, AX$1, '9A'!$C$2:$C$655, "Karl")</f>
        <v>1</v>
      </c>
      <c r="AY18" s="6">
        <f>countifs('9A'!$T$2:$T$655, AY$1, '9A'!$C$2:$C$655, "Karl")</f>
        <v>0</v>
      </c>
      <c r="AZ18" s="6">
        <f>countifs('9A'!$T$2:$T$655, AZ$1, '9A'!$C$2:$C$655, "Karl")</f>
        <v>1</v>
      </c>
      <c r="BA18" s="6">
        <f>countifs('9A'!$T$2:$T$655, BA$1, '9A'!$C$2:$C$655, "Karl")</f>
        <v>3</v>
      </c>
      <c r="BB18" s="6">
        <f>countifs('9A'!$T$2:$T$655, BB$1, '9A'!$C$2:$C$655, "Karl")</f>
        <v>12</v>
      </c>
      <c r="BC18" s="6">
        <f>countifs('9A'!$T$2:$T$655, BC$1, '9A'!$C$2:$C$655, "Kona")</f>
        <v>2</v>
      </c>
      <c r="BD18" s="6">
        <f>countifs('9A'!$T$2:$T$655, BD$1, '9A'!$C$2:$C$655, "Kona")</f>
        <v>1</v>
      </c>
      <c r="BE18" s="6">
        <f>countifs('9A'!$T$2:$T$655, BE$1, '9A'!$C$2:$C$655, "Kona")</f>
        <v>2</v>
      </c>
      <c r="BF18" s="6">
        <f>countifs('9A'!$T$2:$T$655, BF$1, '9A'!$C$2:$C$655, "Kona")</f>
        <v>2</v>
      </c>
      <c r="BG18" s="6">
        <f>countifs('9A'!$T$2:$T$655, BG$1, '9A'!$C$2:$C$655, "Kona")</f>
        <v>2</v>
      </c>
      <c r="BH18" s="6">
        <f>countifs('9A'!$T$2:$T$655, BH$1, '9A'!$C$2:$C$655, "Kona")</f>
        <v>10</v>
      </c>
      <c r="BI18" s="6">
        <f>countifs('9A'!$T$2:$T$655, BI$1, '9A'!$C$2:$C$655, "Kona")</f>
        <v>28</v>
      </c>
      <c r="BJ18" s="9">
        <v>18.0</v>
      </c>
      <c r="BK18" s="9">
        <v>47.0</v>
      </c>
      <c r="BL18" s="7">
        <f>IFERROR(__xludf.DUMMYFUNCTION("AVERAGE.WEIGHTED($AV$1:$BB$1,AV18:BB18)"),6.166666666666667)</f>
        <v>6.166666667</v>
      </c>
      <c r="BM18" s="7">
        <f>IFERROR(__xludf.DUMMYFUNCTION("AVERAGE.WEIGHTED($BC$1:$BI$1,BC18:BI18)"),6.042553191489362)</f>
        <v>6.042553191</v>
      </c>
      <c r="BN18" s="7">
        <f t="shared" ref="BN18:BO18" si="62">(BL18-1)*100/6</f>
        <v>86.11111111</v>
      </c>
      <c r="BO18" s="7">
        <f t="shared" si="62"/>
        <v>84.04255319</v>
      </c>
      <c r="BP18" s="7">
        <f t="shared" si="12"/>
        <v>85.07683215</v>
      </c>
      <c r="BQ18" s="7">
        <f t="shared" si="13"/>
        <v>85.07683215</v>
      </c>
      <c r="BR18" s="8">
        <f t="shared" si="14"/>
        <v>0.8740001844</v>
      </c>
    </row>
    <row r="19">
      <c r="A19" s="3">
        <v>18.0</v>
      </c>
      <c r="B19" s="1" t="s">
        <v>20</v>
      </c>
      <c r="C19" s="6">
        <f>countif('9A'!$U$2:$U$655, C$1)</f>
        <v>59</v>
      </c>
      <c r="D19" s="6">
        <f>countif('9A'!$U$2:$U$655, D$1)</f>
        <v>2</v>
      </c>
      <c r="E19" s="6">
        <f>countif('9A'!$U$2:$U$655, E$1)</f>
        <v>0</v>
      </c>
      <c r="F19" s="6">
        <f>countif('9A'!$U$2:$U$655, F$1)</f>
        <v>0</v>
      </c>
      <c r="G19" s="6">
        <f>countif('9A'!$U$2:$U$655, G$1)</f>
        <v>2</v>
      </c>
      <c r="H19" s="6">
        <f>countif('9A'!$U$2:$U$655, H$1)</f>
        <v>1</v>
      </c>
      <c r="I19" s="6">
        <f>countif('9A'!$U$2:$U$655, I$1)</f>
        <v>1</v>
      </c>
      <c r="J19" s="6">
        <f t="shared" si="59"/>
        <v>65</v>
      </c>
      <c r="K19" s="7">
        <f t="shared" si="6"/>
        <v>1.323076923</v>
      </c>
      <c r="N19" s="6">
        <f>countifs('9A'!$U$2:$U$655, N$1, '9A'!$B$2:$B$655, "&gt;"&amp;$L$2, '9A'!$B$2:$B$655, "&lt;"&amp;$M$2)</f>
        <v>0</v>
      </c>
      <c r="O19" s="6">
        <f>countifs('9A'!$U$2:$U$655, O$1, '9A'!$B$2:$B$655, "&gt;"&amp;$L$2, '9A'!$B$2:$B$655, "&lt;"&amp;$M$2)</f>
        <v>0</v>
      </c>
      <c r="P19" s="6">
        <f>countifs('9A'!$U$2:$U$655, P$1, '9A'!$B$2:$B$655, "&gt;"&amp;$L$2, '9A'!$B$2:$B$655, "&lt;"&amp;$M$2)</f>
        <v>0</v>
      </c>
      <c r="Q19" s="6">
        <f>countifs('9A'!$U$2:$U$655, Q$1, '9A'!$B$2:$B$655, "&gt;"&amp;$L$2, '9A'!$B$2:$B$655, "&lt;"&amp;$M$2)</f>
        <v>0</v>
      </c>
      <c r="R19" s="6">
        <f>countifs('9A'!$U$2:$U$655, R$1, '9A'!$B$2:$B$655, "&gt;"&amp;$L$2, '9A'!$B$2:$B$655, "&lt;"&amp;$M$2)</f>
        <v>0</v>
      </c>
      <c r="S19" s="6">
        <f>countifs('9A'!$U$2:$U$655, S$1, '9A'!$B$2:$B$655, "&gt;"&amp;$L$2, '9A'!$B$2:$B$655, "&lt;"&amp;$M$2)</f>
        <v>0</v>
      </c>
      <c r="T19" s="6">
        <f>countifs('9A'!$U$2:$U$655, T$1, '9A'!$B$2:$B$655, "&gt;"&amp;$L$2, '9A'!$B$2:$B$655, "&lt;"&amp;$M$2)</f>
        <v>0</v>
      </c>
      <c r="U19" s="6">
        <f>countifs('9A'!$U$2:$U$655, U$1, '9A'!$B$2:$B$655, "&gt;"&amp;$L$3, '9A'!$B$2:$B$655, "&lt;"&amp;$M$3)</f>
        <v>0</v>
      </c>
      <c r="V19" s="6">
        <f>countifs('9A'!$U$2:$U$655, V$1, '9A'!$B$2:$B$655, "&gt;"&amp;$L$3, '9A'!$B$2:$B$655, "&lt;"&amp;$M$3)</f>
        <v>0</v>
      </c>
      <c r="W19" s="6">
        <f>countifs('9A'!$U$2:$U$655, W$1, '9A'!$B$2:$B$655, "&gt;"&amp;$L$3, '9A'!$B$2:$B$655, "&lt;"&amp;$M$3)</f>
        <v>0</v>
      </c>
      <c r="X19" s="6">
        <f>countifs('9A'!$U$2:$U$655, X$1, '9A'!$B$2:$B$655, "&gt;"&amp;$L$3, '9A'!$B$2:$B$655, "&lt;"&amp;$M$3)</f>
        <v>0</v>
      </c>
      <c r="Y19" s="6">
        <f>countifs('9A'!$U$2:$U$655, Y$1, '9A'!$B$2:$B$655, "&gt;"&amp;$L$3, '9A'!$B$2:$B$655, "&lt;"&amp;$M$3)</f>
        <v>0</v>
      </c>
      <c r="Z19" s="6">
        <f>countifs('9A'!$U$2:$U$655, Z$1, '9A'!$B$2:$B$655, "&gt;"&amp;$L$3, '9A'!$B$2:$B$655, "&lt;"&amp;$M$3)</f>
        <v>0</v>
      </c>
      <c r="AA19" s="6">
        <f>countifs('9A'!$U$2:$U$655, AA$1, '9A'!$B$2:$B$655, "&gt;"&amp;$L$3, '9A'!$B$2:$B$655, "&lt;"&amp;$M$3)</f>
        <v>0</v>
      </c>
      <c r="AB19" s="6">
        <f>countifs('9A'!$U$2:$U$655, AB$1, '9A'!$B$2:$B$655, "&gt;"&amp;$L$4, '9A'!$B$2:$B$655, "&lt;"&amp;$M$4)</f>
        <v>0</v>
      </c>
      <c r="AC19" s="6">
        <f>countifs('9A'!$U$2:$U$655, AC$1, '9A'!$B$2:$B$655, "&gt;"&amp;$L$4, '9A'!$B$2:$B$655, "&lt;"&amp;$M$4)</f>
        <v>0</v>
      </c>
      <c r="AD19" s="6">
        <f>countifs('9A'!$U$2:$U$655, AD$1, '9A'!$B$2:$B$655, "&gt;"&amp;$L$4, '9A'!$B$2:$B$655, "&lt;"&amp;$M$4)</f>
        <v>0</v>
      </c>
      <c r="AE19" s="6">
        <f>countifs('9A'!$U$2:$U$655, AE$1, '9A'!$B$2:$B$655, "&gt;"&amp;$L$4, '9A'!$B$2:$B$655, "&lt;"&amp;$M$4)</f>
        <v>0</v>
      </c>
      <c r="AF19" s="6">
        <f>countifs('9A'!$U$2:$U$655, AF$1, '9A'!$B$2:$B$655, "&gt;"&amp;$L$4, '9A'!$B$2:$B$655, "&lt;"&amp;$M$4)</f>
        <v>0</v>
      </c>
      <c r="AG19" s="6">
        <f>countifs('9A'!$U$2:$U$655, AG$1, '9A'!$B$2:$B$655, "&gt;"&amp;$L$4, '9A'!$B$2:$B$655, "&lt;"&amp;$M$4)</f>
        <v>0</v>
      </c>
      <c r="AH19" s="6">
        <f>countifs('9A'!$U$2:$U$655, AH$1, '9A'!$B$2:$B$655, "&gt;"&amp;$L$4, '9A'!$B$2:$B$655, "&lt;"&amp;$M$4)</f>
        <v>0</v>
      </c>
      <c r="AI19" s="3">
        <v>8.0</v>
      </c>
      <c r="AJ19" s="3">
        <v>11.0</v>
      </c>
      <c r="AK19" s="3">
        <v>11.0</v>
      </c>
      <c r="AL19" s="7" t="str">
        <f>IFERROR(__xludf.DUMMYFUNCTION("AVERAGE.WEIGHTED($N$1:$T$1, N19:T19)"),"#DIV/0!")</f>
        <v>#DIV/0!</v>
      </c>
      <c r="AM19" s="7" t="str">
        <f>IFERROR(__xludf.DUMMYFUNCTION("AVERAGE.WEIGHTED($U$1:$AA$1, U19:AA19)"),"#DIV/0!")</f>
        <v>#DIV/0!</v>
      </c>
      <c r="AN19" s="7" t="str">
        <f>IFERROR(__xludf.DUMMYFUNCTION("AVERAGE.WEIGHTED($AB$1:$AH$1, AB19:AH19)"),"#DIV/0!")</f>
        <v>#DIV/0!</v>
      </c>
      <c r="AO19" s="7" t="str">
        <f t="shared" ref="AO19:AQ19" si="63">(AL19-1)*100/6</f>
        <v>#DIV/0!</v>
      </c>
      <c r="AP19" s="7" t="str">
        <f t="shared" si="63"/>
        <v>#DIV/0!</v>
      </c>
      <c r="AQ19" s="7" t="str">
        <f t="shared" si="63"/>
        <v>#DIV/0!</v>
      </c>
      <c r="AR19" s="8" t="str">
        <f t="shared" ref="AR19:AT19" si="64">average($AO19:$AQ19)</f>
        <v>#DIV/0!</v>
      </c>
      <c r="AS19" s="8" t="str">
        <f t="shared" si="64"/>
        <v>#DIV/0!</v>
      </c>
      <c r="AT19" s="8" t="str">
        <f t="shared" si="64"/>
        <v>#DIV/0!</v>
      </c>
      <c r="AU19" s="8" t="str">
        <f t="shared" si="10"/>
        <v>#DIV/0!</v>
      </c>
      <c r="AV19" s="6">
        <f>countifs('9A'!$U$2:$U$655, AV$1, '9A'!$C$2:$C$655, "Karl")</f>
        <v>17</v>
      </c>
      <c r="AW19" s="6">
        <f>countifs('9A'!$U$2:$U$655, AW$1, '9A'!$C$2:$C$655, "Karl")</f>
        <v>0</v>
      </c>
      <c r="AX19" s="6">
        <f>countifs('9A'!$U$2:$U$655, AX$1, '9A'!$C$2:$C$655, "Karl")</f>
        <v>0</v>
      </c>
      <c r="AY19" s="6">
        <f>countifs('9A'!$U$2:$U$655, AY$1, '9A'!$C$2:$C$655, "Karl")</f>
        <v>0</v>
      </c>
      <c r="AZ19" s="6">
        <f>countifs('9A'!$U$2:$U$655, AZ$1, '9A'!$C$2:$C$655, "Karl")</f>
        <v>0</v>
      </c>
      <c r="BA19" s="6">
        <f>countifs('9A'!$U$2:$U$655, BA$1, '9A'!$C$2:$C$655, "Karl")</f>
        <v>1</v>
      </c>
      <c r="BB19" s="6">
        <f>countifs('9A'!$U$2:$U$655, BB$1, '9A'!$C$2:$C$655, "Karl")</f>
        <v>0</v>
      </c>
      <c r="BC19" s="6">
        <f>countifs('9A'!$U$2:$U$655, BC$1, '9A'!$C$2:$C$655, "Kona")</f>
        <v>42</v>
      </c>
      <c r="BD19" s="6">
        <f>countifs('9A'!$U$2:$U$655, BD$1, '9A'!$C$2:$C$655, "Kona")</f>
        <v>2</v>
      </c>
      <c r="BE19" s="6">
        <f>countifs('9A'!$U$2:$U$655, BE$1, '9A'!$C$2:$C$655, "Kona")</f>
        <v>0</v>
      </c>
      <c r="BF19" s="6">
        <f>countifs('9A'!$U$2:$U$655, BF$1, '9A'!$C$2:$C$655, "Kona")</f>
        <v>0</v>
      </c>
      <c r="BG19" s="6">
        <f>countifs('9A'!$U$2:$U$655, BG$1, '9A'!$C$2:$C$655, "Kona")</f>
        <v>2</v>
      </c>
      <c r="BH19" s="6">
        <f>countifs('9A'!$U$2:$U$655, BH$1, '9A'!$C$2:$C$655, "Kona")</f>
        <v>0</v>
      </c>
      <c r="BI19" s="6">
        <f>countifs('9A'!$U$2:$U$655, BI$1, '9A'!$C$2:$C$655, "Kona")</f>
        <v>1</v>
      </c>
      <c r="BJ19" s="9">
        <v>18.0</v>
      </c>
      <c r="BK19" s="9">
        <v>47.0</v>
      </c>
      <c r="BL19" s="7">
        <f>IFERROR(__xludf.DUMMYFUNCTION("AVERAGE.WEIGHTED($AV$1:$BB$1,AV19:BB19)"),1.2777777777777777)</f>
        <v>1.277777778</v>
      </c>
      <c r="BM19" s="7">
        <f>IFERROR(__xludf.DUMMYFUNCTION("AVERAGE.WEIGHTED($BC$1:$BI$1,BC19:BI19)"),1.3404255319148937)</f>
        <v>1.340425532</v>
      </c>
      <c r="BN19" s="7">
        <f t="shared" ref="BN19:BO19" si="65">(BL19-1)*100/6</f>
        <v>4.62962963</v>
      </c>
      <c r="BO19" s="7">
        <f t="shared" si="65"/>
        <v>5.673758865</v>
      </c>
      <c r="BP19" s="7">
        <f t="shared" si="12"/>
        <v>5.151694247</v>
      </c>
      <c r="BQ19" s="7">
        <f t="shared" si="13"/>
        <v>5.151694247</v>
      </c>
      <c r="BR19" s="8">
        <f t="shared" si="14"/>
        <v>0.7449652795</v>
      </c>
    </row>
    <row r="20">
      <c r="A20" s="3">
        <v>19.0</v>
      </c>
      <c r="B20" s="1" t="s">
        <v>21</v>
      </c>
      <c r="C20" s="6">
        <f>countif('9A'!$V$2:$V$655, C$1)</f>
        <v>33</v>
      </c>
      <c r="D20" s="6">
        <f>countif('9A'!$V$2:$V$655, D$1)</f>
        <v>6</v>
      </c>
      <c r="E20" s="6">
        <f>countif('9A'!$V$2:$V$655, E$1)</f>
        <v>11</v>
      </c>
      <c r="F20" s="6">
        <f>countif('9A'!$V$2:$V$655, F$1)</f>
        <v>1</v>
      </c>
      <c r="G20" s="6">
        <f>countif('9A'!$V$2:$V$655, G$1)</f>
        <v>3</v>
      </c>
      <c r="H20" s="6">
        <f>countif('9A'!$V$2:$V$655, H$1)</f>
        <v>5</v>
      </c>
      <c r="I20" s="6">
        <f>countif('9A'!$V$2:$V$655, I$1)</f>
        <v>6</v>
      </c>
      <c r="J20" s="6">
        <f t="shared" si="59"/>
        <v>65</v>
      </c>
      <c r="K20" s="7">
        <f t="shared" si="6"/>
        <v>2.6</v>
      </c>
      <c r="N20" s="6">
        <f>countifs('9A'!$V$2:$V$655, N$1, '9A'!$B$2:$B$655, "&gt;"&amp;$L$2, '9A'!$B$2:$B$655, "&lt;"&amp;$M$2)</f>
        <v>0</v>
      </c>
      <c r="O20" s="6">
        <f>countifs('9A'!$V$2:$V$655, O$1, '9A'!$B$2:$B$655, "&gt;"&amp;$L$2, '9A'!$B$2:$B$655, "&lt;"&amp;$M$2)</f>
        <v>0</v>
      </c>
      <c r="P20" s="6">
        <f>countifs('9A'!$V$2:$V$655, P$1, '9A'!$B$2:$B$655, "&gt;"&amp;$L$2, '9A'!$B$2:$B$655, "&lt;"&amp;$M$2)</f>
        <v>0</v>
      </c>
      <c r="Q20" s="6">
        <f>countifs('9A'!$V$2:$V$655, Q$1, '9A'!$B$2:$B$655, "&gt;"&amp;$L$2, '9A'!$B$2:$B$655, "&lt;"&amp;$M$2)</f>
        <v>0</v>
      </c>
      <c r="R20" s="6">
        <f>countifs('9A'!$V$2:$V$655, R$1, '9A'!$B$2:$B$655, "&gt;"&amp;$L$2, '9A'!$B$2:$B$655, "&lt;"&amp;$M$2)</f>
        <v>0</v>
      </c>
      <c r="S20" s="6">
        <f>countifs('9A'!$V$2:$V$655, S$1, '9A'!$B$2:$B$655, "&gt;"&amp;$L$2, '9A'!$B$2:$B$655, "&lt;"&amp;$M$2)</f>
        <v>0</v>
      </c>
      <c r="T20" s="6">
        <f>countifs('9A'!$V$2:$V$655, T$1, '9A'!$B$2:$B$655, "&gt;"&amp;$L$2, '9A'!$B$2:$B$655, "&lt;"&amp;$M$2)</f>
        <v>0</v>
      </c>
      <c r="U20" s="6">
        <f>countifs('9A'!$V$2:$V$655, U$1, '9A'!$B$2:$B$655, "&gt;"&amp;$L$3, '9A'!$B$2:$B$655, "&lt;"&amp;$M$3)</f>
        <v>0</v>
      </c>
      <c r="V20" s="6">
        <f>countifs('9A'!$V$2:$V$655, V$1, '9A'!$B$2:$B$655, "&gt;"&amp;$L$3, '9A'!$B$2:$B$655, "&lt;"&amp;$M$3)</f>
        <v>0</v>
      </c>
      <c r="W20" s="6">
        <f>countifs('9A'!$V$2:$V$655, W$1, '9A'!$B$2:$B$655, "&gt;"&amp;$L$3, '9A'!$B$2:$B$655, "&lt;"&amp;$M$3)</f>
        <v>0</v>
      </c>
      <c r="X20" s="6">
        <f>countifs('9A'!$V$2:$V$655, X$1, '9A'!$B$2:$B$655, "&gt;"&amp;$L$3, '9A'!$B$2:$B$655, "&lt;"&amp;$M$3)</f>
        <v>0</v>
      </c>
      <c r="Y20" s="6">
        <f>countifs('9A'!$V$2:$V$655, Y$1, '9A'!$B$2:$B$655, "&gt;"&amp;$L$3, '9A'!$B$2:$B$655, "&lt;"&amp;$M$3)</f>
        <v>0</v>
      </c>
      <c r="Z20" s="6">
        <f>countifs('9A'!$V$2:$V$655, Z$1, '9A'!$B$2:$B$655, "&gt;"&amp;$L$3, '9A'!$B$2:$B$655, "&lt;"&amp;$M$3)</f>
        <v>0</v>
      </c>
      <c r="AA20" s="6">
        <f>countifs('9A'!$V$2:$V$655, AA$1, '9A'!$B$2:$B$655, "&gt;"&amp;$L$3, '9A'!$B$2:$B$655, "&lt;"&amp;$M$3)</f>
        <v>0</v>
      </c>
      <c r="AB20" s="6">
        <f>countifs('9A'!$V$2:$V$655, AB$1, '9A'!$B$2:$B$655, "&gt;"&amp;$L$4, '9A'!$B$2:$B$655, "&lt;"&amp;$M$4)</f>
        <v>0</v>
      </c>
      <c r="AC20" s="6">
        <f>countifs('9A'!$V$2:$V$655, AC$1, '9A'!$B$2:$B$655, "&gt;"&amp;$L$4, '9A'!$B$2:$B$655, "&lt;"&amp;$M$4)</f>
        <v>0</v>
      </c>
      <c r="AD20" s="6">
        <f>countifs('9A'!$V$2:$V$655, AD$1, '9A'!$B$2:$B$655, "&gt;"&amp;$L$4, '9A'!$B$2:$B$655, "&lt;"&amp;$M$4)</f>
        <v>0</v>
      </c>
      <c r="AE20" s="6">
        <f>countifs('9A'!$V$2:$V$655, AE$1, '9A'!$B$2:$B$655, "&gt;"&amp;$L$4, '9A'!$B$2:$B$655, "&lt;"&amp;$M$4)</f>
        <v>0</v>
      </c>
      <c r="AF20" s="6">
        <f>countifs('9A'!$V$2:$V$655, AF$1, '9A'!$B$2:$B$655, "&gt;"&amp;$L$4, '9A'!$B$2:$B$655, "&lt;"&amp;$M$4)</f>
        <v>0</v>
      </c>
      <c r="AG20" s="6">
        <f>countifs('9A'!$V$2:$V$655, AG$1, '9A'!$B$2:$B$655, "&gt;"&amp;$L$4, '9A'!$B$2:$B$655, "&lt;"&amp;$M$4)</f>
        <v>0</v>
      </c>
      <c r="AH20" s="6">
        <f>countifs('9A'!$V$2:$V$655, AH$1, '9A'!$B$2:$B$655, "&gt;"&amp;$L$4, '9A'!$B$2:$B$655, "&lt;"&amp;$M$4)</f>
        <v>0</v>
      </c>
      <c r="AI20" s="3">
        <v>8.0</v>
      </c>
      <c r="AJ20" s="3">
        <v>11.0</v>
      </c>
      <c r="AK20" s="3">
        <v>11.0</v>
      </c>
      <c r="AL20" s="7" t="str">
        <f>IFERROR(__xludf.DUMMYFUNCTION("AVERAGE.WEIGHTED($N$1:$T$1, N20:T20)"),"#DIV/0!")</f>
        <v>#DIV/0!</v>
      </c>
      <c r="AM20" s="7" t="str">
        <f>IFERROR(__xludf.DUMMYFUNCTION("AVERAGE.WEIGHTED($U$1:$AA$1, U20:AA20)"),"#DIV/0!")</f>
        <v>#DIV/0!</v>
      </c>
      <c r="AN20" s="7" t="str">
        <f>IFERROR(__xludf.DUMMYFUNCTION("AVERAGE.WEIGHTED($AB$1:$AH$1, AB20:AH20)"),"#DIV/0!")</f>
        <v>#DIV/0!</v>
      </c>
      <c r="AO20" s="7" t="str">
        <f t="shared" ref="AO20:AQ20" si="66">(AL20-1)*100/6</f>
        <v>#DIV/0!</v>
      </c>
      <c r="AP20" s="7" t="str">
        <f t="shared" si="66"/>
        <v>#DIV/0!</v>
      </c>
      <c r="AQ20" s="7" t="str">
        <f t="shared" si="66"/>
        <v>#DIV/0!</v>
      </c>
      <c r="AR20" s="8" t="str">
        <f t="shared" ref="AR20:AT20" si="67">average($AO20:$AQ20)</f>
        <v>#DIV/0!</v>
      </c>
      <c r="AS20" s="8" t="str">
        <f t="shared" si="67"/>
        <v>#DIV/0!</v>
      </c>
      <c r="AT20" s="8" t="str">
        <f t="shared" si="67"/>
        <v>#DIV/0!</v>
      </c>
      <c r="AU20" s="8" t="str">
        <f t="shared" si="10"/>
        <v>#DIV/0!</v>
      </c>
      <c r="AV20" s="6">
        <f>countifs('9A'!$V$2:$V$655, AV$1, '9A'!$C$2:$C$655, "Karl")</f>
        <v>13</v>
      </c>
      <c r="AW20" s="6">
        <f>countifs('9A'!$V$2:$V$655, AW$1, '9A'!$C$2:$C$655, "Karl")</f>
        <v>1</v>
      </c>
      <c r="AX20" s="6">
        <f>countifs('9A'!$V$2:$V$655, AX$1, '9A'!$C$2:$C$655, "Karl")</f>
        <v>2</v>
      </c>
      <c r="AY20" s="6">
        <f>countifs('9A'!$V$2:$V$655, AY$1, '9A'!$C$2:$C$655, "Karl")</f>
        <v>1</v>
      </c>
      <c r="AZ20" s="6">
        <f>countifs('9A'!$V$2:$V$655, AZ$1, '9A'!$C$2:$C$655, "Karl")</f>
        <v>0</v>
      </c>
      <c r="BA20" s="6">
        <f>countifs('9A'!$V$2:$V$655, BA$1, '9A'!$C$2:$C$655, "Karl")</f>
        <v>0</v>
      </c>
      <c r="BB20" s="6">
        <f>countifs('9A'!$V$2:$V$655, BB$1, '9A'!$C$2:$C$655, "Karl")</f>
        <v>1</v>
      </c>
      <c r="BC20" s="6">
        <f>countifs('9A'!$V$2:$V$655, BC$1, '9A'!$C$2:$C$655, "Kona")</f>
        <v>20</v>
      </c>
      <c r="BD20" s="6">
        <f>countifs('9A'!$V$2:$V$655, BD$1, '9A'!$C$2:$C$655, "Kona")</f>
        <v>5</v>
      </c>
      <c r="BE20" s="6">
        <f>countifs('9A'!$V$2:$V$655, BE$1, '9A'!$C$2:$C$655, "Kona")</f>
        <v>9</v>
      </c>
      <c r="BF20" s="6">
        <f>countifs('9A'!$V$2:$V$655, BF$1, '9A'!$C$2:$C$655, "Kona")</f>
        <v>0</v>
      </c>
      <c r="BG20" s="6">
        <f>countifs('9A'!$V$2:$V$655, BG$1, '9A'!$C$2:$C$655, "Kona")</f>
        <v>3</v>
      </c>
      <c r="BH20" s="6">
        <f>countifs('9A'!$V$2:$V$655, BH$1, '9A'!$C$2:$C$655, "Kona")</f>
        <v>5</v>
      </c>
      <c r="BI20" s="6">
        <f>countifs('9A'!$V$2:$V$655, BI$1, '9A'!$C$2:$C$655, "Kona")</f>
        <v>5</v>
      </c>
      <c r="BJ20" s="9">
        <v>18.0</v>
      </c>
      <c r="BK20" s="9">
        <v>47.0</v>
      </c>
      <c r="BL20" s="7">
        <f>IFERROR(__xludf.DUMMYFUNCTION("AVERAGE.WEIGHTED($AV$1:$BB$1,AV20:BB20)"),1.7777777777777777)</f>
        <v>1.777777778</v>
      </c>
      <c r="BM20" s="7">
        <f>IFERROR(__xludf.DUMMYFUNCTION("AVERAGE.WEIGHTED($BC$1:$BI$1,BC20:BI20)"),2.914893617021277)</f>
        <v>2.914893617</v>
      </c>
      <c r="BN20" s="7">
        <f t="shared" ref="BN20:BO20" si="68">(BL20-1)*100/6</f>
        <v>12.96296296</v>
      </c>
      <c r="BO20" s="7">
        <f t="shared" si="68"/>
        <v>31.91489362</v>
      </c>
      <c r="BP20" s="7">
        <f t="shared" si="12"/>
        <v>22.43892829</v>
      </c>
      <c r="BQ20" s="7">
        <f t="shared" si="13"/>
        <v>22.43892829</v>
      </c>
      <c r="BR20" s="8">
        <f t="shared" si="14"/>
        <v>0.004668946222</v>
      </c>
    </row>
    <row r="21">
      <c r="A21" s="3">
        <v>20.0</v>
      </c>
      <c r="B21" s="1" t="s">
        <v>22</v>
      </c>
      <c r="C21" s="6">
        <f>countif('9A'!$W$2:$W$655, C$1)</f>
        <v>11</v>
      </c>
      <c r="D21" s="6">
        <f>countif('9A'!$W$2:$W$655, D$1)</f>
        <v>6</v>
      </c>
      <c r="E21" s="6">
        <f>countif('9A'!$W$2:$W$655, E$1)</f>
        <v>4</v>
      </c>
      <c r="F21" s="6">
        <f>countif('9A'!$W$2:$W$655, F$1)</f>
        <v>2</v>
      </c>
      <c r="G21" s="6">
        <f>countif('9A'!$W$2:$W$655, G$1)</f>
        <v>9</v>
      </c>
      <c r="H21" s="6">
        <f>countif('9A'!$W$2:$W$655, H$1)</f>
        <v>11</v>
      </c>
      <c r="I21" s="6">
        <f>countif('9A'!$W$2:$W$655, I$1)</f>
        <v>22</v>
      </c>
      <c r="J21" s="6">
        <f t="shared" si="59"/>
        <v>65</v>
      </c>
      <c r="K21" s="7">
        <f t="shared" si="6"/>
        <v>4.738461538</v>
      </c>
      <c r="N21" s="6">
        <f>countifs('9A'!$W$2:$W$655, N$1, '9A'!$B$2:$B$655, "&gt;"&amp;$L$2, '9A'!$B$2:$B$655, "&lt;"&amp;$M$2)</f>
        <v>0</v>
      </c>
      <c r="O21" s="6">
        <f>countifs('9A'!$W$2:$W$655, O$1, '9A'!$B$2:$B$655, "&gt;"&amp;$L$2, '9A'!$B$2:$B$655, "&lt;"&amp;$M$2)</f>
        <v>0</v>
      </c>
      <c r="P21" s="6">
        <f>countifs('9A'!$W$2:$W$655, P$1, '9A'!$B$2:$B$655, "&gt;"&amp;$L$2, '9A'!$B$2:$B$655, "&lt;"&amp;$M$2)</f>
        <v>0</v>
      </c>
      <c r="Q21" s="6">
        <f>countifs('9A'!$W$2:$W$655, Q$1, '9A'!$B$2:$B$655, "&gt;"&amp;$L$2, '9A'!$B$2:$B$655, "&lt;"&amp;$M$2)</f>
        <v>0</v>
      </c>
      <c r="R21" s="6">
        <f>countifs('9A'!$W$2:$W$655, R$1, '9A'!$B$2:$B$655, "&gt;"&amp;$L$2, '9A'!$B$2:$B$655, "&lt;"&amp;$M$2)</f>
        <v>0</v>
      </c>
      <c r="S21" s="6">
        <f>countifs('9A'!$W$2:$W$655, S$1, '9A'!$B$2:$B$655, "&gt;"&amp;$L$2, '9A'!$B$2:$B$655, "&lt;"&amp;$M$2)</f>
        <v>0</v>
      </c>
      <c r="T21" s="6">
        <f>countifs('9A'!$W$2:$W$655, T$1, '9A'!$B$2:$B$655, "&gt;"&amp;$L$2, '9A'!$B$2:$B$655, "&lt;"&amp;$M$2)</f>
        <v>0</v>
      </c>
      <c r="U21" s="6">
        <f>countifs('9A'!$W$2:$W$655, U$1, '9A'!$B$2:$B$655, "&gt;"&amp;$L$3, '9A'!$B$2:$B$655, "&lt;"&amp;$M$3)</f>
        <v>0</v>
      </c>
      <c r="V21" s="6">
        <f>countifs('9A'!$W$2:$W$655, V$1, '9A'!$B$2:$B$655, "&gt;"&amp;$L$3, '9A'!$B$2:$B$655, "&lt;"&amp;$M$3)</f>
        <v>0</v>
      </c>
      <c r="W21" s="6">
        <f>countifs('9A'!$W$2:$W$655, W$1, '9A'!$B$2:$B$655, "&gt;"&amp;$L$3, '9A'!$B$2:$B$655, "&lt;"&amp;$M$3)</f>
        <v>0</v>
      </c>
      <c r="X21" s="6">
        <f>countifs('9A'!$W$2:$W$655, X$1, '9A'!$B$2:$B$655, "&gt;"&amp;$L$3, '9A'!$B$2:$B$655, "&lt;"&amp;$M$3)</f>
        <v>0</v>
      </c>
      <c r="Y21" s="6">
        <f>countifs('9A'!$W$2:$W$655, Y$1, '9A'!$B$2:$B$655, "&gt;"&amp;$L$3, '9A'!$B$2:$B$655, "&lt;"&amp;$M$3)</f>
        <v>0</v>
      </c>
      <c r="Z21" s="6">
        <f>countifs('9A'!$W$2:$W$655, Z$1, '9A'!$B$2:$B$655, "&gt;"&amp;$L$3, '9A'!$B$2:$B$655, "&lt;"&amp;$M$3)</f>
        <v>0</v>
      </c>
      <c r="AA21" s="6">
        <f>countifs('9A'!$W$2:$W$655, AA$1, '9A'!$B$2:$B$655, "&gt;"&amp;$L$3, '9A'!$B$2:$B$655, "&lt;"&amp;$M$3)</f>
        <v>0</v>
      </c>
      <c r="AB21" s="6">
        <f>countifs('9A'!$W$2:$W$655, AB$1, '9A'!$B$2:$B$655, "&gt;"&amp;$L$4, '9A'!$B$2:$B$655, "&lt;"&amp;$M$4)</f>
        <v>0</v>
      </c>
      <c r="AC21" s="6">
        <f>countifs('9A'!$W$2:$W$655, AC$1, '9A'!$B$2:$B$655, "&gt;"&amp;$L$4, '9A'!$B$2:$B$655, "&lt;"&amp;$M$4)</f>
        <v>0</v>
      </c>
      <c r="AD21" s="6">
        <f>countifs('9A'!$W$2:$W$655, AD$1, '9A'!$B$2:$B$655, "&gt;"&amp;$L$4, '9A'!$B$2:$B$655, "&lt;"&amp;$M$4)</f>
        <v>0</v>
      </c>
      <c r="AE21" s="6">
        <f>countifs('9A'!$W$2:$W$655, AE$1, '9A'!$B$2:$B$655, "&gt;"&amp;$L$4, '9A'!$B$2:$B$655, "&lt;"&amp;$M$4)</f>
        <v>0</v>
      </c>
      <c r="AF21" s="6">
        <f>countifs('9A'!$W$2:$W$655, AF$1, '9A'!$B$2:$B$655, "&gt;"&amp;$L$4, '9A'!$B$2:$B$655, "&lt;"&amp;$M$4)</f>
        <v>0</v>
      </c>
      <c r="AG21" s="6">
        <f>countifs('9A'!$W$2:$W$655, AG$1, '9A'!$B$2:$B$655, "&gt;"&amp;$L$4, '9A'!$B$2:$B$655, "&lt;"&amp;$M$4)</f>
        <v>0</v>
      </c>
      <c r="AH21" s="6">
        <f>countifs('9A'!$W$2:$W$655, AH$1, '9A'!$B$2:$B$655, "&gt;"&amp;$L$4, '9A'!$B$2:$B$655, "&lt;"&amp;$M$4)</f>
        <v>0</v>
      </c>
      <c r="AI21" s="3">
        <v>8.0</v>
      </c>
      <c r="AJ21" s="3">
        <v>11.0</v>
      </c>
      <c r="AK21" s="3">
        <v>11.0</v>
      </c>
      <c r="AL21" s="7" t="str">
        <f>IFERROR(__xludf.DUMMYFUNCTION("AVERAGE.WEIGHTED($N$1:$T$1, N21:T21)"),"#DIV/0!")</f>
        <v>#DIV/0!</v>
      </c>
      <c r="AM21" s="7" t="str">
        <f>IFERROR(__xludf.DUMMYFUNCTION("AVERAGE.WEIGHTED($U$1:$AA$1, U21:AA21)"),"#DIV/0!")</f>
        <v>#DIV/0!</v>
      </c>
      <c r="AN21" s="7" t="str">
        <f>IFERROR(__xludf.DUMMYFUNCTION("AVERAGE.WEIGHTED($AB$1:$AH$1, AB21:AH21)"),"#DIV/0!")</f>
        <v>#DIV/0!</v>
      </c>
      <c r="AO21" s="7" t="str">
        <f t="shared" ref="AO21:AQ21" si="69">(AL21-1)*100/6</f>
        <v>#DIV/0!</v>
      </c>
      <c r="AP21" s="7" t="str">
        <f t="shared" si="69"/>
        <v>#DIV/0!</v>
      </c>
      <c r="AQ21" s="7" t="str">
        <f t="shared" si="69"/>
        <v>#DIV/0!</v>
      </c>
      <c r="AR21" s="8" t="str">
        <f t="shared" ref="AR21:AT21" si="70">average($AO21:$AQ21)</f>
        <v>#DIV/0!</v>
      </c>
      <c r="AS21" s="8" t="str">
        <f t="shared" si="70"/>
        <v>#DIV/0!</v>
      </c>
      <c r="AT21" s="8" t="str">
        <f t="shared" si="70"/>
        <v>#DIV/0!</v>
      </c>
      <c r="AU21" s="8" t="str">
        <f t="shared" si="10"/>
        <v>#DIV/0!</v>
      </c>
      <c r="AV21" s="6">
        <f>countifs('9A'!$W$2:$W$655, AV$1, '9A'!$C$2:$C$655, "Karl")</f>
        <v>4</v>
      </c>
      <c r="AW21" s="6">
        <f>countifs('9A'!$W$2:$W$655, AW$1, '9A'!$C$2:$C$655, "Karl")</f>
        <v>4</v>
      </c>
      <c r="AX21" s="6">
        <f>countifs('9A'!$W$2:$W$655, AX$1, '9A'!$C$2:$C$655, "Karl")</f>
        <v>1</v>
      </c>
      <c r="AY21" s="6">
        <f>countifs('9A'!$W$2:$W$655, AY$1, '9A'!$C$2:$C$655, "Karl")</f>
        <v>0</v>
      </c>
      <c r="AZ21" s="6">
        <f>countifs('9A'!$W$2:$W$655, AZ$1, '9A'!$C$2:$C$655, "Karl")</f>
        <v>1</v>
      </c>
      <c r="BA21" s="6">
        <f>countifs('9A'!$W$2:$W$655, BA$1, '9A'!$C$2:$C$655, "Karl")</f>
        <v>2</v>
      </c>
      <c r="BB21" s="6">
        <f>countifs('9A'!$W$2:$W$655, BB$1, '9A'!$C$2:$C$655, "Karl")</f>
        <v>6</v>
      </c>
      <c r="BC21" s="6">
        <f>countifs('9A'!$W$2:$W$655, BC$1, '9A'!$C$2:$C$655, "Kona")</f>
        <v>7</v>
      </c>
      <c r="BD21" s="6">
        <f>countifs('9A'!$W$2:$W$655, BD$1, '9A'!$C$2:$C$655, "Kona")</f>
        <v>2</v>
      </c>
      <c r="BE21" s="6">
        <f>countifs('9A'!$W$2:$W$655, BE$1, '9A'!$C$2:$C$655, "Kona")</f>
        <v>3</v>
      </c>
      <c r="BF21" s="6">
        <f>countifs('9A'!$W$2:$W$655, BF$1, '9A'!$C$2:$C$655, "Kona")</f>
        <v>2</v>
      </c>
      <c r="BG21" s="6">
        <f>countifs('9A'!$W$2:$W$655, BG$1, '9A'!$C$2:$C$655, "Kona")</f>
        <v>8</v>
      </c>
      <c r="BH21" s="6">
        <f>countifs('9A'!$W$2:$W$655, BH$1, '9A'!$C$2:$C$655, "Kona")</f>
        <v>9</v>
      </c>
      <c r="BI21" s="6">
        <f>countifs('9A'!$W$2:$W$655, BI$1, '9A'!$C$2:$C$655, "Kona")</f>
        <v>16</v>
      </c>
      <c r="BJ21" s="9">
        <v>18.0</v>
      </c>
      <c r="BK21" s="9">
        <v>47.0</v>
      </c>
      <c r="BL21" s="7">
        <f>IFERROR(__xludf.DUMMYFUNCTION("AVERAGE.WEIGHTED($AV$1:$BB$1,AV21:BB21)"),4.111111111111111)</f>
        <v>4.111111111</v>
      </c>
      <c r="BM21" s="7">
        <f>IFERROR(__xludf.DUMMYFUNCTION("AVERAGE.WEIGHTED($BC$1:$BI$1,BC21:BI21)"),4.9787234042553195)</f>
        <v>4.978723404</v>
      </c>
      <c r="BN21" s="7">
        <f t="shared" ref="BN21:BO21" si="71">(BL21-1)*100/6</f>
        <v>51.85185185</v>
      </c>
      <c r="BO21" s="7">
        <f t="shared" si="71"/>
        <v>66.31205674</v>
      </c>
      <c r="BP21" s="7">
        <f t="shared" si="12"/>
        <v>59.08195429</v>
      </c>
      <c r="BQ21" s="7">
        <f t="shared" si="13"/>
        <v>59.08195429</v>
      </c>
      <c r="BR21" s="8">
        <f t="shared" si="14"/>
        <v>0.1834371713</v>
      </c>
    </row>
    <row r="22">
      <c r="A22" s="3">
        <v>21.0</v>
      </c>
      <c r="B22" s="1" t="s">
        <v>23</v>
      </c>
      <c r="C22" s="6">
        <f>countif('9A'!$X$2:$X$655, C$1)</f>
        <v>40</v>
      </c>
      <c r="D22" s="6">
        <f>countif('9A'!$X$2:$X$655, D$1)</f>
        <v>11</v>
      </c>
      <c r="E22" s="6">
        <f>countif('9A'!$X$2:$X$655, E$1)</f>
        <v>6</v>
      </c>
      <c r="F22" s="6">
        <f>countif('9A'!$X$2:$X$655, F$1)</f>
        <v>0</v>
      </c>
      <c r="G22" s="6">
        <f>countif('9A'!$X$2:$X$655, G$1)</f>
        <v>1</v>
      </c>
      <c r="H22" s="6">
        <f>countif('9A'!$X$2:$X$655, H$1)</f>
        <v>2</v>
      </c>
      <c r="I22" s="6">
        <f>countif('9A'!$X$2:$X$655, I$1)</f>
        <v>5</v>
      </c>
      <c r="J22" s="6">
        <f t="shared" si="59"/>
        <v>65</v>
      </c>
      <c r="K22" s="7">
        <f t="shared" si="6"/>
        <v>2.030769231</v>
      </c>
      <c r="N22" s="6">
        <f>countifs('9A'!$X$2:$X$655, N$1, '9A'!$B$2:$B$655, "&gt;"&amp;$L$2, '9A'!$B$2:$B$655, "&lt;"&amp;$M$2)</f>
        <v>0</v>
      </c>
      <c r="O22" s="6">
        <f>countifs('9A'!$X$2:$X$655, O$1, '9A'!$B$2:$B$655, "&gt;"&amp;$L$2, '9A'!$B$2:$B$655, "&lt;"&amp;$M$2)</f>
        <v>0</v>
      </c>
      <c r="P22" s="6">
        <f>countifs('9A'!$X$2:$X$655, P$1, '9A'!$B$2:$B$655, "&gt;"&amp;$L$2, '9A'!$B$2:$B$655, "&lt;"&amp;$M$2)</f>
        <v>0</v>
      </c>
      <c r="Q22" s="6">
        <f>countifs('9A'!$X$2:$X$655, Q$1, '9A'!$B$2:$B$655, "&gt;"&amp;$L$2, '9A'!$B$2:$B$655, "&lt;"&amp;$M$2)</f>
        <v>0</v>
      </c>
      <c r="R22" s="6">
        <f>countifs('9A'!$X$2:$X$655, R$1, '9A'!$B$2:$B$655, "&gt;"&amp;$L$2, '9A'!$B$2:$B$655, "&lt;"&amp;$M$2)</f>
        <v>0</v>
      </c>
      <c r="S22" s="6">
        <f>countifs('9A'!$X$2:$X$655, S$1, '9A'!$B$2:$B$655, "&gt;"&amp;$L$2, '9A'!$B$2:$B$655, "&lt;"&amp;$M$2)</f>
        <v>0</v>
      </c>
      <c r="T22" s="6">
        <f>countifs('9A'!$X$2:$X$655, T$1, '9A'!$B$2:$B$655, "&gt;"&amp;$L$2, '9A'!$B$2:$B$655, "&lt;"&amp;$M$2)</f>
        <v>0</v>
      </c>
      <c r="U22" s="6">
        <f>countifs('9A'!$X$2:$X$655, U$1, '9A'!$B$2:$B$655, "&gt;"&amp;$L$3, '9A'!$B$2:$B$655, "&lt;"&amp;$M$3)</f>
        <v>0</v>
      </c>
      <c r="V22" s="6">
        <f>countifs('9A'!$X$2:$X$655, V$1, '9A'!$B$2:$B$655, "&gt;"&amp;$L$3, '9A'!$B$2:$B$655, "&lt;"&amp;$M$3)</f>
        <v>0</v>
      </c>
      <c r="W22" s="6">
        <f>countifs('9A'!$X$2:$X$655, W$1, '9A'!$B$2:$B$655, "&gt;"&amp;$L$3, '9A'!$B$2:$B$655, "&lt;"&amp;$M$3)</f>
        <v>0</v>
      </c>
      <c r="X22" s="6">
        <f>countifs('9A'!$X$2:$X$655, X$1, '9A'!$B$2:$B$655, "&gt;"&amp;$L$3, '9A'!$B$2:$B$655, "&lt;"&amp;$M$3)</f>
        <v>0</v>
      </c>
      <c r="Y22" s="6">
        <f>countifs('9A'!$X$2:$X$655, Y$1, '9A'!$B$2:$B$655, "&gt;"&amp;$L$3, '9A'!$B$2:$B$655, "&lt;"&amp;$M$3)</f>
        <v>0</v>
      </c>
      <c r="Z22" s="6">
        <f>countifs('9A'!$X$2:$X$655, Z$1, '9A'!$B$2:$B$655, "&gt;"&amp;$L$3, '9A'!$B$2:$B$655, "&lt;"&amp;$M$3)</f>
        <v>0</v>
      </c>
      <c r="AA22" s="6">
        <f>countifs('9A'!$X$2:$X$655, AA$1, '9A'!$B$2:$B$655, "&gt;"&amp;$L$3, '9A'!$B$2:$B$655, "&lt;"&amp;$M$3)</f>
        <v>0</v>
      </c>
      <c r="AB22" s="6">
        <f>countifs('9A'!$X$2:$X$655, AB$1, '9A'!$B$2:$B$655, "&gt;"&amp;$L$4, '9A'!$B$2:$B$655, "&lt;"&amp;$M$4)</f>
        <v>0</v>
      </c>
      <c r="AC22" s="6">
        <f>countifs('9A'!$X$2:$X$655, AC$1, '9A'!$B$2:$B$655, "&gt;"&amp;$L$4, '9A'!$B$2:$B$655, "&lt;"&amp;$M$4)</f>
        <v>0</v>
      </c>
      <c r="AD22" s="6">
        <f>countifs('9A'!$X$2:$X$655, AD$1, '9A'!$B$2:$B$655, "&gt;"&amp;$L$4, '9A'!$B$2:$B$655, "&lt;"&amp;$M$4)</f>
        <v>0</v>
      </c>
      <c r="AE22" s="6">
        <f>countifs('9A'!$X$2:$X$655, AE$1, '9A'!$B$2:$B$655, "&gt;"&amp;$L$4, '9A'!$B$2:$B$655, "&lt;"&amp;$M$4)</f>
        <v>0</v>
      </c>
      <c r="AF22" s="6">
        <f>countifs('9A'!$X$2:$X$655, AF$1, '9A'!$B$2:$B$655, "&gt;"&amp;$L$4, '9A'!$B$2:$B$655, "&lt;"&amp;$M$4)</f>
        <v>0</v>
      </c>
      <c r="AG22" s="6">
        <f>countifs('9A'!$X$2:$X$655, AG$1, '9A'!$B$2:$B$655, "&gt;"&amp;$L$4, '9A'!$B$2:$B$655, "&lt;"&amp;$M$4)</f>
        <v>0</v>
      </c>
      <c r="AH22" s="6">
        <f>countifs('9A'!$X$2:$X$655, AH$1, '9A'!$B$2:$B$655, "&gt;"&amp;$L$4, '9A'!$B$2:$B$655, "&lt;"&amp;$M$4)</f>
        <v>0</v>
      </c>
      <c r="AI22" s="3">
        <v>8.0</v>
      </c>
      <c r="AJ22" s="3">
        <v>11.0</v>
      </c>
      <c r="AK22" s="3">
        <v>11.0</v>
      </c>
      <c r="AL22" s="7" t="str">
        <f>IFERROR(__xludf.DUMMYFUNCTION("AVERAGE.WEIGHTED($N$1:$T$1, N22:T22)"),"#DIV/0!")</f>
        <v>#DIV/0!</v>
      </c>
      <c r="AM22" s="7" t="str">
        <f>IFERROR(__xludf.DUMMYFUNCTION("AVERAGE.WEIGHTED($U$1:$AA$1, U22:AA22)"),"#DIV/0!")</f>
        <v>#DIV/0!</v>
      </c>
      <c r="AN22" s="7" t="str">
        <f>IFERROR(__xludf.DUMMYFUNCTION("AVERAGE.WEIGHTED($AB$1:$AH$1, AB22:AH22)"),"#DIV/0!")</f>
        <v>#DIV/0!</v>
      </c>
      <c r="AO22" s="7" t="str">
        <f t="shared" ref="AO22:AQ22" si="72">(AL22-1)*100/6</f>
        <v>#DIV/0!</v>
      </c>
      <c r="AP22" s="7" t="str">
        <f t="shared" si="72"/>
        <v>#DIV/0!</v>
      </c>
      <c r="AQ22" s="7" t="str">
        <f t="shared" si="72"/>
        <v>#DIV/0!</v>
      </c>
      <c r="AR22" s="8" t="str">
        <f t="shared" ref="AR22:AT22" si="73">average($AO22:$AQ22)</f>
        <v>#DIV/0!</v>
      </c>
      <c r="AS22" s="8" t="str">
        <f t="shared" si="73"/>
        <v>#DIV/0!</v>
      </c>
      <c r="AT22" s="8" t="str">
        <f t="shared" si="73"/>
        <v>#DIV/0!</v>
      </c>
      <c r="AU22" s="8" t="str">
        <f t="shared" si="10"/>
        <v>#DIV/0!</v>
      </c>
      <c r="AV22" s="6">
        <f>countifs('9A'!$X$2:$X$655, AV$1, '9A'!$C$2:$C$655, "Karl")</f>
        <v>11</v>
      </c>
      <c r="AW22" s="6">
        <f>countifs('9A'!$X$2:$X$655, AW$1, '9A'!$C$2:$C$655, "Karl")</f>
        <v>1</v>
      </c>
      <c r="AX22" s="6">
        <f>countifs('9A'!$X$2:$X$655, AX$1, '9A'!$C$2:$C$655, "Karl")</f>
        <v>2</v>
      </c>
      <c r="AY22" s="6">
        <f>countifs('9A'!$X$2:$X$655, AY$1, '9A'!$C$2:$C$655, "Karl")</f>
        <v>0</v>
      </c>
      <c r="AZ22" s="6">
        <f>countifs('9A'!$X$2:$X$655, AZ$1, '9A'!$C$2:$C$655, "Karl")</f>
        <v>0</v>
      </c>
      <c r="BA22" s="6">
        <f>countifs('9A'!$X$2:$X$655, BA$1, '9A'!$C$2:$C$655, "Karl")</f>
        <v>2</v>
      </c>
      <c r="BB22" s="6">
        <f>countifs('9A'!$X$2:$X$655, BB$1, '9A'!$C$2:$C$655, "Karl")</f>
        <v>2</v>
      </c>
      <c r="BC22" s="6">
        <f>countifs('9A'!$X$2:$X$655, BC$1, '9A'!$C$2:$C$655, "Kona")</f>
        <v>29</v>
      </c>
      <c r="BD22" s="6">
        <f>countifs('9A'!$X$2:$X$655, BD$1, '9A'!$C$2:$C$655, "Kona")</f>
        <v>10</v>
      </c>
      <c r="BE22" s="6">
        <f>countifs('9A'!$X$2:$X$655, BE$1, '9A'!$C$2:$C$655, "Kona")</f>
        <v>4</v>
      </c>
      <c r="BF22" s="6">
        <f>countifs('9A'!$X$2:$X$655, BF$1, '9A'!$C$2:$C$655, "Kona")</f>
        <v>0</v>
      </c>
      <c r="BG22" s="6">
        <f>countifs('9A'!$X$2:$X$655, BG$1, '9A'!$C$2:$C$655, "Kona")</f>
        <v>1</v>
      </c>
      <c r="BH22" s="6">
        <f>countifs('9A'!$X$2:$X$655, BH$1, '9A'!$C$2:$C$655, "Kona")</f>
        <v>0</v>
      </c>
      <c r="BI22" s="6">
        <f>countifs('9A'!$X$2:$X$655, BI$1, '9A'!$C$2:$C$655, "Kona")</f>
        <v>3</v>
      </c>
      <c r="BJ22" s="9">
        <v>18.0</v>
      </c>
      <c r="BK22" s="9">
        <v>47.0</v>
      </c>
      <c r="BL22" s="7">
        <f>IFERROR(__xludf.DUMMYFUNCTION("AVERAGE.WEIGHTED($AV$1:$BB$1,AV22:BB22)"),2.5)</f>
        <v>2.5</v>
      </c>
      <c r="BM22" s="7">
        <f>IFERROR(__xludf.DUMMYFUNCTION("AVERAGE.WEIGHTED($BC$1:$BI$1,BC22:BI22)"),1.851063829787234)</f>
        <v>1.85106383</v>
      </c>
      <c r="BN22" s="7">
        <f t="shared" ref="BN22:BO22" si="74">(BL22-1)*100/6</f>
        <v>25</v>
      </c>
      <c r="BO22" s="7">
        <f t="shared" si="74"/>
        <v>14.18439716</v>
      </c>
      <c r="BP22" s="7">
        <f t="shared" si="12"/>
        <v>19.59219858</v>
      </c>
      <c r="BQ22" s="7">
        <f t="shared" si="13"/>
        <v>19.59219858</v>
      </c>
      <c r="BR22" s="8">
        <f t="shared" si="14"/>
        <v>0.08402360471</v>
      </c>
    </row>
    <row r="23">
      <c r="A23" s="3">
        <v>22.0</v>
      </c>
      <c r="B23" s="1" t="s">
        <v>24</v>
      </c>
      <c r="C23" s="6">
        <f>countif('9A'!$Y$2:$Y$655, C$1)</f>
        <v>58</v>
      </c>
      <c r="D23" s="6">
        <f>countif('9A'!$Y$2:$Y$655, D$1)</f>
        <v>3</v>
      </c>
      <c r="E23" s="6">
        <f>countif('9A'!$Y$2:$Y$655, E$1)</f>
        <v>0</v>
      </c>
      <c r="F23" s="6">
        <f>countif('9A'!$Y$2:$Y$655, F$1)</f>
        <v>1</v>
      </c>
      <c r="G23" s="6">
        <f>countif('9A'!$Y$2:$Y$655, G$1)</f>
        <v>1</v>
      </c>
      <c r="H23" s="6">
        <f>countif('9A'!$Y$2:$Y$655, H$1)</f>
        <v>0</v>
      </c>
      <c r="I23" s="6">
        <f>countif('9A'!$Y$2:$Y$655, I$1)</f>
        <v>2</v>
      </c>
      <c r="J23" s="6">
        <f t="shared" si="59"/>
        <v>65</v>
      </c>
      <c r="K23" s="7">
        <f t="shared" si="6"/>
        <v>1.338461538</v>
      </c>
      <c r="N23" s="6">
        <f>countifs('9A'!$Y$2:$Y$655, N$1, '9A'!$B$2:$B$655, "&gt;"&amp;$L$2, '9A'!$B$2:$B$655, "&lt;"&amp;$M$2)</f>
        <v>0</v>
      </c>
      <c r="O23" s="6">
        <f>countifs('9A'!$Y$2:$Y$655, O$1, '9A'!$B$2:$B$655, "&gt;"&amp;$L$2, '9A'!$B$2:$B$655, "&lt;"&amp;$M$2)</f>
        <v>0</v>
      </c>
      <c r="P23" s="6">
        <f>countifs('9A'!$Y$2:$Y$655, P$1, '9A'!$B$2:$B$655, "&gt;"&amp;$L$2, '9A'!$B$2:$B$655, "&lt;"&amp;$M$2)</f>
        <v>0</v>
      </c>
      <c r="Q23" s="6">
        <f>countifs('9A'!$Y$2:$Y$655, Q$1, '9A'!$B$2:$B$655, "&gt;"&amp;$L$2, '9A'!$B$2:$B$655, "&lt;"&amp;$M$2)</f>
        <v>0</v>
      </c>
      <c r="R23" s="6">
        <f>countifs('9A'!$Y$2:$Y$655, R$1, '9A'!$B$2:$B$655, "&gt;"&amp;$L$2, '9A'!$B$2:$B$655, "&lt;"&amp;$M$2)</f>
        <v>0</v>
      </c>
      <c r="S23" s="6">
        <f>countifs('9A'!$Y$2:$Y$655, S$1, '9A'!$B$2:$B$655, "&gt;"&amp;$L$2, '9A'!$B$2:$B$655, "&lt;"&amp;$M$2)</f>
        <v>0</v>
      </c>
      <c r="T23" s="6">
        <f>countifs('9A'!$Y$2:$Y$655, T$1, '9A'!$B$2:$B$655, "&gt;"&amp;$L$2, '9A'!$B$2:$B$655, "&lt;"&amp;$M$2)</f>
        <v>0</v>
      </c>
      <c r="U23" s="6">
        <f>countifs('9A'!$Y$2:$Y$655, U$1, '9A'!$B$2:$B$655, "&gt;"&amp;$L$3, '9A'!$B$2:$B$655, "&lt;"&amp;$M$3)</f>
        <v>0</v>
      </c>
      <c r="V23" s="6">
        <f>countifs('9A'!$Y$2:$Y$655, V$1, '9A'!$B$2:$B$655, "&gt;"&amp;$L$3, '9A'!$B$2:$B$655, "&lt;"&amp;$M$3)</f>
        <v>0</v>
      </c>
      <c r="W23" s="6">
        <f>countifs('9A'!$Y$2:$Y$655, W$1, '9A'!$B$2:$B$655, "&gt;"&amp;$L$3, '9A'!$B$2:$B$655, "&lt;"&amp;$M$3)</f>
        <v>0</v>
      </c>
      <c r="X23" s="6">
        <f>countifs('9A'!$Y$2:$Y$655, X$1, '9A'!$B$2:$B$655, "&gt;"&amp;$L$3, '9A'!$B$2:$B$655, "&lt;"&amp;$M$3)</f>
        <v>0</v>
      </c>
      <c r="Y23" s="6">
        <f>countifs('9A'!$Y$2:$Y$655, Y$1, '9A'!$B$2:$B$655, "&gt;"&amp;$L$3, '9A'!$B$2:$B$655, "&lt;"&amp;$M$3)</f>
        <v>0</v>
      </c>
      <c r="Z23" s="6">
        <f>countifs('9A'!$Y$2:$Y$655, Z$1, '9A'!$B$2:$B$655, "&gt;"&amp;$L$3, '9A'!$B$2:$B$655, "&lt;"&amp;$M$3)</f>
        <v>0</v>
      </c>
      <c r="AA23" s="6">
        <f>countifs('9A'!$Y$2:$Y$655, AA$1, '9A'!$B$2:$B$655, "&gt;"&amp;$L$3, '9A'!$B$2:$B$655, "&lt;"&amp;$M$3)</f>
        <v>0</v>
      </c>
      <c r="AB23" s="6">
        <f>countifs('9A'!$Y$2:$Y$655, AB$1, '9A'!$B$2:$B$655, "&gt;"&amp;$L$4, '9A'!$B$2:$B$655, "&lt;"&amp;$M$4)</f>
        <v>0</v>
      </c>
      <c r="AC23" s="6">
        <f>countifs('9A'!$Y$2:$Y$655, AC$1, '9A'!$B$2:$B$655, "&gt;"&amp;$L$4, '9A'!$B$2:$B$655, "&lt;"&amp;$M$4)</f>
        <v>0</v>
      </c>
      <c r="AD23" s="6">
        <f>countifs('9A'!$Y$2:$Y$655, AD$1, '9A'!$B$2:$B$655, "&gt;"&amp;$L$4, '9A'!$B$2:$B$655, "&lt;"&amp;$M$4)</f>
        <v>0</v>
      </c>
      <c r="AE23" s="6">
        <f>countifs('9A'!$Y$2:$Y$655, AE$1, '9A'!$B$2:$B$655, "&gt;"&amp;$L$4, '9A'!$B$2:$B$655, "&lt;"&amp;$M$4)</f>
        <v>0</v>
      </c>
      <c r="AF23" s="6">
        <f>countifs('9A'!$Y$2:$Y$655, AF$1, '9A'!$B$2:$B$655, "&gt;"&amp;$L$4, '9A'!$B$2:$B$655, "&lt;"&amp;$M$4)</f>
        <v>0</v>
      </c>
      <c r="AG23" s="6">
        <f>countifs('9A'!$Y$2:$Y$655, AG$1, '9A'!$B$2:$B$655, "&gt;"&amp;$L$4, '9A'!$B$2:$B$655, "&lt;"&amp;$M$4)</f>
        <v>0</v>
      </c>
      <c r="AH23" s="6">
        <f>countifs('9A'!$Y$2:$Y$655, AH$1, '9A'!$B$2:$B$655, "&gt;"&amp;$L$4, '9A'!$B$2:$B$655, "&lt;"&amp;$M$4)</f>
        <v>0</v>
      </c>
      <c r="AI23" s="3">
        <v>8.0</v>
      </c>
      <c r="AJ23" s="3">
        <v>11.0</v>
      </c>
      <c r="AK23" s="3">
        <v>11.0</v>
      </c>
      <c r="AL23" s="7" t="str">
        <f>IFERROR(__xludf.DUMMYFUNCTION("AVERAGE.WEIGHTED($N$1:$T$1, N23:T23)"),"#DIV/0!")</f>
        <v>#DIV/0!</v>
      </c>
      <c r="AM23" s="7" t="str">
        <f>IFERROR(__xludf.DUMMYFUNCTION("AVERAGE.WEIGHTED($U$1:$AA$1, U23:AA23)"),"#DIV/0!")</f>
        <v>#DIV/0!</v>
      </c>
      <c r="AN23" s="7" t="str">
        <f>IFERROR(__xludf.DUMMYFUNCTION("AVERAGE.WEIGHTED($AB$1:$AH$1, AB23:AH23)"),"#DIV/0!")</f>
        <v>#DIV/0!</v>
      </c>
      <c r="AO23" s="7" t="str">
        <f t="shared" ref="AO23:AQ23" si="75">(AL23-1)*100/6</f>
        <v>#DIV/0!</v>
      </c>
      <c r="AP23" s="7" t="str">
        <f t="shared" si="75"/>
        <v>#DIV/0!</v>
      </c>
      <c r="AQ23" s="7" t="str">
        <f t="shared" si="75"/>
        <v>#DIV/0!</v>
      </c>
      <c r="AR23" s="8" t="str">
        <f t="shared" ref="AR23:AT23" si="76">average($AO23:$AQ23)</f>
        <v>#DIV/0!</v>
      </c>
      <c r="AS23" s="8" t="str">
        <f t="shared" si="76"/>
        <v>#DIV/0!</v>
      </c>
      <c r="AT23" s="8" t="str">
        <f t="shared" si="76"/>
        <v>#DIV/0!</v>
      </c>
      <c r="AU23" s="8" t="str">
        <f t="shared" si="10"/>
        <v>#DIV/0!</v>
      </c>
      <c r="AV23" s="6">
        <f>countifs('9A'!$Y$2:$Y$655, AV$1, '9A'!$C$2:$C$655, "Karl")</f>
        <v>18</v>
      </c>
      <c r="AW23" s="6">
        <f>countifs('9A'!$Y$2:$Y$655, AW$1, '9A'!$C$2:$C$655, "Karl")</f>
        <v>0</v>
      </c>
      <c r="AX23" s="6">
        <f>countifs('9A'!$Y$2:$Y$655, AX$1, '9A'!$C$2:$C$655, "Karl")</f>
        <v>0</v>
      </c>
      <c r="AY23" s="6">
        <f>countifs('9A'!$Y$2:$Y$655, AY$1, '9A'!$C$2:$C$655, "Karl")</f>
        <v>0</v>
      </c>
      <c r="AZ23" s="6">
        <f>countifs('9A'!$Y$2:$Y$655, AZ$1, '9A'!$C$2:$C$655, "Karl")</f>
        <v>0</v>
      </c>
      <c r="BA23" s="6">
        <f>countifs('9A'!$Y$2:$Y$655, BA$1, '9A'!$C$2:$C$655, "Karl")</f>
        <v>0</v>
      </c>
      <c r="BB23" s="6">
        <f>countifs('9A'!$Y$2:$Y$655, BB$1, '9A'!$C$2:$C$655, "Karl")</f>
        <v>0</v>
      </c>
      <c r="BC23" s="6">
        <f>countifs('9A'!$Y$2:$Y$655, BC$1, '9A'!$C$2:$C$655, "Kona")</f>
        <v>40</v>
      </c>
      <c r="BD23" s="6">
        <f>countifs('9A'!$Y$2:$Y$655, BD$1, '9A'!$C$2:$C$655, "Kona")</f>
        <v>3</v>
      </c>
      <c r="BE23" s="6">
        <f>countifs('9A'!$Y$2:$Y$655, BE$1, '9A'!$C$2:$C$655, "Kona")</f>
        <v>0</v>
      </c>
      <c r="BF23" s="6">
        <f>countifs('9A'!$Y$2:$Y$655, BF$1, '9A'!$C$2:$C$655, "Kona")</f>
        <v>1</v>
      </c>
      <c r="BG23" s="6">
        <f>countifs('9A'!$Y$2:$Y$655, BG$1, '9A'!$C$2:$C$655, "Kona")</f>
        <v>1</v>
      </c>
      <c r="BH23" s="6">
        <f>countifs('9A'!$Y$2:$Y$655, BH$1, '9A'!$C$2:$C$655, "Kona")</f>
        <v>0</v>
      </c>
      <c r="BI23" s="6">
        <f>countifs('9A'!$Y$2:$Y$655, BI$1, '9A'!$C$2:$C$655, "Kona")</f>
        <v>2</v>
      </c>
      <c r="BJ23" s="9">
        <v>18.0</v>
      </c>
      <c r="BK23" s="9">
        <v>47.0</v>
      </c>
      <c r="BL23" s="7">
        <f>IFERROR(__xludf.DUMMYFUNCTION("AVERAGE.WEIGHTED($AV$1:$BB$1,AV23:BB23)"),1.0)</f>
        <v>1</v>
      </c>
      <c r="BM23" s="7">
        <f>IFERROR(__xludf.DUMMYFUNCTION("AVERAGE.WEIGHTED($BC$1:$BI$1,BC23:BI23)"),1.4680851063829787)</f>
        <v>1.468085106</v>
      </c>
      <c r="BN23" s="7">
        <f t="shared" ref="BN23:BO23" si="77">(BL23-1)*100/6</f>
        <v>0</v>
      </c>
      <c r="BO23" s="7">
        <f t="shared" si="77"/>
        <v>7.80141844</v>
      </c>
      <c r="BP23" s="7">
        <f t="shared" si="12"/>
        <v>3.90070922</v>
      </c>
      <c r="BQ23" s="7">
        <f t="shared" si="13"/>
        <v>3.90070922</v>
      </c>
      <c r="BR23" s="8">
        <f t="shared" si="14"/>
        <v>0.005220523746</v>
      </c>
    </row>
    <row r="24">
      <c r="A24" s="3">
        <v>23.0</v>
      </c>
      <c r="B24" s="1" t="s">
        <v>25</v>
      </c>
      <c r="C24" s="6">
        <f>countif('9A'!$Z$2:$Z$655, C$1)</f>
        <v>4</v>
      </c>
      <c r="D24" s="6">
        <f>countif('9A'!$Z$2:$Z$655, D$1)</f>
        <v>2</v>
      </c>
      <c r="E24" s="6">
        <f>countif('9A'!$Z$2:$Z$655, E$1)</f>
        <v>5</v>
      </c>
      <c r="F24" s="6">
        <f>countif('9A'!$Z$2:$Z$655, F$1)</f>
        <v>4</v>
      </c>
      <c r="G24" s="6">
        <f>countif('9A'!$Z$2:$Z$655, G$1)</f>
        <v>4</v>
      </c>
      <c r="H24" s="6">
        <f>countif('9A'!$Z$2:$Z$655, H$1)</f>
        <v>11</v>
      </c>
      <c r="I24" s="6">
        <f>countif('9A'!$Z$2:$Z$655, I$1)</f>
        <v>35</v>
      </c>
      <c r="J24" s="6">
        <f t="shared" si="59"/>
        <v>65</v>
      </c>
      <c r="K24" s="7">
        <f t="shared" si="6"/>
        <v>5.692307692</v>
      </c>
      <c r="N24" s="6">
        <f>countifs('9A'!$Z$2:$Z$655, N$1, '9A'!$B$2:$B$655, "&gt;"&amp;$L$2, '9A'!$B$2:$B$655, "&lt;"&amp;$M$2)</f>
        <v>0</v>
      </c>
      <c r="O24" s="6">
        <f>countifs('9A'!$Z$2:$Z$655, O$1, '9A'!$B$2:$B$655, "&gt;"&amp;$L$2, '9A'!$B$2:$B$655, "&lt;"&amp;$M$2)</f>
        <v>0</v>
      </c>
      <c r="P24" s="6">
        <f>countifs('9A'!$Z$2:$Z$655, P$1, '9A'!$B$2:$B$655, "&gt;"&amp;$L$2, '9A'!$B$2:$B$655, "&lt;"&amp;$M$2)</f>
        <v>0</v>
      </c>
      <c r="Q24" s="6">
        <f>countifs('9A'!$Z$2:$Z$655, Q$1, '9A'!$B$2:$B$655, "&gt;"&amp;$L$2, '9A'!$B$2:$B$655, "&lt;"&amp;$M$2)</f>
        <v>0</v>
      </c>
      <c r="R24" s="6">
        <f>countifs('9A'!$Z$2:$Z$655, R$1, '9A'!$B$2:$B$655, "&gt;"&amp;$L$2, '9A'!$B$2:$B$655, "&lt;"&amp;$M$2)</f>
        <v>0</v>
      </c>
      <c r="S24" s="6">
        <f>countifs('9A'!$Z$2:$Z$655, S$1, '9A'!$B$2:$B$655, "&gt;"&amp;$L$2, '9A'!$B$2:$B$655, "&lt;"&amp;$M$2)</f>
        <v>0</v>
      </c>
      <c r="T24" s="6">
        <f>countifs('9A'!$Z$2:$Z$655, T$1, '9A'!$B$2:$B$655, "&gt;"&amp;$L$2, '9A'!$B$2:$B$655, "&lt;"&amp;$M$2)</f>
        <v>0</v>
      </c>
      <c r="U24" s="6">
        <f>countifs('9A'!$Z$2:$Z$655, U$1, '9A'!$B$2:$B$655, "&gt;"&amp;$L$3, '9A'!$B$2:$B$655, "&lt;"&amp;$M$3)</f>
        <v>0</v>
      </c>
      <c r="V24" s="6">
        <f>countifs('9A'!$Z$2:$Z$655, V$1, '9A'!$B$2:$B$655, "&gt;"&amp;$L$3, '9A'!$B$2:$B$655, "&lt;"&amp;$M$3)</f>
        <v>0</v>
      </c>
      <c r="W24" s="6">
        <f>countifs('9A'!$Z$2:$Z$655, W$1, '9A'!$B$2:$B$655, "&gt;"&amp;$L$3, '9A'!$B$2:$B$655, "&lt;"&amp;$M$3)</f>
        <v>0</v>
      </c>
      <c r="X24" s="6">
        <f>countifs('9A'!$Z$2:$Z$655, X$1, '9A'!$B$2:$B$655, "&gt;"&amp;$L$3, '9A'!$B$2:$B$655, "&lt;"&amp;$M$3)</f>
        <v>0</v>
      </c>
      <c r="Y24" s="6">
        <f>countifs('9A'!$Z$2:$Z$655, Y$1, '9A'!$B$2:$B$655, "&gt;"&amp;$L$3, '9A'!$B$2:$B$655, "&lt;"&amp;$M$3)</f>
        <v>0</v>
      </c>
      <c r="Z24" s="6">
        <f>countifs('9A'!$Z$2:$Z$655, Z$1, '9A'!$B$2:$B$655, "&gt;"&amp;$L$3, '9A'!$B$2:$B$655, "&lt;"&amp;$M$3)</f>
        <v>0</v>
      </c>
      <c r="AA24" s="6">
        <f>countifs('9A'!$Z$2:$Z$655, AA$1, '9A'!$B$2:$B$655, "&gt;"&amp;$L$3, '9A'!$B$2:$B$655, "&lt;"&amp;$M$3)</f>
        <v>0</v>
      </c>
      <c r="AB24" s="6">
        <f>countifs('9A'!$Z$2:$Z$655, AB$1, '9A'!$B$2:$B$655, "&gt;"&amp;$L$4, '9A'!$B$2:$B$655, "&lt;"&amp;$M$4)</f>
        <v>0</v>
      </c>
      <c r="AC24" s="6">
        <f>countifs('9A'!$Z$2:$Z$655, AC$1, '9A'!$B$2:$B$655, "&gt;"&amp;$L$4, '9A'!$B$2:$B$655, "&lt;"&amp;$M$4)</f>
        <v>0</v>
      </c>
      <c r="AD24" s="6">
        <f>countifs('9A'!$Z$2:$Z$655, AD$1, '9A'!$B$2:$B$655, "&gt;"&amp;$L$4, '9A'!$B$2:$B$655, "&lt;"&amp;$M$4)</f>
        <v>0</v>
      </c>
      <c r="AE24" s="6">
        <f>countifs('9A'!$Z$2:$Z$655, AE$1, '9A'!$B$2:$B$655, "&gt;"&amp;$L$4, '9A'!$B$2:$B$655, "&lt;"&amp;$M$4)</f>
        <v>0</v>
      </c>
      <c r="AF24" s="6">
        <f>countifs('9A'!$Z$2:$Z$655, AF$1, '9A'!$B$2:$B$655, "&gt;"&amp;$L$4, '9A'!$B$2:$B$655, "&lt;"&amp;$M$4)</f>
        <v>0</v>
      </c>
      <c r="AG24" s="6">
        <f>countifs('9A'!$Z$2:$Z$655, AG$1, '9A'!$B$2:$B$655, "&gt;"&amp;$L$4, '9A'!$B$2:$B$655, "&lt;"&amp;$M$4)</f>
        <v>0</v>
      </c>
      <c r="AH24" s="6">
        <f>countifs('9A'!$Z$2:$Z$655, AH$1, '9A'!$B$2:$B$655, "&gt;"&amp;$L$4, '9A'!$B$2:$B$655, "&lt;"&amp;$M$4)</f>
        <v>0</v>
      </c>
      <c r="AI24" s="3">
        <v>8.0</v>
      </c>
      <c r="AJ24" s="3">
        <v>11.0</v>
      </c>
      <c r="AK24" s="3">
        <v>11.0</v>
      </c>
      <c r="AL24" s="7" t="str">
        <f>IFERROR(__xludf.DUMMYFUNCTION("AVERAGE.WEIGHTED($N$1:$T$1, N24:T24)"),"#DIV/0!")</f>
        <v>#DIV/0!</v>
      </c>
      <c r="AM24" s="7" t="str">
        <f>IFERROR(__xludf.DUMMYFUNCTION("AVERAGE.WEIGHTED($U$1:$AA$1, U24:AA24)"),"#DIV/0!")</f>
        <v>#DIV/0!</v>
      </c>
      <c r="AN24" s="7" t="str">
        <f>IFERROR(__xludf.DUMMYFUNCTION("AVERAGE.WEIGHTED($AB$1:$AH$1, AB24:AH24)"),"#DIV/0!")</f>
        <v>#DIV/0!</v>
      </c>
      <c r="AO24" s="7" t="str">
        <f t="shared" ref="AO24:AQ24" si="78">(AL24-1)*100/6</f>
        <v>#DIV/0!</v>
      </c>
      <c r="AP24" s="7" t="str">
        <f t="shared" si="78"/>
        <v>#DIV/0!</v>
      </c>
      <c r="AQ24" s="7" t="str">
        <f t="shared" si="78"/>
        <v>#DIV/0!</v>
      </c>
      <c r="AR24" s="8" t="str">
        <f t="shared" ref="AR24:AT24" si="79">average($AO24:$AQ24)</f>
        <v>#DIV/0!</v>
      </c>
      <c r="AS24" s="8" t="str">
        <f t="shared" si="79"/>
        <v>#DIV/0!</v>
      </c>
      <c r="AT24" s="8" t="str">
        <f t="shared" si="79"/>
        <v>#DIV/0!</v>
      </c>
      <c r="AU24" s="8" t="str">
        <f t="shared" si="10"/>
        <v>#DIV/0!</v>
      </c>
      <c r="AV24" s="6">
        <f>countifs('9A'!$Z$2:$Z$655, AV$1, '9A'!$C$2:$C$655, "Karl")</f>
        <v>2</v>
      </c>
      <c r="AW24" s="6">
        <f>countifs('9A'!$Z$2:$Z$655, AW$1, '9A'!$C$2:$C$655, "Karl")</f>
        <v>0</v>
      </c>
      <c r="AX24" s="6">
        <f>countifs('9A'!$Z$2:$Z$655, AX$1, '9A'!$C$2:$C$655, "Karl")</f>
        <v>2</v>
      </c>
      <c r="AY24" s="6">
        <f>countifs('9A'!$Z$2:$Z$655, AY$1, '9A'!$C$2:$C$655, "Karl")</f>
        <v>0</v>
      </c>
      <c r="AZ24" s="6">
        <f>countifs('9A'!$Z$2:$Z$655, AZ$1, '9A'!$C$2:$C$655, "Karl")</f>
        <v>0</v>
      </c>
      <c r="BA24" s="6">
        <f>countifs('9A'!$Z$2:$Z$655, BA$1, '9A'!$C$2:$C$655, "Karl")</f>
        <v>1</v>
      </c>
      <c r="BB24" s="6">
        <f>countifs('9A'!$Z$2:$Z$655, BB$1, '9A'!$C$2:$C$655, "Karl")</f>
        <v>13</v>
      </c>
      <c r="BC24" s="6">
        <f>countifs('9A'!$Z$2:$Z$655, BC$1, '9A'!$C$2:$C$655, "Kona")</f>
        <v>2</v>
      </c>
      <c r="BD24" s="6">
        <f>countifs('9A'!$Z$2:$Z$655, BD$1, '9A'!$C$2:$C$655, "Kona")</f>
        <v>2</v>
      </c>
      <c r="BE24" s="6">
        <f>countifs('9A'!$Z$2:$Z$655, BE$1, '9A'!$C$2:$C$655, "Kona")</f>
        <v>3</v>
      </c>
      <c r="BF24" s="6">
        <f>countifs('9A'!$Z$2:$Z$655, BF$1, '9A'!$C$2:$C$655, "Kona")</f>
        <v>4</v>
      </c>
      <c r="BG24" s="6">
        <f>countifs('9A'!$Z$2:$Z$655, BG$1, '9A'!$C$2:$C$655, "Kona")</f>
        <v>4</v>
      </c>
      <c r="BH24" s="6">
        <f>countifs('9A'!$Z$2:$Z$655, BH$1, '9A'!$C$2:$C$655, "Kona")</f>
        <v>10</v>
      </c>
      <c r="BI24" s="6">
        <f>countifs('9A'!$Z$2:$Z$655, BI$1, '9A'!$C$2:$C$655, "Kona")</f>
        <v>22</v>
      </c>
      <c r="BJ24" s="9">
        <v>18.0</v>
      </c>
      <c r="BK24" s="9">
        <v>47.0</v>
      </c>
      <c r="BL24" s="7">
        <f>IFERROR(__xludf.DUMMYFUNCTION("AVERAGE.WEIGHTED($AV$1:$BB$1,AV24:BB24)"),5.833333333333333)</f>
        <v>5.833333333</v>
      </c>
      <c r="BM24" s="7">
        <f>IFERROR(__xludf.DUMMYFUNCTION("AVERAGE.WEIGHTED($BC$1:$BI$1,BC24:BI24)"),5.638297872340425)</f>
        <v>5.638297872</v>
      </c>
      <c r="BN24" s="7">
        <f t="shared" ref="BN24:BO24" si="80">(BL24-1)*100/6</f>
        <v>80.55555556</v>
      </c>
      <c r="BO24" s="7">
        <f t="shared" si="80"/>
        <v>77.30496454</v>
      </c>
      <c r="BP24" s="7">
        <f t="shared" si="12"/>
        <v>78.93026005</v>
      </c>
      <c r="BQ24" s="7">
        <f t="shared" si="13"/>
        <v>78.93026005</v>
      </c>
      <c r="BR24" s="8">
        <f t="shared" si="14"/>
        <v>0.7958533264</v>
      </c>
    </row>
    <row r="25">
      <c r="A25" s="3">
        <v>24.0</v>
      </c>
      <c r="B25" s="1" t="s">
        <v>26</v>
      </c>
      <c r="C25" s="6">
        <f>countif('9A'!$AA$2:$AA$655, C$1)</f>
        <v>22</v>
      </c>
      <c r="D25" s="6">
        <f>countif('9A'!$AA$2:$AA$655, D$1)</f>
        <v>7</v>
      </c>
      <c r="E25" s="6">
        <f>countif('9A'!$AA$2:$AA$655, E$1)</f>
        <v>8</v>
      </c>
      <c r="F25" s="6">
        <f>countif('9A'!$AA$2:$AA$655, F$1)</f>
        <v>5</v>
      </c>
      <c r="G25" s="6">
        <f>countif('9A'!$AA$2:$AA$655, G$1)</f>
        <v>10</v>
      </c>
      <c r="H25" s="6">
        <f>countif('9A'!$AA$2:$AA$655, H$1)</f>
        <v>6</v>
      </c>
      <c r="I25" s="6">
        <f>countif('9A'!$AA$2:$AA$655, I$1)</f>
        <v>7</v>
      </c>
      <c r="J25" s="6">
        <f t="shared" si="59"/>
        <v>65</v>
      </c>
      <c r="K25" s="7">
        <f t="shared" si="6"/>
        <v>3.307692308</v>
      </c>
      <c r="N25" s="6">
        <f>countifs('9A'!$AA$2:$AA$655, N$1, '9A'!$B$2:$B$655, "&gt;"&amp;$L$2, '9A'!$B$2:$B$655, "&lt;"&amp;$M$2)</f>
        <v>0</v>
      </c>
      <c r="O25" s="6">
        <f>countifs('9A'!$AA$2:$AA$655, O$1, '9A'!$B$2:$B$655, "&gt;"&amp;$L$2, '9A'!$B$2:$B$655, "&lt;"&amp;$M$2)</f>
        <v>0</v>
      </c>
      <c r="P25" s="6">
        <f>countifs('9A'!$AA$2:$AA$655, P$1, '9A'!$B$2:$B$655, "&gt;"&amp;$L$2, '9A'!$B$2:$B$655, "&lt;"&amp;$M$2)</f>
        <v>0</v>
      </c>
      <c r="Q25" s="6">
        <f>countifs('9A'!$AA$2:$AA$655, Q$1, '9A'!$B$2:$B$655, "&gt;"&amp;$L$2, '9A'!$B$2:$B$655, "&lt;"&amp;$M$2)</f>
        <v>0</v>
      </c>
      <c r="R25" s="6">
        <f>countifs('9A'!$AA$2:$AA$655, R$1, '9A'!$B$2:$B$655, "&gt;"&amp;$L$2, '9A'!$B$2:$B$655, "&lt;"&amp;$M$2)</f>
        <v>0</v>
      </c>
      <c r="S25" s="6">
        <f>countifs('9A'!$AA$2:$AA$655, S$1, '9A'!$B$2:$B$655, "&gt;"&amp;$L$2, '9A'!$B$2:$B$655, "&lt;"&amp;$M$2)</f>
        <v>0</v>
      </c>
      <c r="T25" s="6">
        <f>countifs('9A'!$AA$2:$AA$655, T$1, '9A'!$B$2:$B$655, "&gt;"&amp;$L$2, '9A'!$B$2:$B$655, "&lt;"&amp;$M$2)</f>
        <v>0</v>
      </c>
      <c r="U25" s="6">
        <f>countifs('9A'!$AA$2:$AA$655, U$1, '9A'!$B$2:$B$655, "&gt;"&amp;$L$3, '9A'!$B$2:$B$655, "&lt;"&amp;$M$3)</f>
        <v>0</v>
      </c>
      <c r="V25" s="6">
        <f>countifs('9A'!$AA$2:$AA$655, V$1, '9A'!$B$2:$B$655, "&gt;"&amp;$L$3, '9A'!$B$2:$B$655, "&lt;"&amp;$M$3)</f>
        <v>0</v>
      </c>
      <c r="W25" s="6">
        <f>countifs('9A'!$AA$2:$AA$655, W$1, '9A'!$B$2:$B$655, "&gt;"&amp;$L$3, '9A'!$B$2:$B$655, "&lt;"&amp;$M$3)</f>
        <v>0</v>
      </c>
      <c r="X25" s="6">
        <f>countifs('9A'!$AA$2:$AA$655, X$1, '9A'!$B$2:$B$655, "&gt;"&amp;$L$3, '9A'!$B$2:$B$655, "&lt;"&amp;$M$3)</f>
        <v>0</v>
      </c>
      <c r="Y25" s="6">
        <f>countifs('9A'!$AA$2:$AA$655, Y$1, '9A'!$B$2:$B$655, "&gt;"&amp;$L$3, '9A'!$B$2:$B$655, "&lt;"&amp;$M$3)</f>
        <v>0</v>
      </c>
      <c r="Z25" s="6">
        <f>countifs('9A'!$AA$2:$AA$655, Z$1, '9A'!$B$2:$B$655, "&gt;"&amp;$L$3, '9A'!$B$2:$B$655, "&lt;"&amp;$M$3)</f>
        <v>0</v>
      </c>
      <c r="AA25" s="6">
        <f>countifs('9A'!$AA$2:$AA$655, AA$1, '9A'!$B$2:$B$655, "&gt;"&amp;$L$3, '9A'!$B$2:$B$655, "&lt;"&amp;$M$3)</f>
        <v>0</v>
      </c>
      <c r="AB25" s="6">
        <f>countifs('9A'!$AA$2:$AA$655, AB$1, '9A'!$B$2:$B$655, "&gt;"&amp;$L$4, '9A'!$B$2:$B$655, "&lt;"&amp;$M$4)</f>
        <v>0</v>
      </c>
      <c r="AC25" s="6">
        <f>countifs('9A'!$AA$2:$AA$655, AC$1, '9A'!$B$2:$B$655, "&gt;"&amp;$L$4, '9A'!$B$2:$B$655, "&lt;"&amp;$M$4)</f>
        <v>0</v>
      </c>
      <c r="AD25" s="6">
        <f>countifs('9A'!$AA$2:$AA$655, AD$1, '9A'!$B$2:$B$655, "&gt;"&amp;$L$4, '9A'!$B$2:$B$655, "&lt;"&amp;$M$4)</f>
        <v>0</v>
      </c>
      <c r="AE25" s="6">
        <f>countifs('9A'!$AA$2:$AA$655, AE$1, '9A'!$B$2:$B$655, "&gt;"&amp;$L$4, '9A'!$B$2:$B$655, "&lt;"&amp;$M$4)</f>
        <v>0</v>
      </c>
      <c r="AF25" s="6">
        <f>countifs('9A'!$AA$2:$AA$655, AF$1, '9A'!$B$2:$B$655, "&gt;"&amp;$L$4, '9A'!$B$2:$B$655, "&lt;"&amp;$M$4)</f>
        <v>0</v>
      </c>
      <c r="AG25" s="6">
        <f>countifs('9A'!$AA$2:$AA$655, AG$1, '9A'!$B$2:$B$655, "&gt;"&amp;$L$4, '9A'!$B$2:$B$655, "&lt;"&amp;$M$4)</f>
        <v>0</v>
      </c>
      <c r="AH25" s="6">
        <f>countifs('9A'!$AA$2:$AA$655, AH$1, '9A'!$B$2:$B$655, "&gt;"&amp;$L$4, '9A'!$B$2:$B$655, "&lt;"&amp;$M$4)</f>
        <v>0</v>
      </c>
      <c r="AI25" s="3">
        <v>8.0</v>
      </c>
      <c r="AJ25" s="3">
        <v>11.0</v>
      </c>
      <c r="AK25" s="3">
        <v>11.0</v>
      </c>
      <c r="AL25" s="7" t="str">
        <f>IFERROR(__xludf.DUMMYFUNCTION("AVERAGE.WEIGHTED($N$1:$T$1, N25:T25)"),"#DIV/0!")</f>
        <v>#DIV/0!</v>
      </c>
      <c r="AM25" s="7" t="str">
        <f>IFERROR(__xludf.DUMMYFUNCTION("AVERAGE.WEIGHTED($U$1:$AA$1, U25:AA25)"),"#DIV/0!")</f>
        <v>#DIV/0!</v>
      </c>
      <c r="AN25" s="7" t="str">
        <f>IFERROR(__xludf.DUMMYFUNCTION("AVERAGE.WEIGHTED($AB$1:$AH$1, AB25:AH25)"),"#DIV/0!")</f>
        <v>#DIV/0!</v>
      </c>
      <c r="AO25" s="7" t="str">
        <f t="shared" ref="AO25:AQ25" si="81">(AL25-1)*100/6</f>
        <v>#DIV/0!</v>
      </c>
      <c r="AP25" s="7" t="str">
        <f t="shared" si="81"/>
        <v>#DIV/0!</v>
      </c>
      <c r="AQ25" s="7" t="str">
        <f t="shared" si="81"/>
        <v>#DIV/0!</v>
      </c>
      <c r="AR25" s="8" t="str">
        <f t="shared" ref="AR25:AT25" si="82">average($AO25:$AQ25)</f>
        <v>#DIV/0!</v>
      </c>
      <c r="AS25" s="8" t="str">
        <f t="shared" si="82"/>
        <v>#DIV/0!</v>
      </c>
      <c r="AT25" s="8" t="str">
        <f t="shared" si="82"/>
        <v>#DIV/0!</v>
      </c>
      <c r="AU25" s="8" t="str">
        <f t="shared" si="10"/>
        <v>#DIV/0!</v>
      </c>
      <c r="AV25" s="6">
        <f>countifs('9A'!$AA$2:$AA$655, AV$1, '9A'!$C$2:$C$655, "Karl")</f>
        <v>6</v>
      </c>
      <c r="AW25" s="6">
        <f>countifs('9A'!$AA$2:$AA$655, AW$1, '9A'!$C$2:$C$655, "Karl")</f>
        <v>2</v>
      </c>
      <c r="AX25" s="6">
        <f>countifs('9A'!$AA$2:$AA$655, AX$1, '9A'!$C$2:$C$655, "Karl")</f>
        <v>3</v>
      </c>
      <c r="AY25" s="6">
        <f>countifs('9A'!$AA$2:$AA$655, AY$1, '9A'!$C$2:$C$655, "Karl")</f>
        <v>0</v>
      </c>
      <c r="AZ25" s="6">
        <f>countifs('9A'!$AA$2:$AA$655, AZ$1, '9A'!$C$2:$C$655, "Karl")</f>
        <v>2</v>
      </c>
      <c r="BA25" s="6">
        <f>countifs('9A'!$AA$2:$AA$655, BA$1, '9A'!$C$2:$C$655, "Karl")</f>
        <v>2</v>
      </c>
      <c r="BB25" s="6">
        <f>countifs('9A'!$AA$2:$AA$655, BB$1, '9A'!$C$2:$C$655, "Karl")</f>
        <v>3</v>
      </c>
      <c r="BC25" s="6">
        <f>countifs('9A'!$AA$2:$AA$655, BC$1, '9A'!$C$2:$C$655, "Kona")</f>
        <v>16</v>
      </c>
      <c r="BD25" s="6">
        <f>countifs('9A'!$AA$2:$AA$655, BD$1, '9A'!$C$2:$C$655, "Kona")</f>
        <v>5</v>
      </c>
      <c r="BE25" s="6">
        <f>countifs('9A'!$AA$2:$AA$655, BE$1, '9A'!$C$2:$C$655, "Kona")</f>
        <v>5</v>
      </c>
      <c r="BF25" s="6">
        <f>countifs('9A'!$AA$2:$AA$655, BF$1, '9A'!$C$2:$C$655, "Kona")</f>
        <v>5</v>
      </c>
      <c r="BG25" s="6">
        <f>countifs('9A'!$AA$2:$AA$655, BG$1, '9A'!$C$2:$C$655, "Kona")</f>
        <v>8</v>
      </c>
      <c r="BH25" s="6">
        <f>countifs('9A'!$AA$2:$AA$655, BH$1, '9A'!$C$2:$C$655, "Kona")</f>
        <v>4</v>
      </c>
      <c r="BI25" s="6">
        <f>countifs('9A'!$AA$2:$AA$655, BI$1, '9A'!$C$2:$C$655, "Kona")</f>
        <v>4</v>
      </c>
      <c r="BJ25" s="9">
        <v>18.0</v>
      </c>
      <c r="BK25" s="9">
        <v>47.0</v>
      </c>
      <c r="BL25" s="7">
        <f>IFERROR(__xludf.DUMMYFUNCTION("AVERAGE.WEIGHTED($AV$1:$BB$1,AV25:BB25)"),3.444444444444444)</f>
        <v>3.444444444</v>
      </c>
      <c r="BM25" s="7">
        <f>IFERROR(__xludf.DUMMYFUNCTION("AVERAGE.WEIGHTED($BC$1:$BI$1,BC25:BI25)"),3.2553191489361706)</f>
        <v>3.255319149</v>
      </c>
      <c r="BN25" s="7">
        <f t="shared" ref="BN25:BO25" si="83">(BL25-1)*100/6</f>
        <v>40.74074074</v>
      </c>
      <c r="BO25" s="7">
        <f t="shared" si="83"/>
        <v>37.58865248</v>
      </c>
      <c r="BP25" s="7">
        <f t="shared" si="12"/>
        <v>39.16469661</v>
      </c>
      <c r="BQ25" s="7">
        <f t="shared" si="13"/>
        <v>39.16469661</v>
      </c>
      <c r="BR25" s="8">
        <f t="shared" si="14"/>
        <v>0.7217263677</v>
      </c>
    </row>
    <row r="26">
      <c r="A26" s="3">
        <v>25.0</v>
      </c>
      <c r="B26" s="1" t="s">
        <v>27</v>
      </c>
      <c r="C26" s="6">
        <f>countif('9A'!$AB$2:$AB$655, C$1)</f>
        <v>5</v>
      </c>
      <c r="D26" s="6">
        <f>countif('9A'!$AB$2:$AB$655, D$1)</f>
        <v>3</v>
      </c>
      <c r="E26" s="6">
        <f>countif('9A'!$AB$2:$AB$655, E$1)</f>
        <v>4</v>
      </c>
      <c r="F26" s="6">
        <f>countif('9A'!$AB$2:$AB$655, F$1)</f>
        <v>2</v>
      </c>
      <c r="G26" s="6">
        <f>countif('9A'!$AB$2:$AB$655, G$1)</f>
        <v>5</v>
      </c>
      <c r="H26" s="6">
        <f>countif('9A'!$AB$2:$AB$655, H$1)</f>
        <v>14</v>
      </c>
      <c r="I26" s="6">
        <f>countif('9A'!$AB$2:$AB$655, I$1)</f>
        <v>32</v>
      </c>
      <c r="J26" s="6">
        <f t="shared" si="59"/>
        <v>65</v>
      </c>
      <c r="K26" s="7">
        <f t="shared" si="6"/>
        <v>5.6</v>
      </c>
      <c r="N26" s="6">
        <f>countifs('9A'!$AB$2:$AB$655, N$1, '9A'!$B$2:$B$655, "&gt;"&amp;$L$2, '9A'!$B$2:$B$655, "&lt;"&amp;$M$2)</f>
        <v>0</v>
      </c>
      <c r="O26" s="6">
        <f>countifs('9A'!$AB$2:$AB$655, O$1, '9A'!$B$2:$B$655, "&gt;"&amp;$L$2, '9A'!$B$2:$B$655, "&lt;"&amp;$M$2)</f>
        <v>0</v>
      </c>
      <c r="P26" s="6">
        <f>countifs('9A'!$AB$2:$AB$655, P$1, '9A'!$B$2:$B$655, "&gt;"&amp;$L$2, '9A'!$B$2:$B$655, "&lt;"&amp;$M$2)</f>
        <v>0</v>
      </c>
      <c r="Q26" s="6">
        <f>countifs('9A'!$AB$2:$AB$655, Q$1, '9A'!$B$2:$B$655, "&gt;"&amp;$L$2, '9A'!$B$2:$B$655, "&lt;"&amp;$M$2)</f>
        <v>0</v>
      </c>
      <c r="R26" s="6">
        <f>countifs('9A'!$AB$2:$AB$655, R$1, '9A'!$B$2:$B$655, "&gt;"&amp;$L$2, '9A'!$B$2:$B$655, "&lt;"&amp;$M$2)</f>
        <v>0</v>
      </c>
      <c r="S26" s="6">
        <f>countifs('9A'!$AB$2:$AB$655, S$1, '9A'!$B$2:$B$655, "&gt;"&amp;$L$2, '9A'!$B$2:$B$655, "&lt;"&amp;$M$2)</f>
        <v>0</v>
      </c>
      <c r="T26" s="6">
        <f>countifs('9A'!$AB$2:$AB$655, T$1, '9A'!$B$2:$B$655, "&gt;"&amp;$L$2, '9A'!$B$2:$B$655, "&lt;"&amp;$M$2)</f>
        <v>0</v>
      </c>
      <c r="U26" s="6">
        <f>countifs('9A'!$AB$2:$AB$655, U$1, '9A'!$B$2:$B$655, "&gt;"&amp;$L$3, '9A'!$B$2:$B$655, "&lt;"&amp;$M$3)</f>
        <v>0</v>
      </c>
      <c r="V26" s="6">
        <f>countifs('9A'!$AB$2:$AB$655, V$1, '9A'!$B$2:$B$655, "&gt;"&amp;$L$3, '9A'!$B$2:$B$655, "&lt;"&amp;$M$3)</f>
        <v>0</v>
      </c>
      <c r="W26" s="6">
        <f>countifs('9A'!$AB$2:$AB$655, W$1, '9A'!$B$2:$B$655, "&gt;"&amp;$L$3, '9A'!$B$2:$B$655, "&lt;"&amp;$M$3)</f>
        <v>0</v>
      </c>
      <c r="X26" s="6">
        <f>countifs('9A'!$AB$2:$AB$655, X$1, '9A'!$B$2:$B$655, "&gt;"&amp;$L$3, '9A'!$B$2:$B$655, "&lt;"&amp;$M$3)</f>
        <v>0</v>
      </c>
      <c r="Y26" s="6">
        <f>countifs('9A'!$AB$2:$AB$655, Y$1, '9A'!$B$2:$B$655, "&gt;"&amp;$L$3, '9A'!$B$2:$B$655, "&lt;"&amp;$M$3)</f>
        <v>0</v>
      </c>
      <c r="Z26" s="6">
        <f>countifs('9A'!$AB$2:$AB$655, Z$1, '9A'!$B$2:$B$655, "&gt;"&amp;$L$3, '9A'!$B$2:$B$655, "&lt;"&amp;$M$3)</f>
        <v>0</v>
      </c>
      <c r="AA26" s="6">
        <f>countifs('9A'!$AB$2:$AB$655, AA$1, '9A'!$B$2:$B$655, "&gt;"&amp;$L$3, '9A'!$B$2:$B$655, "&lt;"&amp;$M$3)</f>
        <v>0</v>
      </c>
      <c r="AB26" s="6">
        <f>countifs('9A'!$AB$2:$AB$655, AB$1, '9A'!$B$2:$B$655, "&gt;"&amp;$L$4, '9A'!$B$2:$B$655, "&lt;"&amp;$M$4)</f>
        <v>0</v>
      </c>
      <c r="AC26" s="6">
        <f>countifs('9A'!$AB$2:$AB$655, AC$1, '9A'!$B$2:$B$655, "&gt;"&amp;$L$4, '9A'!$B$2:$B$655, "&lt;"&amp;$M$4)</f>
        <v>0</v>
      </c>
      <c r="AD26" s="6">
        <f>countifs('9A'!$AB$2:$AB$655, AD$1, '9A'!$B$2:$B$655, "&gt;"&amp;$L$4, '9A'!$B$2:$B$655, "&lt;"&amp;$M$4)</f>
        <v>0</v>
      </c>
      <c r="AE26" s="6">
        <f>countifs('9A'!$AB$2:$AB$655, AE$1, '9A'!$B$2:$B$655, "&gt;"&amp;$L$4, '9A'!$B$2:$B$655, "&lt;"&amp;$M$4)</f>
        <v>0</v>
      </c>
      <c r="AF26" s="6">
        <f>countifs('9A'!$AB$2:$AB$655, AF$1, '9A'!$B$2:$B$655, "&gt;"&amp;$L$4, '9A'!$B$2:$B$655, "&lt;"&amp;$M$4)</f>
        <v>0</v>
      </c>
      <c r="AG26" s="6">
        <f>countifs('9A'!$AB$2:$AB$655, AG$1, '9A'!$B$2:$B$655, "&gt;"&amp;$L$4, '9A'!$B$2:$B$655, "&lt;"&amp;$M$4)</f>
        <v>0</v>
      </c>
      <c r="AH26" s="6">
        <f>countifs('9A'!$AB$2:$AB$655, AH$1, '9A'!$B$2:$B$655, "&gt;"&amp;$L$4, '9A'!$B$2:$B$655, "&lt;"&amp;$M$4)</f>
        <v>0</v>
      </c>
      <c r="AI26" s="3">
        <v>8.0</v>
      </c>
      <c r="AJ26" s="3">
        <v>11.0</v>
      </c>
      <c r="AK26" s="3">
        <v>11.0</v>
      </c>
      <c r="AL26" s="7" t="str">
        <f>IFERROR(__xludf.DUMMYFUNCTION("AVERAGE.WEIGHTED($N$1:$T$1, N26:T26)"),"#DIV/0!")</f>
        <v>#DIV/0!</v>
      </c>
      <c r="AM26" s="7" t="str">
        <f>IFERROR(__xludf.DUMMYFUNCTION("AVERAGE.WEIGHTED($U$1:$AA$1, U26:AA26)"),"#DIV/0!")</f>
        <v>#DIV/0!</v>
      </c>
      <c r="AN26" s="7" t="str">
        <f>IFERROR(__xludf.DUMMYFUNCTION("AVERAGE.WEIGHTED($AB$1:$AH$1, AB26:AH26)"),"#DIV/0!")</f>
        <v>#DIV/0!</v>
      </c>
      <c r="AO26" s="7" t="str">
        <f t="shared" ref="AO26:AQ26" si="84">(AL26-1)*100/6</f>
        <v>#DIV/0!</v>
      </c>
      <c r="AP26" s="7" t="str">
        <f t="shared" si="84"/>
        <v>#DIV/0!</v>
      </c>
      <c r="AQ26" s="7" t="str">
        <f t="shared" si="84"/>
        <v>#DIV/0!</v>
      </c>
      <c r="AR26" s="8" t="str">
        <f t="shared" ref="AR26:AT26" si="85">average($AO26:$AQ26)</f>
        <v>#DIV/0!</v>
      </c>
      <c r="AS26" s="8" t="str">
        <f t="shared" si="85"/>
        <v>#DIV/0!</v>
      </c>
      <c r="AT26" s="8" t="str">
        <f t="shared" si="85"/>
        <v>#DIV/0!</v>
      </c>
      <c r="AU26" s="8" t="str">
        <f t="shared" si="10"/>
        <v>#DIV/0!</v>
      </c>
      <c r="AV26" s="6">
        <f>countifs('9A'!$AB$2:$AB$655, AV$1, '9A'!$C$2:$C$655, "Karl")</f>
        <v>1</v>
      </c>
      <c r="AW26" s="6">
        <f>countifs('9A'!$AB$2:$AB$655, AW$1, '9A'!$C$2:$C$655, "Karl")</f>
        <v>0</v>
      </c>
      <c r="AX26" s="6">
        <f>countifs('9A'!$AB$2:$AB$655, AX$1, '9A'!$C$2:$C$655, "Karl")</f>
        <v>1</v>
      </c>
      <c r="AY26" s="6">
        <f>countifs('9A'!$AB$2:$AB$655, AY$1, '9A'!$C$2:$C$655, "Karl")</f>
        <v>2</v>
      </c>
      <c r="AZ26" s="6">
        <f>countifs('9A'!$AB$2:$AB$655, AZ$1, '9A'!$C$2:$C$655, "Karl")</f>
        <v>2</v>
      </c>
      <c r="BA26" s="6">
        <f>countifs('9A'!$AB$2:$AB$655, BA$1, '9A'!$C$2:$C$655, "Karl")</f>
        <v>2</v>
      </c>
      <c r="BB26" s="6">
        <f>countifs('9A'!$AB$2:$AB$655, BB$1, '9A'!$C$2:$C$655, "Karl")</f>
        <v>10</v>
      </c>
      <c r="BC26" s="6">
        <f>countifs('9A'!$AB$2:$AB$655, BC$1, '9A'!$C$2:$C$655, "Kona")</f>
        <v>4</v>
      </c>
      <c r="BD26" s="6">
        <f>countifs('9A'!$AB$2:$AB$655, BD$1, '9A'!$C$2:$C$655, "Kona")</f>
        <v>3</v>
      </c>
      <c r="BE26" s="6">
        <f>countifs('9A'!$AB$2:$AB$655, BE$1, '9A'!$C$2:$C$655, "Kona")</f>
        <v>3</v>
      </c>
      <c r="BF26" s="6">
        <f>countifs('9A'!$AB$2:$AB$655, BF$1, '9A'!$C$2:$C$655, "Kona")</f>
        <v>0</v>
      </c>
      <c r="BG26" s="6">
        <f>countifs('9A'!$AB$2:$AB$655, BG$1, '9A'!$C$2:$C$655, "Kona")</f>
        <v>3</v>
      </c>
      <c r="BH26" s="6">
        <f>countifs('9A'!$AB$2:$AB$655, BH$1, '9A'!$C$2:$C$655, "Kona")</f>
        <v>12</v>
      </c>
      <c r="BI26" s="6">
        <f>countifs('9A'!$AB$2:$AB$655, BI$1, '9A'!$C$2:$C$655, "Kona")</f>
        <v>22</v>
      </c>
      <c r="BJ26" s="9">
        <v>18.0</v>
      </c>
      <c r="BK26" s="9">
        <v>47.0</v>
      </c>
      <c r="BL26" s="7">
        <f>IFERROR(__xludf.DUMMYFUNCTION("AVERAGE.WEIGHTED($AV$1:$BB$1,AV26:BB26)"),5.777777777777778)</f>
        <v>5.777777778</v>
      </c>
      <c r="BM26" s="7">
        <f>IFERROR(__xludf.DUMMYFUNCTION("AVERAGE.WEIGHTED($BC$1:$BI$1,BC26:BI26)"),5.531914893617021)</f>
        <v>5.531914894</v>
      </c>
      <c r="BN26" s="7">
        <f t="shared" ref="BN26:BO26" si="86">(BL26-1)*100/6</f>
        <v>79.62962963</v>
      </c>
      <c r="BO26" s="7">
        <f t="shared" si="86"/>
        <v>75.53191489</v>
      </c>
      <c r="BP26" s="7">
        <f t="shared" si="12"/>
        <v>77.58077226</v>
      </c>
      <c r="BQ26" s="7">
        <f t="shared" si="13"/>
        <v>77.58077226</v>
      </c>
      <c r="BR26" s="8">
        <f t="shared" si="14"/>
        <v>0.7421821541</v>
      </c>
    </row>
    <row r="27">
      <c r="A27" s="3"/>
      <c r="K27" s="7"/>
      <c r="AL27" s="7"/>
      <c r="AM27" s="7"/>
      <c r="AN27" s="7"/>
      <c r="AO27" s="8"/>
      <c r="AP27" s="8"/>
      <c r="AQ27" s="8"/>
      <c r="AR27" s="8"/>
      <c r="AS27" s="8"/>
      <c r="AT27" s="8"/>
      <c r="AU27" s="8"/>
    </row>
    <row r="28">
      <c r="K28" s="7"/>
      <c r="AL28" s="7"/>
      <c r="AM28" s="7"/>
      <c r="AN28" s="7"/>
      <c r="AO28" s="8"/>
      <c r="AP28" s="8"/>
      <c r="AQ28" s="8"/>
      <c r="AR28" s="8"/>
      <c r="AS28" s="8"/>
      <c r="AT28" s="8"/>
      <c r="AU28" s="8"/>
    </row>
    <row r="29">
      <c r="K29" s="7"/>
      <c r="AL29" s="7"/>
      <c r="AM29" s="7"/>
      <c r="AN29" s="7"/>
      <c r="AO29" s="8"/>
      <c r="AP29" s="8"/>
      <c r="AQ29" s="8"/>
      <c r="AR29" s="8"/>
      <c r="AS29" s="8"/>
      <c r="AT29" s="8"/>
      <c r="AU29" s="8"/>
    </row>
    <row r="30">
      <c r="A30" s="3"/>
      <c r="K30" s="7"/>
      <c r="AL30" s="7"/>
      <c r="AM30" s="7"/>
      <c r="AN30" s="7"/>
      <c r="AO30" s="8"/>
      <c r="AP30" s="8"/>
      <c r="AQ30" s="8"/>
      <c r="AR30" s="8"/>
      <c r="AS30" s="8"/>
      <c r="AT30" s="8"/>
      <c r="AU30" s="8"/>
    </row>
    <row r="31">
      <c r="K31" s="7"/>
      <c r="AL31" s="7"/>
      <c r="AM31" s="7"/>
      <c r="AN31" s="7"/>
      <c r="AO31" s="8"/>
      <c r="AP31" s="8"/>
      <c r="AQ31" s="8"/>
      <c r="AR31" s="8"/>
      <c r="AS31" s="8"/>
      <c r="AT31" s="8"/>
      <c r="AU31" s="8"/>
    </row>
    <row r="32">
      <c r="K32" s="7"/>
      <c r="AL32" s="7"/>
      <c r="AM32" s="7"/>
      <c r="AN32" s="7"/>
      <c r="AO32" s="8"/>
      <c r="AP32" s="8"/>
      <c r="AQ32" s="8"/>
      <c r="AR32" s="8"/>
      <c r="AS32" s="8"/>
      <c r="AT32" s="8"/>
      <c r="AU32" s="8"/>
    </row>
    <row r="33">
      <c r="A33" s="3"/>
      <c r="K33" s="7"/>
      <c r="AL33" s="7"/>
      <c r="AM33" s="7"/>
      <c r="AN33" s="7"/>
      <c r="AO33" s="8"/>
      <c r="AP33" s="8"/>
      <c r="AQ33" s="8"/>
      <c r="AR33" s="8"/>
      <c r="AS33" s="8"/>
      <c r="AT33" s="8"/>
      <c r="AU33" s="8"/>
    </row>
    <row r="34">
      <c r="K34" s="7"/>
      <c r="AL34" s="7"/>
      <c r="AM34" s="7"/>
      <c r="AN34" s="7"/>
      <c r="AO34" s="8"/>
      <c r="AP34" s="8"/>
      <c r="AQ34" s="8"/>
      <c r="AR34" s="8"/>
      <c r="AS34" s="8"/>
      <c r="AT34" s="8"/>
      <c r="AU34" s="8"/>
    </row>
    <row r="35">
      <c r="K35" s="7"/>
      <c r="AL35" s="7"/>
      <c r="AM35" s="7"/>
      <c r="AN35" s="7"/>
      <c r="AO35" s="8"/>
      <c r="AP35" s="8"/>
      <c r="AQ35" s="8"/>
      <c r="AR35" s="8"/>
      <c r="AS35" s="8"/>
      <c r="AT35" s="8"/>
      <c r="AU35" s="8"/>
    </row>
    <row r="36">
      <c r="A36" s="3"/>
      <c r="K36" s="7"/>
      <c r="AL36" s="7"/>
      <c r="AM36" s="7"/>
      <c r="AN36" s="7"/>
      <c r="AO36" s="8"/>
      <c r="AP36" s="8"/>
      <c r="AQ36" s="8"/>
      <c r="AR36" s="8"/>
      <c r="AS36" s="8"/>
      <c r="AT36" s="8"/>
      <c r="AU36" s="8"/>
    </row>
    <row r="37">
      <c r="K37" s="7"/>
      <c r="AL37" s="7"/>
      <c r="AM37" s="7"/>
      <c r="AN37" s="7"/>
      <c r="AO37" s="8"/>
      <c r="AP37" s="8"/>
      <c r="AQ37" s="8"/>
      <c r="AR37" s="8"/>
      <c r="AS37" s="8"/>
      <c r="AT37" s="8"/>
      <c r="AU37" s="8"/>
    </row>
    <row r="38">
      <c r="K38" s="7"/>
      <c r="AL38" s="7"/>
      <c r="AM38" s="7"/>
      <c r="AN38" s="7"/>
      <c r="AO38" s="8"/>
      <c r="AP38" s="8"/>
      <c r="AQ38" s="8"/>
      <c r="AR38" s="8"/>
      <c r="AS38" s="8"/>
      <c r="AT38" s="8"/>
      <c r="AU38" s="8"/>
    </row>
    <row r="39">
      <c r="A39" s="3"/>
      <c r="K39" s="7"/>
      <c r="AL39" s="7"/>
      <c r="AM39" s="7"/>
      <c r="AN39" s="7"/>
      <c r="AO39" s="8"/>
      <c r="AP39" s="8"/>
      <c r="AQ39" s="8"/>
      <c r="AR39" s="8"/>
      <c r="AS39" s="8"/>
      <c r="AT39" s="8"/>
      <c r="AU39" s="8"/>
    </row>
    <row r="40">
      <c r="K40" s="7"/>
      <c r="AL40" s="7"/>
      <c r="AM40" s="7"/>
      <c r="AN40" s="7"/>
      <c r="AO40" s="8"/>
      <c r="AP40" s="8"/>
      <c r="AQ40" s="8"/>
      <c r="AR40" s="8"/>
      <c r="AS40" s="8"/>
      <c r="AT40" s="8"/>
      <c r="AU40" s="8"/>
    </row>
    <row r="41">
      <c r="K41" s="7"/>
      <c r="AL41" s="7"/>
      <c r="AM41" s="7"/>
      <c r="AN41" s="7"/>
      <c r="AO41" s="8"/>
      <c r="AP41" s="8"/>
      <c r="AQ41" s="8"/>
      <c r="AR41" s="8"/>
      <c r="AS41" s="8"/>
      <c r="AT41" s="8"/>
      <c r="AU41" s="8"/>
    </row>
    <row r="42">
      <c r="A42" s="3"/>
      <c r="K42" s="7"/>
      <c r="AL42" s="7"/>
      <c r="AM42" s="7"/>
      <c r="AN42" s="7"/>
      <c r="AO42" s="8"/>
      <c r="AP42" s="8"/>
      <c r="AQ42" s="8"/>
      <c r="AR42" s="8"/>
      <c r="AS42" s="8"/>
      <c r="AT42" s="8"/>
      <c r="AU42" s="8"/>
    </row>
    <row r="43">
      <c r="K43" s="7"/>
      <c r="AL43" s="7"/>
      <c r="AM43" s="7"/>
      <c r="AN43" s="7"/>
      <c r="AO43" s="8"/>
      <c r="AP43" s="8"/>
      <c r="AQ43" s="8"/>
      <c r="AR43" s="8"/>
      <c r="AS43" s="8"/>
      <c r="AT43" s="8"/>
      <c r="AU43" s="8"/>
    </row>
    <row r="44">
      <c r="K44" s="7"/>
      <c r="AL44" s="7"/>
      <c r="AM44" s="7"/>
      <c r="AN44" s="7"/>
      <c r="AO44" s="8"/>
      <c r="AP44" s="8"/>
      <c r="AQ44" s="8"/>
      <c r="AR44" s="8"/>
      <c r="AS44" s="8"/>
      <c r="AT44" s="8"/>
      <c r="AU44" s="8"/>
    </row>
    <row r="45">
      <c r="A45" s="3"/>
      <c r="K45" s="7"/>
      <c r="AL45" s="7"/>
      <c r="AM45" s="7"/>
      <c r="AN45" s="7"/>
      <c r="AO45" s="8"/>
      <c r="AP45" s="8"/>
      <c r="AQ45" s="8"/>
      <c r="AR45" s="8"/>
      <c r="AS45" s="8"/>
      <c r="AT45" s="8"/>
      <c r="AU45" s="8"/>
    </row>
    <row r="46">
      <c r="K46" s="7"/>
      <c r="AL46" s="7"/>
      <c r="AM46" s="7"/>
      <c r="AN46" s="7"/>
      <c r="AO46" s="8"/>
      <c r="AP46" s="8"/>
      <c r="AQ46" s="8"/>
      <c r="AR46" s="8"/>
      <c r="AS46" s="8"/>
      <c r="AT46" s="8"/>
      <c r="AU46" s="8"/>
    </row>
    <row r="47">
      <c r="K47" s="7"/>
      <c r="AL47" s="7"/>
      <c r="AM47" s="7"/>
      <c r="AN47" s="7"/>
      <c r="AO47" s="8"/>
      <c r="AP47" s="8"/>
      <c r="AQ47" s="8"/>
      <c r="AR47" s="8"/>
      <c r="AS47" s="8"/>
      <c r="AT47" s="8"/>
      <c r="AU47" s="8"/>
    </row>
    <row r="48">
      <c r="A48" s="3"/>
      <c r="K48" s="7"/>
      <c r="AL48" s="7"/>
      <c r="AM48" s="7"/>
      <c r="AN48" s="7"/>
      <c r="AO48" s="8"/>
      <c r="AP48" s="8"/>
      <c r="AQ48" s="8"/>
      <c r="AR48" s="8"/>
      <c r="AS48" s="8"/>
      <c r="AT48" s="8"/>
      <c r="AU48" s="8"/>
    </row>
    <row r="49">
      <c r="K49" s="7"/>
      <c r="AL49" s="7"/>
      <c r="AM49" s="7"/>
      <c r="AN49" s="7"/>
      <c r="AO49" s="8"/>
      <c r="AP49" s="8"/>
      <c r="AQ49" s="8"/>
      <c r="AR49" s="8"/>
      <c r="AS49" s="8"/>
      <c r="AT49" s="8"/>
      <c r="AU49" s="8"/>
    </row>
    <row r="50">
      <c r="K50" s="7"/>
      <c r="AL50" s="7"/>
      <c r="AM50" s="7"/>
      <c r="AN50" s="7"/>
      <c r="AO50" s="8"/>
      <c r="AP50" s="8"/>
      <c r="AQ50" s="8"/>
      <c r="AR50" s="8"/>
      <c r="AS50" s="8"/>
      <c r="AT50" s="8"/>
      <c r="AU50" s="8"/>
    </row>
    <row r="51">
      <c r="A51" s="3"/>
      <c r="K51" s="7"/>
      <c r="AL51" s="7"/>
      <c r="AM51" s="7"/>
      <c r="AN51" s="7"/>
      <c r="AO51" s="8"/>
      <c r="AP51" s="8"/>
      <c r="AQ51" s="8"/>
      <c r="AR51" s="8"/>
      <c r="AS51" s="8"/>
      <c r="AT51" s="8"/>
      <c r="AU51" s="8"/>
    </row>
  </sheetData>
  <conditionalFormatting sqref="AO2:AU51">
    <cfRule type="cellIs" dxfId="0" priority="1" operator="lessThan">
      <formula>0.05</formula>
    </cfRule>
  </conditionalFormatting>
  <conditionalFormatting sqref="BR2:BR26">
    <cfRule type="cellIs" dxfId="1" priority="2" operator="lessThan">
      <formula>0.05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59.38"/>
    <col customWidth="1" min="3" max="3" width="3.63"/>
    <col customWidth="1" min="4" max="9" width="3.25"/>
    <col customWidth="1" min="10" max="10" width="4.5"/>
    <col customWidth="1" min="11" max="11" width="15.25"/>
    <col customWidth="1" hidden="1" min="12" max="13" width="5.0"/>
    <col customWidth="1" hidden="1" min="14" max="14" width="2.88"/>
    <col customWidth="1" hidden="1" min="15" max="19" width="1.88"/>
    <col customWidth="1" hidden="1" min="20" max="21" width="2.88"/>
    <col customWidth="1" hidden="1" min="22" max="34" width="1.88"/>
    <col customWidth="1" min="35" max="37" width="9.25"/>
    <col customWidth="1" hidden="1" min="38" max="40" width="11.38"/>
    <col customWidth="1" hidden="1" min="41" max="46" width="6.63"/>
    <col customWidth="1" hidden="1" min="47" max="47" width="6.88"/>
    <col customWidth="1" hidden="1" min="48" max="48" width="2.88"/>
    <col customWidth="1" hidden="1" min="49" max="53" width="1.88"/>
    <col customWidth="1" hidden="1" min="54" max="61" width="2.88"/>
    <col customWidth="1" min="62" max="62" width="9.5"/>
    <col customWidth="1" min="63" max="63" width="11.75"/>
    <col customWidth="1" hidden="1" min="64" max="64" width="11.38"/>
    <col customWidth="1" hidden="1" min="65" max="65" width="13.75"/>
    <col customWidth="1" hidden="1" min="66" max="70" width="6.88"/>
  </cols>
  <sheetData>
    <row r="1">
      <c r="A1" s="4" t="s">
        <v>54</v>
      </c>
      <c r="B1" s="4" t="s">
        <v>55</v>
      </c>
      <c r="C1" s="4">
        <v>1.0</v>
      </c>
      <c r="D1" s="4">
        <v>2.0</v>
      </c>
      <c r="E1" s="4">
        <v>3.0</v>
      </c>
      <c r="F1" s="4">
        <v>4.0</v>
      </c>
      <c r="G1" s="4">
        <v>5.0</v>
      </c>
      <c r="H1" s="4">
        <v>6.0</v>
      </c>
      <c r="I1" s="4">
        <v>7.0</v>
      </c>
      <c r="J1" s="4" t="s">
        <v>56</v>
      </c>
      <c r="K1" s="4" t="s">
        <v>57</v>
      </c>
      <c r="L1" s="4" t="s">
        <v>58</v>
      </c>
      <c r="M1" s="5"/>
      <c r="N1" s="4">
        <v>1.0</v>
      </c>
      <c r="O1" s="4">
        <v>2.0</v>
      </c>
      <c r="P1" s="4">
        <v>3.0</v>
      </c>
      <c r="Q1" s="4">
        <v>4.0</v>
      </c>
      <c r="R1" s="4">
        <v>5.0</v>
      </c>
      <c r="S1" s="4">
        <v>6.0</v>
      </c>
      <c r="T1" s="4">
        <v>7.0</v>
      </c>
      <c r="U1" s="4">
        <v>1.0</v>
      </c>
      <c r="V1" s="4">
        <v>2.0</v>
      </c>
      <c r="W1" s="4">
        <v>3.0</v>
      </c>
      <c r="X1" s="4">
        <v>4.0</v>
      </c>
      <c r="Y1" s="4">
        <v>5.0</v>
      </c>
      <c r="Z1" s="4">
        <v>6.0</v>
      </c>
      <c r="AA1" s="4">
        <v>7.0</v>
      </c>
      <c r="AB1" s="4">
        <v>1.0</v>
      </c>
      <c r="AC1" s="4">
        <v>2.0</v>
      </c>
      <c r="AD1" s="4">
        <v>3.0</v>
      </c>
      <c r="AE1" s="4">
        <v>4.0</v>
      </c>
      <c r="AF1" s="4">
        <v>5.0</v>
      </c>
      <c r="AG1" s="4">
        <v>6.0</v>
      </c>
      <c r="AH1" s="4">
        <v>7.0</v>
      </c>
      <c r="AI1" s="4" t="s">
        <v>59</v>
      </c>
      <c r="AJ1" s="4" t="s">
        <v>60</v>
      </c>
      <c r="AK1" s="4" t="s">
        <v>61</v>
      </c>
      <c r="AL1" s="4" t="s">
        <v>62</v>
      </c>
      <c r="AM1" s="4" t="s">
        <v>63</v>
      </c>
      <c r="AN1" s="4" t="s">
        <v>64</v>
      </c>
      <c r="AO1" s="4"/>
      <c r="AP1" s="4"/>
      <c r="AQ1" s="4"/>
      <c r="AR1" s="4" t="s">
        <v>71</v>
      </c>
      <c r="AS1" s="4"/>
      <c r="AT1" s="4"/>
      <c r="AU1" s="10" t="s">
        <v>66</v>
      </c>
      <c r="AV1" s="11">
        <v>1.0</v>
      </c>
      <c r="AW1" s="11">
        <v>2.0</v>
      </c>
      <c r="AX1" s="11">
        <v>3.0</v>
      </c>
      <c r="AY1" s="11">
        <v>4.0</v>
      </c>
      <c r="AZ1" s="11">
        <v>5.0</v>
      </c>
      <c r="BA1" s="11">
        <v>6.0</v>
      </c>
      <c r="BB1" s="11">
        <v>7.0</v>
      </c>
      <c r="BC1" s="11">
        <v>1.0</v>
      </c>
      <c r="BD1" s="11">
        <v>2.0</v>
      </c>
      <c r="BE1" s="11">
        <v>3.0</v>
      </c>
      <c r="BF1" s="11">
        <v>4.0</v>
      </c>
      <c r="BG1" s="11">
        <v>5.0</v>
      </c>
      <c r="BH1" s="11">
        <v>6.0</v>
      </c>
      <c r="BI1" s="11">
        <v>7.0</v>
      </c>
      <c r="BJ1" s="12" t="s">
        <v>72</v>
      </c>
      <c r="BK1" s="12" t="s">
        <v>73</v>
      </c>
      <c r="BL1" s="12" t="s">
        <v>74</v>
      </c>
      <c r="BM1" s="12" t="s">
        <v>75</v>
      </c>
      <c r="BN1" s="11"/>
      <c r="BO1" s="10"/>
      <c r="BP1" s="10"/>
      <c r="BQ1" s="10"/>
      <c r="BR1" s="10" t="s">
        <v>66</v>
      </c>
    </row>
    <row r="2">
      <c r="A2" s="3">
        <v>1.0</v>
      </c>
      <c r="B2" s="1" t="s">
        <v>30</v>
      </c>
      <c r="C2" s="6">
        <f>countif('9B'!$D$2:$D$664, C$1)</f>
        <v>20</v>
      </c>
      <c r="D2" s="6">
        <f>countif('9B'!$D$2:$D$664, D$1)</f>
        <v>10</v>
      </c>
      <c r="E2" s="6">
        <f>countif('9B'!$D$2:$D$664, E$1)</f>
        <v>5</v>
      </c>
      <c r="F2" s="6">
        <f>countif('9B'!$D$2:$D$664, F$1)</f>
        <v>6</v>
      </c>
      <c r="G2" s="6">
        <f>countif('9B'!$D$2:$D$664, G$1)</f>
        <v>13</v>
      </c>
      <c r="H2" s="6">
        <f>countif('9B'!$D$2:$D$664, H$1)</f>
        <v>16</v>
      </c>
      <c r="I2" s="6">
        <f>countif('9B'!$D$2:$D$664, I$1)</f>
        <v>31</v>
      </c>
      <c r="J2" s="6">
        <f t="shared" ref="J2:J26" si="4">SUM(C2:I2)</f>
        <v>101</v>
      </c>
      <c r="K2" s="7">
        <f t="shared" ref="K2:K26" si="5">((C2*1)+(D2*2)+(E2*3)+(F2*4)+(G2*5)+(H2*6)+(I2*7))/J2</f>
        <v>4.524752475</v>
      </c>
      <c r="L2" s="4" t="str">
        <f>'General average A'!L2</f>
        <v>#REF!</v>
      </c>
      <c r="M2" s="4" t="str">
        <f>'General average A'!M2</f>
        <v>#REF!</v>
      </c>
      <c r="N2" s="6">
        <f>countifs('9B'!$D$2:$D$664, N$1, '9B'!$B$2:$B$664, "&gt;"&amp;$L$2, '9B'!$B$2:$B$664, "&lt;"&amp;$M$2)</f>
        <v>0</v>
      </c>
      <c r="O2" s="6">
        <f>countifs('9B'!$D$2:$D$664, O$1, '9B'!$B$2:$B$664, "&gt;"&amp;$L$2, '9B'!$B$2:$B$664, "&lt;"&amp;$M$2)</f>
        <v>0</v>
      </c>
      <c r="P2" s="6">
        <f>countifs('9B'!$D$2:$D$664, P$1, '9B'!$B$2:$B$664, "&gt;"&amp;$L$2, '9B'!$B$2:$B$664, "&lt;"&amp;$M$2)</f>
        <v>0</v>
      </c>
      <c r="Q2" s="6">
        <f>countifs('9B'!$D$2:$D$664, Q$1, '9B'!$B$2:$B$664, "&gt;"&amp;$L$2, '9B'!$B$2:$B$664, "&lt;"&amp;$M$2)</f>
        <v>0</v>
      </c>
      <c r="R2" s="6">
        <f>countifs('9B'!$D$2:$D$664, R$1, '9B'!$B$2:$B$664, "&gt;"&amp;$L$2, '9B'!$B$2:$B$664, "&lt;"&amp;$M$2)</f>
        <v>0</v>
      </c>
      <c r="S2" s="6">
        <f>countifs('9B'!$D$2:$D$664, S$1, '9B'!$B$2:$B$664, "&gt;"&amp;$L$2, '9B'!$B$2:$B$664, "&lt;"&amp;$M$2)</f>
        <v>0</v>
      </c>
      <c r="T2" s="6">
        <f>countifs('9B'!$D$2:$D$664, T$1, '9B'!$B$2:$B$664, "&gt;"&amp;$L$2, '9B'!$B$2:$B$664, "&lt;"&amp;$M$2)</f>
        <v>0</v>
      </c>
      <c r="U2" s="6">
        <f>countifs('9B'!$D$2:$D$664, U$1, '9B'!$B$2:$B$664, "&gt;"&amp;$L$3, '9B'!$B$2:$B$664, "&lt;"&amp;$M$3)</f>
        <v>0</v>
      </c>
      <c r="V2" s="6">
        <f>countifs('9B'!$D$2:$D$664, V$1, '9B'!$B$2:$B$664, "&gt;"&amp;$L$3, '9B'!$B$2:$B$664, "&lt;"&amp;$M$3)</f>
        <v>0</v>
      </c>
      <c r="W2" s="6">
        <f>countifs('9B'!$D$2:$D$664, W$1, '9B'!$B$2:$B$664, "&gt;"&amp;$L$3, '9B'!$B$2:$B$664, "&lt;"&amp;$M$3)</f>
        <v>0</v>
      </c>
      <c r="X2" s="6">
        <f>countifs('9B'!$D$2:$D$664, X$1, '9B'!$B$2:$B$664, "&gt;"&amp;$L$3, '9B'!$B$2:$B$664, "&lt;"&amp;$M$3)</f>
        <v>0</v>
      </c>
      <c r="Y2" s="6">
        <f>countifs('9B'!$D$2:$D$664, Y$1, '9B'!$B$2:$B$664, "&gt;"&amp;$L$3, '9B'!$B$2:$B$664, "&lt;"&amp;$M$3)</f>
        <v>0</v>
      </c>
      <c r="Z2" s="6">
        <f>countifs('9B'!$D$2:$D$664, Z$1, '9B'!$B$2:$B$664, "&gt;"&amp;$L$3, '9B'!$B$2:$B$664, "&lt;"&amp;$M$3)</f>
        <v>0</v>
      </c>
      <c r="AA2" s="6">
        <f>countifs('9B'!$D$2:$D$664, AA$1, '9B'!$B$2:$B$664, "&gt;"&amp;$L$3, '9B'!$B$2:$B$664, "&lt;"&amp;$M$3)</f>
        <v>0</v>
      </c>
      <c r="AB2" s="6">
        <f>countifs('9B'!$D$2:$D$664, AB$1, '9B'!$B$2:$B$664, "&gt;"&amp;$L$4, '9B'!$B$2:$B$664, "&lt;"&amp;$M$4)</f>
        <v>0</v>
      </c>
      <c r="AC2" s="6">
        <f>countifs('9B'!$D$2:$D$664, AC$1, '9B'!$B$2:$B$664, "&gt;"&amp;$L$4, '9B'!$B$2:$B$664, "&lt;"&amp;$M$4)</f>
        <v>0</v>
      </c>
      <c r="AD2" s="6">
        <f>countifs('9B'!$D$2:$D$664, AD$1, '9B'!$B$2:$B$664, "&gt;"&amp;$L$4, '9B'!$B$2:$B$664, "&lt;"&amp;$M$4)</f>
        <v>0</v>
      </c>
      <c r="AE2" s="6">
        <f>countifs('9B'!$D$2:$D$664, AE$1, '9B'!$B$2:$B$664, "&gt;"&amp;$L$4, '9B'!$B$2:$B$664, "&lt;"&amp;$M$4)</f>
        <v>0</v>
      </c>
      <c r="AF2" s="6">
        <f>countifs('9B'!$D$2:$D$664, AF$1, '9B'!$B$2:$B$664, "&gt;"&amp;$L$4, '9B'!$B$2:$B$664, "&lt;"&amp;$M$4)</f>
        <v>0</v>
      </c>
      <c r="AG2" s="6">
        <f>countifs('9B'!$D$2:$D$664, AG$1, '9B'!$B$2:$B$664, "&gt;"&amp;$L$4, '9B'!$B$2:$B$664, "&lt;"&amp;$M$4)</f>
        <v>0</v>
      </c>
      <c r="AH2" s="6">
        <f>countifs('9B'!$D$2:$D$664, AH$1, '9B'!$B$2:$B$664, "&gt;"&amp;$L$4, '9B'!$B$2:$B$664, "&lt;"&amp;$M$4)</f>
        <v>0</v>
      </c>
      <c r="AI2" s="3">
        <v>3.0</v>
      </c>
      <c r="AJ2" s="3">
        <v>23.0</v>
      </c>
      <c r="AK2" s="3">
        <v>17.0</v>
      </c>
      <c r="AL2" s="7" t="str">
        <f>IFERROR(__xludf.DUMMYFUNCTION("AVERAGE.WEIGHTED($N$1:$T$1, N2:T2)"),"#DIV/0!")</f>
        <v>#DIV/0!</v>
      </c>
      <c r="AM2" s="7" t="str">
        <f>IFERROR(__xludf.DUMMYFUNCTION("AVERAGE.WEIGHTED($U$1:$AA$1, U2:AA2)"),"#DIV/0!")</f>
        <v>#DIV/0!</v>
      </c>
      <c r="AN2" s="13" t="str">
        <f>IFERROR(__xludf.DUMMYFUNCTION("AVERAGE.WEIGHTED($AB$1:$AH$1, AB2:AH2)"),"#DIV/0!")</f>
        <v>#DIV/0!</v>
      </c>
      <c r="AO2" s="7" t="str">
        <f t="shared" ref="AO2:AQ2" si="1">(AL2-1)*100/6</f>
        <v>#DIV/0!</v>
      </c>
      <c r="AP2" s="7" t="str">
        <f t="shared" si="1"/>
        <v>#DIV/0!</v>
      </c>
      <c r="AQ2" s="7" t="str">
        <f t="shared" si="1"/>
        <v>#DIV/0!</v>
      </c>
      <c r="AR2" s="6" t="str">
        <f t="shared" ref="AR2:AT2" si="2">Average($AO2:$AQ2)</f>
        <v>#DIV/0!</v>
      </c>
      <c r="AS2" s="6" t="str">
        <f t="shared" si="2"/>
        <v>#DIV/0!</v>
      </c>
      <c r="AT2" s="6" t="str">
        <f t="shared" si="2"/>
        <v>#DIV/0!</v>
      </c>
      <c r="AU2" s="8" t="str">
        <f t="shared" ref="AU2:AU26" si="8">_xlfn.CHISQ.TEST(AO2:AQ2,AR2:AT2)</f>
        <v>#DIV/0!</v>
      </c>
      <c r="AV2" s="14">
        <f>countifs('9B'!$D$2:$D$579, AV$1, '9B'!$C$2:$C$579, "Karl")</f>
        <v>7</v>
      </c>
      <c r="AW2" s="14">
        <f>countifs('9B'!$D$2:$D$579, AW$1, '9B'!$C$2:$C$579, "Karl")</f>
        <v>1</v>
      </c>
      <c r="AX2" s="14">
        <f>countifs('9B'!$D$2:$D$579, AX$1, '9B'!$C$2:$C$579, "Karl")</f>
        <v>0</v>
      </c>
      <c r="AY2" s="14">
        <f>countifs('9B'!$D$2:$D$579, AY$1, '9B'!$C$2:$C$579, "Karl")</f>
        <v>1</v>
      </c>
      <c r="AZ2" s="14">
        <f>countifs('9B'!$D$2:$D$579, AZ$1, '9B'!$C$2:$C$579, "Karl")</f>
        <v>3</v>
      </c>
      <c r="BA2" s="14">
        <f>countifs('9B'!$D$2:$D$579, BA$1, '9B'!$C$2:$C$579, "Karl")</f>
        <v>7</v>
      </c>
      <c r="BB2" s="14">
        <f>countifs('9B'!$D$2:$D$579, BB$1, '9B'!$C$2:$C$579, "Karl")</f>
        <v>3</v>
      </c>
      <c r="BC2" s="14">
        <f>countifs('9B'!$D$2:$D$579, BC$1, '9B'!$C$2:$C$579, "Kona")</f>
        <v>13</v>
      </c>
      <c r="BD2" s="14">
        <f>countifs('9B'!$D$2:$D$579, BD$1, '9B'!$C$2:$C$579, "Kona")</f>
        <v>9</v>
      </c>
      <c r="BE2" s="14">
        <f>countifs('9B'!$D$2:$D$579, BE$1, '9B'!$C$2:$C$579, "Kona")</f>
        <v>5</v>
      </c>
      <c r="BF2" s="14">
        <f>countifs('9B'!$D$2:$D$579, BF$1, '9B'!$C$2:$C$579, "Kona")</f>
        <v>5</v>
      </c>
      <c r="BG2" s="14">
        <f>countifs('9B'!$D$2:$D$579, BG$1, '9B'!$C$2:$C$579, "Kona")</f>
        <v>10</v>
      </c>
      <c r="BH2" s="14">
        <f>countifs('9B'!$D$2:$D$579, BH$1, '9B'!$C$2:$C$579, "Kona")</f>
        <v>9</v>
      </c>
      <c r="BI2" s="14">
        <f>countifs('9B'!$D$2:$D$579, BI$1, '9B'!$C$2:$C$579, "Kona")</f>
        <v>28</v>
      </c>
      <c r="BJ2" s="9">
        <v>22.0</v>
      </c>
      <c r="BK2" s="9">
        <v>79.0</v>
      </c>
      <c r="BL2" s="7">
        <f>IFERROR(__xludf.DUMMYFUNCTION("AVERAGE.WEIGHTED($AV$1:$BB$1,AV2:BB2)"),4.136363636363637)</f>
        <v>4.136363636</v>
      </c>
      <c r="BM2" s="7">
        <f>IFERROR(__xludf.DUMMYFUNCTION("AVERAGE.WEIGHTED($BC$1:$BI$1,BC2:BI2)"),4.632911392405063)</f>
        <v>4.632911392</v>
      </c>
      <c r="BN2" s="7">
        <f t="shared" ref="BN2:BO2" si="3">(BL2-1)*100/6</f>
        <v>52.27272727</v>
      </c>
      <c r="BO2" s="7">
        <f t="shared" si="3"/>
        <v>60.54852321</v>
      </c>
      <c r="BP2" s="8">
        <f t="shared" ref="BP2:BP26" si="10">AVERAGE(BN2:BO2)</f>
        <v>56.41062524</v>
      </c>
      <c r="BQ2" s="8">
        <f t="shared" ref="BQ2:BQ26" si="11">AVERAGE(BN2:BO2)</f>
        <v>56.41062524</v>
      </c>
      <c r="BR2" s="8">
        <f t="shared" ref="BR2:BR26" si="12">_xlfn.CHISQ.TEST(BN2:BO2,BP2:BQ2)</f>
        <v>0.4358984989</v>
      </c>
    </row>
    <row r="3">
      <c r="A3" s="3">
        <v>2.0</v>
      </c>
      <c r="B3" s="1" t="s">
        <v>31</v>
      </c>
      <c r="C3" s="6">
        <f>countif('9B'!$E$2:$E$664, C$1)</f>
        <v>10</v>
      </c>
      <c r="D3" s="6">
        <f>countif('9B'!$E$2:$E$664, D$1)</f>
        <v>5</v>
      </c>
      <c r="E3" s="6">
        <f>countif('9B'!$E$2:$E$664, E$1)</f>
        <v>3</v>
      </c>
      <c r="F3" s="6">
        <f>countif('9B'!$E$2:$E$664, F$1)</f>
        <v>5</v>
      </c>
      <c r="G3" s="6">
        <f>countif('9B'!$E$2:$E$664, G$1)</f>
        <v>6</v>
      </c>
      <c r="H3" s="6">
        <f>countif('9B'!$E$2:$E$664, H$1)</f>
        <v>26</v>
      </c>
      <c r="I3" s="6">
        <f>countif('9B'!$E$2:$E$664, I$1)</f>
        <v>46</v>
      </c>
      <c r="J3" s="6">
        <f t="shared" si="4"/>
        <v>101</v>
      </c>
      <c r="K3" s="7">
        <f t="shared" si="5"/>
        <v>5.514851485</v>
      </c>
      <c r="L3" s="4" t="str">
        <f>'General average A'!L3</f>
        <v>#REF!</v>
      </c>
      <c r="M3" s="4" t="str">
        <f>'General average A'!M3</f>
        <v>#REF!</v>
      </c>
      <c r="N3" s="6">
        <f>countifs('9B'!$E$2:$E$664, N$1, '9B'!$B$2:$B$664, "&gt;"&amp;$L$2, '9B'!$B$2:$B$664, "&lt;"&amp;$M$2)</f>
        <v>0</v>
      </c>
      <c r="O3" s="6">
        <f>countifs('9B'!$E$2:$E$664, O$1, '9B'!$B$2:$B$664, "&gt;"&amp;$L$2, '9B'!$B$2:$B$664, "&lt;"&amp;$M$2)</f>
        <v>0</v>
      </c>
      <c r="P3" s="6">
        <f>countifs('9B'!$E$2:$E$664, P$1, '9B'!$B$2:$B$664, "&gt;"&amp;$L$2, '9B'!$B$2:$B$664, "&lt;"&amp;$M$2)</f>
        <v>0</v>
      </c>
      <c r="Q3" s="6">
        <f>countifs('9B'!$E$2:$E$664, Q$1, '9B'!$B$2:$B$664, "&gt;"&amp;$L$2, '9B'!$B$2:$B$664, "&lt;"&amp;$M$2)</f>
        <v>0</v>
      </c>
      <c r="R3" s="6">
        <f>countifs('9B'!$E$2:$E$664, R$1, '9B'!$B$2:$B$664, "&gt;"&amp;$L$2, '9B'!$B$2:$B$664, "&lt;"&amp;$M$2)</f>
        <v>0</v>
      </c>
      <c r="S3" s="6">
        <f>countifs('9B'!$E$2:$E$664, S$1, '9B'!$B$2:$B$664, "&gt;"&amp;$L$2, '9B'!$B$2:$B$664, "&lt;"&amp;$M$2)</f>
        <v>0</v>
      </c>
      <c r="T3" s="6">
        <f>countifs('9B'!$E$2:$E$664, T$1, '9B'!$B$2:$B$664, "&gt;"&amp;$L$2, '9B'!$B$2:$B$664, "&lt;"&amp;$M$2)</f>
        <v>0</v>
      </c>
      <c r="U3" s="6">
        <f>countifs('9B'!$E$2:$E$664, U$1, '9B'!$B$2:$B$664, "&gt;"&amp;$L$3, '9B'!$B$2:$B$664, "&lt;"&amp;$M$3)</f>
        <v>0</v>
      </c>
      <c r="V3" s="6">
        <f>countifs('9B'!$E$2:$E$664, V$1, '9B'!$B$2:$B$664, "&gt;"&amp;$L$3, '9B'!$B$2:$B$664, "&lt;"&amp;$M$3)</f>
        <v>0</v>
      </c>
      <c r="W3" s="6">
        <f>countifs('9B'!$E$2:$E$664, W$1, '9B'!$B$2:$B$664, "&gt;"&amp;$L$3, '9B'!$B$2:$B$664, "&lt;"&amp;$M$3)</f>
        <v>0</v>
      </c>
      <c r="X3" s="6">
        <f>countifs('9B'!$E$2:$E$664, X$1, '9B'!$B$2:$B$664, "&gt;"&amp;$L$3, '9B'!$B$2:$B$664, "&lt;"&amp;$M$3)</f>
        <v>0</v>
      </c>
      <c r="Y3" s="6">
        <f>countifs('9B'!$E$2:$E$664, Y$1, '9B'!$B$2:$B$664, "&gt;"&amp;$L$3, '9B'!$B$2:$B$664, "&lt;"&amp;$M$3)</f>
        <v>0</v>
      </c>
      <c r="Z3" s="6">
        <f>countifs('9B'!$E$2:$E$664, Z$1, '9B'!$B$2:$B$664, "&gt;"&amp;$L$3, '9B'!$B$2:$B$664, "&lt;"&amp;$M$3)</f>
        <v>0</v>
      </c>
      <c r="AA3" s="6">
        <f>countifs('9B'!$E$2:$E$664, AA$1, '9B'!$B$2:$B$664, "&gt;"&amp;$L$3, '9B'!$B$2:$B$664, "&lt;"&amp;$M$3)</f>
        <v>0</v>
      </c>
      <c r="AB3" s="6">
        <f>countifs('9B'!$E$2:$E$664, AB$1, '9B'!$B$2:$B$664, "&gt;"&amp;$L$4, '9B'!$B$2:$B$664, "&lt;"&amp;$M$4)</f>
        <v>0</v>
      </c>
      <c r="AC3" s="6">
        <f>countifs('9B'!$E$2:$E$664, AC$1, '9B'!$B$2:$B$664, "&gt;"&amp;$L$4, '9B'!$B$2:$B$664, "&lt;"&amp;$M$4)</f>
        <v>0</v>
      </c>
      <c r="AD3" s="6">
        <f>countifs('9B'!$E$2:$E$664, AD$1, '9B'!$B$2:$B$664, "&gt;"&amp;$L$4, '9B'!$B$2:$B$664, "&lt;"&amp;$M$4)</f>
        <v>0</v>
      </c>
      <c r="AE3" s="6">
        <f>countifs('9B'!$E$2:$E$664, AE$1, '9B'!$B$2:$B$664, "&gt;"&amp;$L$4, '9B'!$B$2:$B$664, "&lt;"&amp;$M$4)</f>
        <v>0</v>
      </c>
      <c r="AF3" s="6">
        <f>countifs('9B'!$E$2:$E$664, AF$1, '9B'!$B$2:$B$664, "&gt;"&amp;$L$4, '9B'!$B$2:$B$664, "&lt;"&amp;$M$4)</f>
        <v>0</v>
      </c>
      <c r="AG3" s="6">
        <f>countifs('9B'!$E$2:$E$664, AG$1, '9B'!$B$2:$B$664, "&gt;"&amp;$L$4, '9B'!$B$2:$B$664, "&lt;"&amp;$M$4)</f>
        <v>0</v>
      </c>
      <c r="AH3" s="6">
        <f>countifs('9B'!$E$2:$E$664, AH$1, '9B'!$B$2:$B$664, "&gt;"&amp;$L$4, '9B'!$B$2:$B$664, "&lt;"&amp;$M$4)</f>
        <v>0</v>
      </c>
      <c r="AI3" s="3">
        <v>3.0</v>
      </c>
      <c r="AJ3" s="3">
        <v>23.0</v>
      </c>
      <c r="AK3" s="3">
        <v>17.0</v>
      </c>
      <c r="AL3" s="7" t="str">
        <f>IFERROR(__xludf.DUMMYFUNCTION("AVERAGE.WEIGHTED($N$1:$T$1, N3:T3)"),"#DIV/0!")</f>
        <v>#DIV/0!</v>
      </c>
      <c r="AM3" s="7" t="str">
        <f>IFERROR(__xludf.DUMMYFUNCTION("AVERAGE.WEIGHTED($U$1:$AA$1, U3:AA3)"),"#DIV/0!")</f>
        <v>#DIV/0!</v>
      </c>
      <c r="AN3" s="13" t="str">
        <f>IFERROR(__xludf.DUMMYFUNCTION("AVERAGE.WEIGHTED($AB$1:$AH$1, AB3:AH3)"),"#DIV/0!")</f>
        <v>#DIV/0!</v>
      </c>
      <c r="AO3" s="7" t="str">
        <f t="shared" ref="AO3:AQ3" si="6">(AL3-1)*100/6</f>
        <v>#DIV/0!</v>
      </c>
      <c r="AP3" s="7" t="str">
        <f t="shared" si="6"/>
        <v>#DIV/0!</v>
      </c>
      <c r="AQ3" s="7" t="str">
        <f t="shared" si="6"/>
        <v>#DIV/0!</v>
      </c>
      <c r="AR3" s="6" t="str">
        <f t="shared" ref="AR3:AT3" si="7">Average($AO3:$AQ3)</f>
        <v>#DIV/0!</v>
      </c>
      <c r="AS3" s="6" t="str">
        <f t="shared" si="7"/>
        <v>#DIV/0!</v>
      </c>
      <c r="AT3" s="6" t="str">
        <f t="shared" si="7"/>
        <v>#DIV/0!</v>
      </c>
      <c r="AU3" s="8" t="str">
        <f t="shared" si="8"/>
        <v>#DIV/0!</v>
      </c>
      <c r="AV3" s="14">
        <f>countifs('9B'!$E$2:$E$579, AV$1, '9B'!$C$2:$C$579, "Karl")</f>
        <v>4</v>
      </c>
      <c r="AW3" s="14">
        <f>countifs('9B'!$E$2:$E$579, AW$1, '9B'!$C$2:$C$579, "Karl")</f>
        <v>1</v>
      </c>
      <c r="AX3" s="14">
        <f>countifs('9B'!$E$2:$E$579, AX$1, '9B'!$C$2:$C$579, "Karl")</f>
        <v>0</v>
      </c>
      <c r="AY3" s="14">
        <f>countifs('9B'!$E$2:$E$579, AY$1, '9B'!$C$2:$C$579, "Karl")</f>
        <v>1</v>
      </c>
      <c r="AZ3" s="14">
        <f>countifs('9B'!$E$2:$E$579, AZ$1, '9B'!$C$2:$C$579, "Karl")</f>
        <v>1</v>
      </c>
      <c r="BA3" s="14">
        <f>countifs('9B'!$E$2:$E$579, BA$1, '9B'!$C$2:$C$579, "Karl")</f>
        <v>6</v>
      </c>
      <c r="BB3" s="14">
        <f>countifs('9B'!$E$2:$E$579, BB$1, '9B'!$C$2:$C$579, "Karl")</f>
        <v>9</v>
      </c>
      <c r="BC3" s="14">
        <f>countifs('9B'!$E$2:$E$579, BC$1, '9B'!$C$2:$C$579, "Kona")</f>
        <v>6</v>
      </c>
      <c r="BD3" s="14">
        <f>countifs('9B'!$E$2:$E$579, BD$1, '9B'!$C$2:$C$579, "Kona")</f>
        <v>4</v>
      </c>
      <c r="BE3" s="14">
        <f>countifs('9B'!$E$2:$E$579, BE$1, '9B'!$C$2:$C$579, "Kona")</f>
        <v>3</v>
      </c>
      <c r="BF3" s="14">
        <f>countifs('9B'!$E$2:$E$579, BF$1, '9B'!$C$2:$C$579, "Kona")</f>
        <v>4</v>
      </c>
      <c r="BG3" s="14">
        <f>countifs('9B'!$E$2:$E$579, BG$1, '9B'!$C$2:$C$579, "Kona")</f>
        <v>5</v>
      </c>
      <c r="BH3" s="14">
        <f>countifs('9B'!$E$2:$E$579, BH$1, '9B'!$C$2:$C$579, "Kona")</f>
        <v>20</v>
      </c>
      <c r="BI3" s="14">
        <f>countifs('9B'!$E$2:$E$579, BI$1, '9B'!$C$2:$C$579, "Kona")</f>
        <v>37</v>
      </c>
      <c r="BJ3" s="9">
        <v>22.0</v>
      </c>
      <c r="BK3" s="9">
        <v>79.0</v>
      </c>
      <c r="BL3" s="7">
        <f>IFERROR(__xludf.DUMMYFUNCTION("AVERAGE.WEIGHTED($AV$1:$BB$1,AV3:BB3)"),5.1818181818181825)</f>
        <v>5.181818182</v>
      </c>
      <c r="BM3" s="7">
        <f>IFERROR(__xludf.DUMMYFUNCTION("AVERAGE.WEIGHTED($BC$1:$BI$1,BC3:BI3)"),5.6075949367088604)</f>
        <v>5.607594937</v>
      </c>
      <c r="BN3" s="7">
        <f t="shared" ref="BN3:BO3" si="9">(BL3-1)*100/6</f>
        <v>69.6969697</v>
      </c>
      <c r="BO3" s="7">
        <f t="shared" si="9"/>
        <v>76.79324895</v>
      </c>
      <c r="BP3" s="8">
        <f t="shared" si="10"/>
        <v>73.24510932</v>
      </c>
      <c r="BQ3" s="8">
        <f t="shared" si="11"/>
        <v>73.24510932</v>
      </c>
      <c r="BR3" s="8">
        <f t="shared" si="12"/>
        <v>0.5576680447</v>
      </c>
    </row>
    <row r="4">
      <c r="A4" s="3">
        <v>3.0</v>
      </c>
      <c r="B4" s="1" t="s">
        <v>32</v>
      </c>
      <c r="C4" s="6">
        <f>countif('9B'!$F$2:$F$664, C$1)</f>
        <v>27</v>
      </c>
      <c r="D4" s="6">
        <f>countif('9B'!$F$2:$F$664, D$1)</f>
        <v>18</v>
      </c>
      <c r="E4" s="6">
        <f>countif('9B'!$F$2:$F$664, E$1)</f>
        <v>6</v>
      </c>
      <c r="F4" s="6">
        <f>countif('9B'!$F$2:$F$664, F$1)</f>
        <v>6</v>
      </c>
      <c r="G4" s="6">
        <f>countif('9B'!$F$2:$F$664, G$1)</f>
        <v>10</v>
      </c>
      <c r="H4" s="6">
        <f>countif('9B'!$F$2:$F$664, H$1)</f>
        <v>12</v>
      </c>
      <c r="I4" s="6">
        <f>countif('9B'!$F$2:$F$664, I$1)</f>
        <v>22</v>
      </c>
      <c r="J4" s="6">
        <f t="shared" si="4"/>
        <v>101</v>
      </c>
      <c r="K4" s="7">
        <f t="shared" si="5"/>
        <v>3.772277228</v>
      </c>
      <c r="L4" s="4" t="str">
        <f>'General average A'!L4</f>
        <v>#REF!</v>
      </c>
      <c r="M4" s="4" t="str">
        <f>'General average A'!M4</f>
        <v>#REF!</v>
      </c>
      <c r="N4" s="6">
        <f>countifs('9B'!$F$2:$F$664, N$1, '9B'!$B$2:$B$664, "&gt;"&amp;$L$2, '9B'!$B$2:$B$664, "&lt;"&amp;$M$2)</f>
        <v>0</v>
      </c>
      <c r="O4" s="6">
        <f>countifs('9B'!$F$2:$F$664, O$1, '9B'!$B$2:$B$664, "&gt;"&amp;$L$2, '9B'!$B$2:$B$664, "&lt;"&amp;$M$2)</f>
        <v>0</v>
      </c>
      <c r="P4" s="6">
        <f>countifs('9B'!$F$2:$F$664, P$1, '9B'!$B$2:$B$664, "&gt;"&amp;$L$2, '9B'!$B$2:$B$664, "&lt;"&amp;$M$2)</f>
        <v>0</v>
      </c>
      <c r="Q4" s="6">
        <f>countifs('9B'!$F$2:$F$664, Q$1, '9B'!$B$2:$B$664, "&gt;"&amp;$L$2, '9B'!$B$2:$B$664, "&lt;"&amp;$M$2)</f>
        <v>0</v>
      </c>
      <c r="R4" s="6">
        <f>countifs('9B'!$F$2:$F$664, R$1, '9B'!$B$2:$B$664, "&gt;"&amp;$L$2, '9B'!$B$2:$B$664, "&lt;"&amp;$M$2)</f>
        <v>0</v>
      </c>
      <c r="S4" s="6">
        <f>countifs('9B'!$F$2:$F$664, S$1, '9B'!$B$2:$B$664, "&gt;"&amp;$L$2, '9B'!$B$2:$B$664, "&lt;"&amp;$M$2)</f>
        <v>0</v>
      </c>
      <c r="T4" s="6">
        <f>countifs('9B'!$F$2:$F$664, T$1, '9B'!$B$2:$B$664, "&gt;"&amp;$L$2, '9B'!$B$2:$B$664, "&lt;"&amp;$M$2)</f>
        <v>0</v>
      </c>
      <c r="U4" s="6">
        <f>countifs('9B'!$F$2:$F$664, U$1, '9B'!$B$2:$B$664, "&gt;"&amp;$L$3, '9B'!$B$2:$B$664, "&lt;"&amp;$M$3)</f>
        <v>0</v>
      </c>
      <c r="V4" s="6">
        <f>countifs('9B'!$F$2:$F$664, V$1, '9B'!$B$2:$B$664, "&gt;"&amp;$L$3, '9B'!$B$2:$B$664, "&lt;"&amp;$M$3)</f>
        <v>0</v>
      </c>
      <c r="W4" s="6">
        <f>countifs('9B'!$F$2:$F$664, W$1, '9B'!$B$2:$B$664, "&gt;"&amp;$L$3, '9B'!$B$2:$B$664, "&lt;"&amp;$M$3)</f>
        <v>0</v>
      </c>
      <c r="X4" s="6">
        <f>countifs('9B'!$F$2:$F$664, X$1, '9B'!$B$2:$B$664, "&gt;"&amp;$L$3, '9B'!$B$2:$B$664, "&lt;"&amp;$M$3)</f>
        <v>0</v>
      </c>
      <c r="Y4" s="6">
        <f>countifs('9B'!$F$2:$F$664, Y$1, '9B'!$B$2:$B$664, "&gt;"&amp;$L$3, '9B'!$B$2:$B$664, "&lt;"&amp;$M$3)</f>
        <v>0</v>
      </c>
      <c r="Z4" s="6">
        <f>countifs('9B'!$F$2:$F$664, Z$1, '9B'!$B$2:$B$664, "&gt;"&amp;$L$3, '9B'!$B$2:$B$664, "&lt;"&amp;$M$3)</f>
        <v>0</v>
      </c>
      <c r="AA4" s="6">
        <f>countifs('9B'!$F$2:$F$664, AA$1, '9B'!$B$2:$B$664, "&gt;"&amp;$L$3, '9B'!$B$2:$B$664, "&lt;"&amp;$M$3)</f>
        <v>0</v>
      </c>
      <c r="AB4" s="6">
        <f>countifs('9B'!$F$2:$F$664, AB$1, '9B'!$B$2:$B$664, "&gt;"&amp;$L$4, '9B'!$B$2:$B$664, "&lt;"&amp;$M$4)</f>
        <v>0</v>
      </c>
      <c r="AC4" s="6">
        <f>countifs('9B'!$F$2:$F$664, AC$1, '9B'!$B$2:$B$664, "&gt;"&amp;$L$4, '9B'!$B$2:$B$664, "&lt;"&amp;$M$4)</f>
        <v>0</v>
      </c>
      <c r="AD4" s="6">
        <f>countifs('9B'!$F$2:$F$664, AD$1, '9B'!$B$2:$B$664, "&gt;"&amp;$L$4, '9B'!$B$2:$B$664, "&lt;"&amp;$M$4)</f>
        <v>0</v>
      </c>
      <c r="AE4" s="6">
        <f>countifs('9B'!$F$2:$F$664, AE$1, '9B'!$B$2:$B$664, "&gt;"&amp;$L$4, '9B'!$B$2:$B$664, "&lt;"&amp;$M$4)</f>
        <v>0</v>
      </c>
      <c r="AF4" s="6">
        <f>countifs('9B'!$F$2:$F$664, AF$1, '9B'!$B$2:$B$664, "&gt;"&amp;$L$4, '9B'!$B$2:$B$664, "&lt;"&amp;$M$4)</f>
        <v>0</v>
      </c>
      <c r="AG4" s="6">
        <f>countifs('9B'!$F$2:$F$664, AG$1, '9B'!$B$2:$B$664, "&gt;"&amp;$L$4, '9B'!$B$2:$B$664, "&lt;"&amp;$M$4)</f>
        <v>0</v>
      </c>
      <c r="AH4" s="6">
        <f>countifs('9B'!$F$2:$F$664, AH$1, '9B'!$B$2:$B$664, "&gt;"&amp;$L$4, '9B'!$B$2:$B$664, "&lt;"&amp;$M$4)</f>
        <v>0</v>
      </c>
      <c r="AI4" s="3">
        <v>3.0</v>
      </c>
      <c r="AJ4" s="3">
        <v>23.0</v>
      </c>
      <c r="AK4" s="3">
        <v>17.0</v>
      </c>
      <c r="AL4" s="7" t="str">
        <f>IFERROR(__xludf.DUMMYFUNCTION("AVERAGE.WEIGHTED($N$1:$T$1, N4:T4)"),"#DIV/0!")</f>
        <v>#DIV/0!</v>
      </c>
      <c r="AM4" s="7" t="str">
        <f>IFERROR(__xludf.DUMMYFUNCTION("AVERAGE.WEIGHTED($U$1:$AA$1, U4:AA4)"),"#DIV/0!")</f>
        <v>#DIV/0!</v>
      </c>
      <c r="AN4" s="13" t="str">
        <f>IFERROR(__xludf.DUMMYFUNCTION("AVERAGE.WEIGHTED($AB$1:$AH$1, AB4:AH4)"),"#DIV/0!")</f>
        <v>#DIV/0!</v>
      </c>
      <c r="AO4" s="7" t="str">
        <f t="shared" ref="AO4:AQ4" si="13">(AL4-1)*100/6</f>
        <v>#DIV/0!</v>
      </c>
      <c r="AP4" s="7" t="str">
        <f t="shared" si="13"/>
        <v>#DIV/0!</v>
      </c>
      <c r="AQ4" s="7" t="str">
        <f t="shared" si="13"/>
        <v>#DIV/0!</v>
      </c>
      <c r="AR4" s="6" t="str">
        <f t="shared" ref="AR4:AT4" si="14">Average($AO4:$AQ4)</f>
        <v>#DIV/0!</v>
      </c>
      <c r="AS4" s="6" t="str">
        <f t="shared" si="14"/>
        <v>#DIV/0!</v>
      </c>
      <c r="AT4" s="6" t="str">
        <f t="shared" si="14"/>
        <v>#DIV/0!</v>
      </c>
      <c r="AU4" s="8" t="str">
        <f t="shared" si="8"/>
        <v>#DIV/0!</v>
      </c>
      <c r="AV4" s="14">
        <f>countifs('9B'!$F$2:$F$579, AV$1, '9B'!$C$2:$C$579, "Karl")</f>
        <v>6</v>
      </c>
      <c r="AW4" s="14">
        <f>countifs('9B'!$F$2:$F$579, AW$1, '9B'!$C$2:$C$579, "Karl")</f>
        <v>4</v>
      </c>
      <c r="AX4" s="14">
        <f>countifs('9B'!$F$2:$F$579, AX$1, '9B'!$C$2:$C$579, "Karl")</f>
        <v>1</v>
      </c>
      <c r="AY4" s="14">
        <f>countifs('9B'!$F$2:$F$579, AY$1, '9B'!$C$2:$C$579, "Karl")</f>
        <v>0</v>
      </c>
      <c r="AZ4" s="14">
        <f>countifs('9B'!$F$2:$F$579, AZ$1, '9B'!$C$2:$C$579, "Karl")</f>
        <v>1</v>
      </c>
      <c r="BA4" s="14">
        <f>countifs('9B'!$F$2:$F$579, BA$1, '9B'!$C$2:$C$579, "Karl")</f>
        <v>2</v>
      </c>
      <c r="BB4" s="14">
        <f>countifs('9B'!$F$2:$F$579, BB$1, '9B'!$C$2:$C$579, "Karl")</f>
        <v>8</v>
      </c>
      <c r="BC4" s="14">
        <f>countifs('9B'!$F$2:$F$579, BC$1, '9B'!$C$2:$C$579, "Kona")</f>
        <v>21</v>
      </c>
      <c r="BD4" s="14">
        <f>countifs('9B'!$F$2:$F$579, BD$1, '9B'!$C$2:$C$579, "Kona")</f>
        <v>14</v>
      </c>
      <c r="BE4" s="14">
        <f>countifs('9B'!$F$2:$F$579, BE$1, '9B'!$C$2:$C$579, "Kona")</f>
        <v>5</v>
      </c>
      <c r="BF4" s="14">
        <f>countifs('9B'!$F$2:$F$579, BF$1, '9B'!$C$2:$C$579, "Kona")</f>
        <v>6</v>
      </c>
      <c r="BG4" s="14">
        <f>countifs('9B'!$F$2:$F$579, BG$1, '9B'!$C$2:$C$579, "Kona")</f>
        <v>9</v>
      </c>
      <c r="BH4" s="14">
        <f>countifs('9B'!$F$2:$F$579, BH$1, '9B'!$C$2:$C$579, "Kona")</f>
        <v>10</v>
      </c>
      <c r="BI4" s="14">
        <f>countifs('9B'!$F$2:$F$579, BI$1, '9B'!$C$2:$C$579, "Kona")</f>
        <v>14</v>
      </c>
      <c r="BJ4" s="9">
        <v>22.0</v>
      </c>
      <c r="BK4" s="9">
        <v>79.0</v>
      </c>
      <c r="BL4" s="7">
        <f>IFERROR(__xludf.DUMMYFUNCTION("AVERAGE.WEIGHTED($AV$1:$BB$1,AV4:BB4)"),4.090909090909091)</f>
        <v>4.090909091</v>
      </c>
      <c r="BM4" s="7">
        <f>IFERROR(__xludf.DUMMYFUNCTION("AVERAGE.WEIGHTED($BC$1:$BI$1,BC4:BI4)"),3.6835443037974684)</f>
        <v>3.683544304</v>
      </c>
      <c r="BN4" s="7">
        <f t="shared" ref="BN4:BO4" si="15">(BL4-1)*100/6</f>
        <v>51.51515152</v>
      </c>
      <c r="BO4" s="7">
        <f t="shared" si="15"/>
        <v>44.7257384</v>
      </c>
      <c r="BP4" s="8">
        <f t="shared" si="10"/>
        <v>48.12044496</v>
      </c>
      <c r="BQ4" s="8">
        <f t="shared" si="11"/>
        <v>48.12044496</v>
      </c>
      <c r="BR4" s="8">
        <f t="shared" si="12"/>
        <v>0.4888909724</v>
      </c>
    </row>
    <row r="5">
      <c r="A5" s="3">
        <v>4.0</v>
      </c>
      <c r="B5" s="1" t="s">
        <v>33</v>
      </c>
      <c r="C5" s="6">
        <f>countif('9B'!$G$2:$G$664, C$1)</f>
        <v>91</v>
      </c>
      <c r="D5" s="6">
        <f>countif('9B'!$G$2:$G$664, D$1)</f>
        <v>5</v>
      </c>
      <c r="E5" s="6">
        <f>countif('9B'!$G$2:$G$664, E$1)</f>
        <v>1</v>
      </c>
      <c r="F5" s="6">
        <f>countif('9B'!$G$2:$G$664, F$1)</f>
        <v>0</v>
      </c>
      <c r="G5" s="6">
        <f>countif('9B'!$G$2:$G$664, G$1)</f>
        <v>0</v>
      </c>
      <c r="H5" s="6">
        <f>countif('9B'!$G$2:$G$664, H$1)</f>
        <v>1</v>
      </c>
      <c r="I5" s="6">
        <f>countif('9B'!$G$2:$G$664, I$1)</f>
        <v>3</v>
      </c>
      <c r="J5" s="6">
        <f t="shared" si="4"/>
        <v>101</v>
      </c>
      <c r="K5" s="7">
        <f t="shared" si="5"/>
        <v>1.297029703</v>
      </c>
      <c r="N5" s="6">
        <f>countifs('9B'!$G$2:$G$664, N$1, '9B'!$B$2:$B$664, "&gt;"&amp;$L$2, '9B'!$B$2:$B$664, "&lt;"&amp;$M$2)</f>
        <v>0</v>
      </c>
      <c r="O5" s="6">
        <f>countifs('9B'!$G$2:$G$664, O$1, '9B'!$B$2:$B$664, "&gt;"&amp;$L$2, '9B'!$B$2:$B$664, "&lt;"&amp;$M$2)</f>
        <v>0</v>
      </c>
      <c r="P5" s="6">
        <f>countifs('9B'!$G$2:$G$664, P$1, '9B'!$B$2:$B$664, "&gt;"&amp;$L$2, '9B'!$B$2:$B$664, "&lt;"&amp;$M$2)</f>
        <v>0</v>
      </c>
      <c r="Q5" s="6">
        <f>countifs('9B'!$G$2:$G$664, Q$1, '9B'!$B$2:$B$664, "&gt;"&amp;$L$2, '9B'!$B$2:$B$664, "&lt;"&amp;$M$2)</f>
        <v>0</v>
      </c>
      <c r="R5" s="6">
        <f>countifs('9B'!$G$2:$G$664, R$1, '9B'!$B$2:$B$664, "&gt;"&amp;$L$2, '9B'!$B$2:$B$664, "&lt;"&amp;$M$2)</f>
        <v>0</v>
      </c>
      <c r="S5" s="6">
        <f>countifs('9B'!$G$2:$G$664, S$1, '9B'!$B$2:$B$664, "&gt;"&amp;$L$2, '9B'!$B$2:$B$664, "&lt;"&amp;$M$2)</f>
        <v>0</v>
      </c>
      <c r="T5" s="6">
        <f>countifs('9B'!$G$2:$G$664, T$1, '9B'!$B$2:$B$664, "&gt;"&amp;$L$2, '9B'!$B$2:$B$664, "&lt;"&amp;$M$2)</f>
        <v>0</v>
      </c>
      <c r="U5" s="6">
        <f>countifs('9B'!$G$2:$G$664, U$1, '9B'!$B$2:$B$664, "&gt;"&amp;$L$3, '9B'!$B$2:$B$664, "&lt;"&amp;$M$3)</f>
        <v>0</v>
      </c>
      <c r="V5" s="6">
        <f>countifs('9B'!$G$2:$G$664, V$1, '9B'!$B$2:$B$664, "&gt;"&amp;$L$3, '9B'!$B$2:$B$664, "&lt;"&amp;$M$3)</f>
        <v>0</v>
      </c>
      <c r="W5" s="6">
        <f>countifs('9B'!$G$2:$G$664, W$1, '9B'!$B$2:$B$664, "&gt;"&amp;$L$3, '9B'!$B$2:$B$664, "&lt;"&amp;$M$3)</f>
        <v>0</v>
      </c>
      <c r="X5" s="6">
        <f>countifs('9B'!$G$2:$G$664, X$1, '9B'!$B$2:$B$664, "&gt;"&amp;$L$3, '9B'!$B$2:$B$664, "&lt;"&amp;$M$3)</f>
        <v>0</v>
      </c>
      <c r="Y5" s="6">
        <f>countifs('9B'!$G$2:$G$664, Y$1, '9B'!$B$2:$B$664, "&gt;"&amp;$L$3, '9B'!$B$2:$B$664, "&lt;"&amp;$M$3)</f>
        <v>0</v>
      </c>
      <c r="Z5" s="6">
        <f>countifs('9B'!$G$2:$G$664, Z$1, '9B'!$B$2:$B$664, "&gt;"&amp;$L$3, '9B'!$B$2:$B$664, "&lt;"&amp;$M$3)</f>
        <v>0</v>
      </c>
      <c r="AA5" s="6">
        <f>countifs('9B'!$G$2:$G$664, AA$1, '9B'!$B$2:$B$664, "&gt;"&amp;$L$3, '9B'!$B$2:$B$664, "&lt;"&amp;$M$3)</f>
        <v>0</v>
      </c>
      <c r="AB5" s="6">
        <f>countifs('9B'!$G$2:$G$664, AB$1, '9B'!$B$2:$B$664, "&gt;"&amp;$L$4, '9B'!$B$2:$B$664, "&lt;"&amp;$M$4)</f>
        <v>0</v>
      </c>
      <c r="AC5" s="6">
        <f>countifs('9B'!$G$2:$G$664, AC$1, '9B'!$B$2:$B$664, "&gt;"&amp;$L$4, '9B'!$B$2:$B$664, "&lt;"&amp;$M$4)</f>
        <v>0</v>
      </c>
      <c r="AD5" s="6">
        <f>countifs('9B'!$G$2:$G$664, AD$1, '9B'!$B$2:$B$664, "&gt;"&amp;$L$4, '9B'!$B$2:$B$664, "&lt;"&amp;$M$4)</f>
        <v>0</v>
      </c>
      <c r="AE5" s="6">
        <f>countifs('9B'!$G$2:$G$664, AE$1, '9B'!$B$2:$B$664, "&gt;"&amp;$L$4, '9B'!$B$2:$B$664, "&lt;"&amp;$M$4)</f>
        <v>0</v>
      </c>
      <c r="AF5" s="6">
        <f>countifs('9B'!$G$2:$G$664, AF$1, '9B'!$B$2:$B$664, "&gt;"&amp;$L$4, '9B'!$B$2:$B$664, "&lt;"&amp;$M$4)</f>
        <v>0</v>
      </c>
      <c r="AG5" s="6">
        <f>countifs('9B'!$G$2:$G$664, AG$1, '9B'!$B$2:$B$664, "&gt;"&amp;$L$4, '9B'!$B$2:$B$664, "&lt;"&amp;$M$4)</f>
        <v>0</v>
      </c>
      <c r="AH5" s="6">
        <f>countifs('9B'!$G$2:$G$664, AH$1, '9B'!$B$2:$B$664, "&gt;"&amp;$L$4, '9B'!$B$2:$B$664, "&lt;"&amp;$M$4)</f>
        <v>0</v>
      </c>
      <c r="AI5" s="3">
        <v>3.0</v>
      </c>
      <c r="AJ5" s="3">
        <v>23.0</v>
      </c>
      <c r="AK5" s="3">
        <v>17.0</v>
      </c>
      <c r="AL5" s="7" t="str">
        <f>IFERROR(__xludf.DUMMYFUNCTION("AVERAGE.WEIGHTED($N$1:$T$1, N5:T5)"),"#DIV/0!")</f>
        <v>#DIV/0!</v>
      </c>
      <c r="AM5" s="7" t="str">
        <f>IFERROR(__xludf.DUMMYFUNCTION("AVERAGE.WEIGHTED($U$1:$AA$1, U5:AA5)"),"#DIV/0!")</f>
        <v>#DIV/0!</v>
      </c>
      <c r="AN5" s="13" t="str">
        <f>IFERROR(__xludf.DUMMYFUNCTION("AVERAGE.WEIGHTED($AB$1:$AH$1, AB5:AH5)"),"#DIV/0!")</f>
        <v>#DIV/0!</v>
      </c>
      <c r="AO5" s="7" t="str">
        <f t="shared" ref="AO5:AQ5" si="16">(AL5-1)*100/6</f>
        <v>#DIV/0!</v>
      </c>
      <c r="AP5" s="7" t="str">
        <f t="shared" si="16"/>
        <v>#DIV/0!</v>
      </c>
      <c r="AQ5" s="7" t="str">
        <f t="shared" si="16"/>
        <v>#DIV/0!</v>
      </c>
      <c r="AR5" s="6" t="str">
        <f t="shared" ref="AR5:AT5" si="17">Average($AO5:$AQ5)</f>
        <v>#DIV/0!</v>
      </c>
      <c r="AS5" s="6" t="str">
        <f t="shared" si="17"/>
        <v>#DIV/0!</v>
      </c>
      <c r="AT5" s="6" t="str">
        <f t="shared" si="17"/>
        <v>#DIV/0!</v>
      </c>
      <c r="AU5" s="8" t="str">
        <f t="shared" si="8"/>
        <v>#DIV/0!</v>
      </c>
      <c r="AV5" s="14">
        <f>countifs('9B'!$G$2:$G$579, AV$1, '9B'!$C$2:$C$579, "Karl")</f>
        <v>18</v>
      </c>
      <c r="AW5" s="14">
        <f>countifs('9B'!$G$2:$G$579, AW$1, '9B'!$C$2:$C$579, "Karl")</f>
        <v>1</v>
      </c>
      <c r="AX5" s="14">
        <f>countifs('9B'!$G$2:$G$579, AX$1, '9B'!$C$2:$C$579, "Karl")</f>
        <v>1</v>
      </c>
      <c r="AY5" s="14">
        <f>countifs('9B'!$G$2:$G$579, AY$1, '9B'!$C$2:$C$579, "Karl")</f>
        <v>0</v>
      </c>
      <c r="AZ5" s="14">
        <f>countifs('9B'!$G$2:$G$579, AZ$1, '9B'!$C$2:$C$579, "Karl")</f>
        <v>0</v>
      </c>
      <c r="BA5" s="14">
        <f>countifs('9B'!$G$2:$G$579, BA$1, '9B'!$C$2:$C$579, "Karl")</f>
        <v>0</v>
      </c>
      <c r="BB5" s="14">
        <f>countifs('9B'!$G$2:$G$579, BB$1, '9B'!$C$2:$C$579, "Karl")</f>
        <v>2</v>
      </c>
      <c r="BC5" s="14">
        <f>countifs('9B'!$G$2:$G$579, BC$1, '9B'!$C$2:$C$579, "Kona")</f>
        <v>73</v>
      </c>
      <c r="BD5" s="14">
        <f>countifs('9B'!$G$2:$G$579, BD$1, '9B'!$C$2:$C$579, "Kona")</f>
        <v>4</v>
      </c>
      <c r="BE5" s="14">
        <f>countifs('9B'!$G$2:$G$579, BE$1, '9B'!$C$2:$C$579, "Kona")</f>
        <v>0</v>
      </c>
      <c r="BF5" s="14">
        <f>countifs('9B'!$G$2:$G$579, BF$1, '9B'!$C$2:$C$579, "Kona")</f>
        <v>0</v>
      </c>
      <c r="BG5" s="14">
        <f>countifs('9B'!$G$2:$G$579, BG$1, '9B'!$C$2:$C$579, "Kona")</f>
        <v>0</v>
      </c>
      <c r="BH5" s="14">
        <f>countifs('9B'!$G$2:$G$579, BH$1, '9B'!$C$2:$C$579, "Kona")</f>
        <v>1</v>
      </c>
      <c r="BI5" s="14">
        <f>countifs('9B'!$G$2:$G$579, BI$1, '9B'!$C$2:$C$579, "Kona")</f>
        <v>1</v>
      </c>
      <c r="BJ5" s="9">
        <v>22.0</v>
      </c>
      <c r="BK5" s="9">
        <v>79.0</v>
      </c>
      <c r="BL5" s="7">
        <f>IFERROR(__xludf.DUMMYFUNCTION("AVERAGE.WEIGHTED($AV$1:$BB$1,AV5:BB5)"),1.6818181818181819)</f>
        <v>1.681818182</v>
      </c>
      <c r="BM5" s="7">
        <f>IFERROR(__xludf.DUMMYFUNCTION("AVERAGE.WEIGHTED($BC$1:$BI$1,BC5:BI5)"),1.189873417721519)</f>
        <v>1.189873418</v>
      </c>
      <c r="BN5" s="7">
        <f t="shared" ref="BN5:BO5" si="18">(BL5-1)*100/6</f>
        <v>11.36363636</v>
      </c>
      <c r="BO5" s="7">
        <f t="shared" si="18"/>
        <v>3.164556962</v>
      </c>
      <c r="BP5" s="8">
        <f t="shared" si="10"/>
        <v>7.264096663</v>
      </c>
      <c r="BQ5" s="8">
        <f t="shared" si="11"/>
        <v>7.264096663</v>
      </c>
      <c r="BR5" s="8">
        <f t="shared" si="12"/>
        <v>0.03146882081</v>
      </c>
    </row>
    <row r="6">
      <c r="A6" s="3">
        <v>5.0</v>
      </c>
      <c r="B6" s="1" t="s">
        <v>34</v>
      </c>
      <c r="C6" s="6">
        <f>countif('9B'!$H$2:$H$664, C$1)</f>
        <v>75</v>
      </c>
      <c r="D6" s="6">
        <f>countif('9B'!$H$2:$H$664, D$1)</f>
        <v>11</v>
      </c>
      <c r="E6" s="6">
        <f>countif('9B'!$H$2:$H$664, E$1)</f>
        <v>4</v>
      </c>
      <c r="F6" s="6">
        <f>countif('9B'!$H$2:$H$664, F$1)</f>
        <v>2</v>
      </c>
      <c r="G6" s="6">
        <f>countif('9B'!$H$2:$H$664, G$1)</f>
        <v>1</v>
      </c>
      <c r="H6" s="6">
        <f>countif('9B'!$H$2:$H$664, H$1)</f>
        <v>4</v>
      </c>
      <c r="I6" s="6">
        <f>countif('9B'!$H$2:$H$664, I$1)</f>
        <v>4</v>
      </c>
      <c r="J6" s="6">
        <f t="shared" si="4"/>
        <v>101</v>
      </c>
      <c r="K6" s="7">
        <f t="shared" si="5"/>
        <v>1.722772277</v>
      </c>
      <c r="N6" s="6">
        <f>countifs('9B'!$H$2:$H$664, N$1, '9B'!$B$2:$B$664, "&gt;"&amp;$L$2, '9B'!$B$2:$B$664, "&lt;"&amp;$M$2)</f>
        <v>0</v>
      </c>
      <c r="O6" s="6">
        <f>countifs('9B'!$H$2:$H$664, O$1, '9B'!$B$2:$B$664, "&gt;"&amp;$L$2, '9B'!$B$2:$B$664, "&lt;"&amp;$M$2)</f>
        <v>0</v>
      </c>
      <c r="P6" s="6">
        <f>countifs('9B'!$H$2:$H$664, P$1, '9B'!$B$2:$B$664, "&gt;"&amp;$L$2, '9B'!$B$2:$B$664, "&lt;"&amp;$M$2)</f>
        <v>0</v>
      </c>
      <c r="Q6" s="6">
        <f>countifs('9B'!$H$2:$H$664, Q$1, '9B'!$B$2:$B$664, "&gt;"&amp;$L$2, '9B'!$B$2:$B$664, "&lt;"&amp;$M$2)</f>
        <v>0</v>
      </c>
      <c r="R6" s="6">
        <f>countifs('9B'!$H$2:$H$664, R$1, '9B'!$B$2:$B$664, "&gt;"&amp;$L$2, '9B'!$B$2:$B$664, "&lt;"&amp;$M$2)</f>
        <v>0</v>
      </c>
      <c r="S6" s="6">
        <f>countifs('9B'!$H$2:$H$664, S$1, '9B'!$B$2:$B$664, "&gt;"&amp;$L$2, '9B'!$B$2:$B$664, "&lt;"&amp;$M$2)</f>
        <v>0</v>
      </c>
      <c r="T6" s="6">
        <f>countifs('9B'!$H$2:$H$664, T$1, '9B'!$B$2:$B$664, "&gt;"&amp;$L$2, '9B'!$B$2:$B$664, "&lt;"&amp;$M$2)</f>
        <v>0</v>
      </c>
      <c r="U6" s="6">
        <f>countifs('9B'!$H$2:$H$664, U$1, '9B'!$B$2:$B$664, "&gt;"&amp;$L$3, '9B'!$B$2:$B$664, "&lt;"&amp;$M$3)</f>
        <v>0</v>
      </c>
      <c r="V6" s="6">
        <f>countifs('9B'!$H$2:$H$664, V$1, '9B'!$B$2:$B$664, "&gt;"&amp;$L$3, '9B'!$B$2:$B$664, "&lt;"&amp;$M$3)</f>
        <v>0</v>
      </c>
      <c r="W6" s="6">
        <f>countifs('9B'!$H$2:$H$664, W$1, '9B'!$B$2:$B$664, "&gt;"&amp;$L$3, '9B'!$B$2:$B$664, "&lt;"&amp;$M$3)</f>
        <v>0</v>
      </c>
      <c r="X6" s="6">
        <f>countifs('9B'!$H$2:$H$664, X$1, '9B'!$B$2:$B$664, "&gt;"&amp;$L$3, '9B'!$B$2:$B$664, "&lt;"&amp;$M$3)</f>
        <v>0</v>
      </c>
      <c r="Y6" s="6">
        <f>countifs('9B'!$H$2:$H$664, Y$1, '9B'!$B$2:$B$664, "&gt;"&amp;$L$3, '9B'!$B$2:$B$664, "&lt;"&amp;$M$3)</f>
        <v>0</v>
      </c>
      <c r="Z6" s="6">
        <f>countifs('9B'!$H$2:$H$664, Z$1, '9B'!$B$2:$B$664, "&gt;"&amp;$L$3, '9B'!$B$2:$B$664, "&lt;"&amp;$M$3)</f>
        <v>0</v>
      </c>
      <c r="AA6" s="6">
        <f>countifs('9B'!$H$2:$H$664, AA$1, '9B'!$B$2:$B$664, "&gt;"&amp;$L$3, '9B'!$B$2:$B$664, "&lt;"&amp;$M$3)</f>
        <v>0</v>
      </c>
      <c r="AB6" s="6">
        <f>countifs('9B'!$H$2:$H$664, AB$1, '9B'!$B$2:$B$664, "&gt;"&amp;$L$4, '9B'!$B$2:$B$664, "&lt;"&amp;$M$4)</f>
        <v>0</v>
      </c>
      <c r="AC6" s="6">
        <f>countifs('9B'!$H$2:$H$664, AC$1, '9B'!$B$2:$B$664, "&gt;"&amp;$L$4, '9B'!$B$2:$B$664, "&lt;"&amp;$M$4)</f>
        <v>0</v>
      </c>
      <c r="AD6" s="6">
        <f>countifs('9B'!$H$2:$H$664, AD$1, '9B'!$B$2:$B$664, "&gt;"&amp;$L$4, '9B'!$B$2:$B$664, "&lt;"&amp;$M$4)</f>
        <v>0</v>
      </c>
      <c r="AE6" s="6">
        <f>countifs('9B'!$H$2:$H$664, AE$1, '9B'!$B$2:$B$664, "&gt;"&amp;$L$4, '9B'!$B$2:$B$664, "&lt;"&amp;$M$4)</f>
        <v>0</v>
      </c>
      <c r="AF6" s="6">
        <f>countifs('9B'!$H$2:$H$664, AF$1, '9B'!$B$2:$B$664, "&gt;"&amp;$L$4, '9B'!$B$2:$B$664, "&lt;"&amp;$M$4)</f>
        <v>0</v>
      </c>
      <c r="AG6" s="6">
        <f>countifs('9B'!$H$2:$H$664, AG$1, '9B'!$B$2:$B$664, "&gt;"&amp;$L$4, '9B'!$B$2:$B$664, "&lt;"&amp;$M$4)</f>
        <v>0</v>
      </c>
      <c r="AH6" s="6">
        <f>countifs('9B'!$H$2:$H$664, AH$1, '9B'!$B$2:$B$664, "&gt;"&amp;$L$4, '9B'!$B$2:$B$664, "&lt;"&amp;$M$4)</f>
        <v>0</v>
      </c>
      <c r="AI6" s="3">
        <v>3.0</v>
      </c>
      <c r="AJ6" s="3">
        <v>23.0</v>
      </c>
      <c r="AK6" s="3">
        <v>17.0</v>
      </c>
      <c r="AL6" s="7" t="str">
        <f>IFERROR(__xludf.DUMMYFUNCTION("AVERAGE.WEIGHTED($N$1:$T$1, N6:T6)"),"#DIV/0!")</f>
        <v>#DIV/0!</v>
      </c>
      <c r="AM6" s="7" t="str">
        <f>IFERROR(__xludf.DUMMYFUNCTION("AVERAGE.WEIGHTED($U$1:$AA$1, U6:AA6)"),"#DIV/0!")</f>
        <v>#DIV/0!</v>
      </c>
      <c r="AN6" s="13" t="str">
        <f>IFERROR(__xludf.DUMMYFUNCTION("AVERAGE.WEIGHTED($AB$1:$AH$1, AB6:AH6)"),"#DIV/0!")</f>
        <v>#DIV/0!</v>
      </c>
      <c r="AO6" s="7" t="str">
        <f t="shared" ref="AO6:AQ6" si="19">(AL6-1)*100/6</f>
        <v>#DIV/0!</v>
      </c>
      <c r="AP6" s="7" t="str">
        <f t="shared" si="19"/>
        <v>#DIV/0!</v>
      </c>
      <c r="AQ6" s="7" t="str">
        <f t="shared" si="19"/>
        <v>#DIV/0!</v>
      </c>
      <c r="AR6" s="6" t="str">
        <f t="shared" ref="AR6:AT6" si="20">Average($AO6:$AQ6)</f>
        <v>#DIV/0!</v>
      </c>
      <c r="AS6" s="6" t="str">
        <f t="shared" si="20"/>
        <v>#DIV/0!</v>
      </c>
      <c r="AT6" s="6" t="str">
        <f t="shared" si="20"/>
        <v>#DIV/0!</v>
      </c>
      <c r="AU6" s="8" t="str">
        <f t="shared" si="8"/>
        <v>#DIV/0!</v>
      </c>
      <c r="AV6" s="14">
        <f>countifs('9B'!$H$2:$H$579, AV$1, '9B'!$C$2:$C$579, "Karl")</f>
        <v>16</v>
      </c>
      <c r="AW6" s="14">
        <f>countifs('9B'!$H$2:$H$579, AW$1, '9B'!$C$2:$C$579, "Karl")</f>
        <v>2</v>
      </c>
      <c r="AX6" s="14">
        <f>countifs('9B'!$H$2:$H$579, AX$1, '9B'!$C$2:$C$579, "Karl")</f>
        <v>1</v>
      </c>
      <c r="AY6" s="14">
        <f>countifs('9B'!$H$2:$H$579, AY$1, '9B'!$C$2:$C$579, "Karl")</f>
        <v>1</v>
      </c>
      <c r="AZ6" s="14">
        <f>countifs('9B'!$H$2:$H$579, AZ$1, '9B'!$C$2:$C$579, "Karl")</f>
        <v>0</v>
      </c>
      <c r="BA6" s="14">
        <f>countifs('9B'!$H$2:$H$579, BA$1, '9B'!$C$2:$C$579, "Karl")</f>
        <v>1</v>
      </c>
      <c r="BB6" s="14">
        <f>countifs('9B'!$H$2:$H$579, BB$1, '9B'!$C$2:$C$579, "Karl")</f>
        <v>1</v>
      </c>
      <c r="BC6" s="14">
        <f>countifs('9B'!$H$2:$H$579, BC$1, '9B'!$C$2:$C$579, "Kona")</f>
        <v>59</v>
      </c>
      <c r="BD6" s="14">
        <f>countifs('9B'!$H$2:$H$579, BD$1, '9B'!$C$2:$C$579, "Kona")</f>
        <v>9</v>
      </c>
      <c r="BE6" s="14">
        <f>countifs('9B'!$H$2:$H$579, BE$1, '9B'!$C$2:$C$579, "Kona")</f>
        <v>3</v>
      </c>
      <c r="BF6" s="14">
        <f>countifs('9B'!$H$2:$H$579, BF$1, '9B'!$C$2:$C$579, "Kona")</f>
        <v>1</v>
      </c>
      <c r="BG6" s="14">
        <f>countifs('9B'!$H$2:$H$579, BG$1, '9B'!$C$2:$C$579, "Kona")</f>
        <v>1</v>
      </c>
      <c r="BH6" s="14">
        <f>countifs('9B'!$H$2:$H$579, BH$1, '9B'!$C$2:$C$579, "Kona")</f>
        <v>3</v>
      </c>
      <c r="BI6" s="14">
        <f>countifs('9B'!$H$2:$H$579, BI$1, '9B'!$C$2:$C$579, "Kona")</f>
        <v>3</v>
      </c>
      <c r="BJ6" s="9">
        <v>22.0</v>
      </c>
      <c r="BK6" s="9">
        <v>79.0</v>
      </c>
      <c r="BL6" s="7">
        <f>IFERROR(__xludf.DUMMYFUNCTION("AVERAGE.WEIGHTED($AV$1:$BB$1,AV6:BB6)"),1.8181818181818181)</f>
        <v>1.818181818</v>
      </c>
      <c r="BM6" s="7">
        <f>IFERROR(__xludf.DUMMYFUNCTION("AVERAGE.WEIGHTED($BC$1:$BI$1,BC6:BI6)"),1.6962025316455696)</f>
        <v>1.696202532</v>
      </c>
      <c r="BN6" s="7">
        <f t="shared" ref="BN6:BO6" si="21">(BL6-1)*100/6</f>
        <v>13.63636364</v>
      </c>
      <c r="BO6" s="7">
        <f t="shared" si="21"/>
        <v>11.60337553</v>
      </c>
      <c r="BP6" s="8">
        <f t="shared" si="10"/>
        <v>12.61986958</v>
      </c>
      <c r="BQ6" s="8">
        <f t="shared" si="11"/>
        <v>12.61986958</v>
      </c>
      <c r="BR6" s="8">
        <f t="shared" si="12"/>
        <v>0.6857259893</v>
      </c>
    </row>
    <row r="7">
      <c r="A7" s="3">
        <v>6.0</v>
      </c>
      <c r="B7" s="1" t="s">
        <v>35</v>
      </c>
      <c r="C7" s="6">
        <f>countif('9B'!$I$2:$I$664, C$1)</f>
        <v>3</v>
      </c>
      <c r="D7" s="6">
        <f>countif('9B'!$I$2:$I$664, D$1)</f>
        <v>4</v>
      </c>
      <c r="E7" s="6">
        <f>countif('9B'!$I$2:$I$664, E$1)</f>
        <v>1</v>
      </c>
      <c r="F7" s="6">
        <f>countif('9B'!$I$2:$I$664, F$1)</f>
        <v>3</v>
      </c>
      <c r="G7" s="6">
        <f>countif('9B'!$I$2:$I$664, G$1)</f>
        <v>8</v>
      </c>
      <c r="H7" s="6">
        <f>countif('9B'!$I$2:$I$664, H$1)</f>
        <v>21</v>
      </c>
      <c r="I7" s="6">
        <f>countif('9B'!$I$2:$I$664, I$1)</f>
        <v>61</v>
      </c>
      <c r="J7" s="6">
        <f t="shared" si="4"/>
        <v>101</v>
      </c>
      <c r="K7" s="7">
        <f t="shared" si="5"/>
        <v>6.128712871</v>
      </c>
      <c r="N7" s="6">
        <f>countifs('9B'!$I$2:$I$664, N$1, '9B'!$B$2:$B$664, "&gt;"&amp;$L$2, '9B'!$B$2:$B$664, "&lt;"&amp;$M$2)</f>
        <v>0</v>
      </c>
      <c r="O7" s="6">
        <f>countifs('9B'!$I$2:$I$664, O$1, '9B'!$B$2:$B$664, "&gt;"&amp;$L$2, '9B'!$B$2:$B$664, "&lt;"&amp;$M$2)</f>
        <v>0</v>
      </c>
      <c r="P7" s="6">
        <f>countifs('9B'!$I$2:$I$664, P$1, '9B'!$B$2:$B$664, "&gt;"&amp;$L$2, '9B'!$B$2:$B$664, "&lt;"&amp;$M$2)</f>
        <v>0</v>
      </c>
      <c r="Q7" s="6">
        <f>countifs('9B'!$I$2:$I$664, Q$1, '9B'!$B$2:$B$664, "&gt;"&amp;$L$2, '9B'!$B$2:$B$664, "&lt;"&amp;$M$2)</f>
        <v>0</v>
      </c>
      <c r="R7" s="6">
        <f>countifs('9B'!$I$2:$I$664, R$1, '9B'!$B$2:$B$664, "&gt;"&amp;$L$2, '9B'!$B$2:$B$664, "&lt;"&amp;$M$2)</f>
        <v>0</v>
      </c>
      <c r="S7" s="6">
        <f>countifs('9B'!$I$2:$I$664, S$1, '9B'!$B$2:$B$664, "&gt;"&amp;$L$2, '9B'!$B$2:$B$664, "&lt;"&amp;$M$2)</f>
        <v>0</v>
      </c>
      <c r="T7" s="6">
        <f>countifs('9B'!$I$2:$I$664, T$1, '9B'!$B$2:$B$664, "&gt;"&amp;$L$2, '9B'!$B$2:$B$664, "&lt;"&amp;$M$2)</f>
        <v>0</v>
      </c>
      <c r="U7" s="6">
        <f>countifs('9B'!$I$2:$I$664, U$1, '9B'!$B$2:$B$664, "&gt;"&amp;$L$3, '9B'!$B$2:$B$664, "&lt;"&amp;$M$3)</f>
        <v>0</v>
      </c>
      <c r="V7" s="6">
        <f>countifs('9B'!$I$2:$I$664, V$1, '9B'!$B$2:$B$664, "&gt;"&amp;$L$3, '9B'!$B$2:$B$664, "&lt;"&amp;$M$3)</f>
        <v>0</v>
      </c>
      <c r="W7" s="6">
        <f>countifs('9B'!$I$2:$I$664, W$1, '9B'!$B$2:$B$664, "&gt;"&amp;$L$3, '9B'!$B$2:$B$664, "&lt;"&amp;$M$3)</f>
        <v>0</v>
      </c>
      <c r="X7" s="6">
        <f>countifs('9B'!$I$2:$I$664, X$1, '9B'!$B$2:$B$664, "&gt;"&amp;$L$3, '9B'!$B$2:$B$664, "&lt;"&amp;$M$3)</f>
        <v>0</v>
      </c>
      <c r="Y7" s="6">
        <f>countifs('9B'!$I$2:$I$664, Y$1, '9B'!$B$2:$B$664, "&gt;"&amp;$L$3, '9B'!$B$2:$B$664, "&lt;"&amp;$M$3)</f>
        <v>0</v>
      </c>
      <c r="Z7" s="6">
        <f>countifs('9B'!$I$2:$I$664, Z$1, '9B'!$B$2:$B$664, "&gt;"&amp;$L$3, '9B'!$B$2:$B$664, "&lt;"&amp;$M$3)</f>
        <v>0</v>
      </c>
      <c r="AA7" s="6">
        <f>countifs('9B'!$I$2:$I$664, AA$1, '9B'!$B$2:$B$664, "&gt;"&amp;$L$3, '9B'!$B$2:$B$664, "&lt;"&amp;$M$3)</f>
        <v>0</v>
      </c>
      <c r="AB7" s="6">
        <f>countifs('9B'!$I$2:$I$664, AB$1, '9B'!$B$2:$B$664, "&gt;"&amp;$L$4, '9B'!$B$2:$B$664, "&lt;"&amp;$M$4)</f>
        <v>0</v>
      </c>
      <c r="AC7" s="6">
        <f>countifs('9B'!$I$2:$I$664, AC$1, '9B'!$B$2:$B$664, "&gt;"&amp;$L$4, '9B'!$B$2:$B$664, "&lt;"&amp;$M$4)</f>
        <v>0</v>
      </c>
      <c r="AD7" s="6">
        <f>countifs('9B'!$I$2:$I$664, AD$1, '9B'!$B$2:$B$664, "&gt;"&amp;$L$4, '9B'!$B$2:$B$664, "&lt;"&amp;$M$4)</f>
        <v>0</v>
      </c>
      <c r="AE7" s="6">
        <f>countifs('9B'!$I$2:$I$664, AE$1, '9B'!$B$2:$B$664, "&gt;"&amp;$L$4, '9B'!$B$2:$B$664, "&lt;"&amp;$M$4)</f>
        <v>0</v>
      </c>
      <c r="AF7" s="6">
        <f>countifs('9B'!$I$2:$I$664, AF$1, '9B'!$B$2:$B$664, "&gt;"&amp;$L$4, '9B'!$B$2:$B$664, "&lt;"&amp;$M$4)</f>
        <v>0</v>
      </c>
      <c r="AG7" s="6">
        <f>countifs('9B'!$I$2:$I$664, AG$1, '9B'!$B$2:$B$664, "&gt;"&amp;$L$4, '9B'!$B$2:$B$664, "&lt;"&amp;$M$4)</f>
        <v>0</v>
      </c>
      <c r="AH7" s="6">
        <f>countifs('9B'!$I$2:$I$664, AH$1, '9B'!$B$2:$B$664, "&gt;"&amp;$L$4, '9B'!$B$2:$B$664, "&lt;"&amp;$M$4)</f>
        <v>0</v>
      </c>
      <c r="AI7" s="3">
        <v>3.0</v>
      </c>
      <c r="AJ7" s="3">
        <v>23.0</v>
      </c>
      <c r="AK7" s="3">
        <v>17.0</v>
      </c>
      <c r="AL7" s="7" t="str">
        <f>IFERROR(__xludf.DUMMYFUNCTION("AVERAGE.WEIGHTED($N$1:$T$1, N7:T7)"),"#DIV/0!")</f>
        <v>#DIV/0!</v>
      </c>
      <c r="AM7" s="7" t="str">
        <f>IFERROR(__xludf.DUMMYFUNCTION("AVERAGE.WEIGHTED($U$1:$AA$1, U7:AA7)"),"#DIV/0!")</f>
        <v>#DIV/0!</v>
      </c>
      <c r="AN7" s="13" t="str">
        <f>IFERROR(__xludf.DUMMYFUNCTION("AVERAGE.WEIGHTED($AB$1:$AH$1, AB7:AH7)"),"#DIV/0!")</f>
        <v>#DIV/0!</v>
      </c>
      <c r="AO7" s="7" t="str">
        <f t="shared" ref="AO7:AQ7" si="22">(AL7-1)*100/6</f>
        <v>#DIV/0!</v>
      </c>
      <c r="AP7" s="7" t="str">
        <f t="shared" si="22"/>
        <v>#DIV/0!</v>
      </c>
      <c r="AQ7" s="7" t="str">
        <f t="shared" si="22"/>
        <v>#DIV/0!</v>
      </c>
      <c r="AR7" s="6" t="str">
        <f t="shared" ref="AR7:AT7" si="23">Average($AO7:$AQ7)</f>
        <v>#DIV/0!</v>
      </c>
      <c r="AS7" s="6" t="str">
        <f t="shared" si="23"/>
        <v>#DIV/0!</v>
      </c>
      <c r="AT7" s="6" t="str">
        <f t="shared" si="23"/>
        <v>#DIV/0!</v>
      </c>
      <c r="AU7" s="8" t="str">
        <f t="shared" si="8"/>
        <v>#DIV/0!</v>
      </c>
      <c r="AV7" s="14">
        <f>countifs('9B'!$I$2:$I$579, AV$1, '9B'!$C$2:$C$579, "Karl")</f>
        <v>2</v>
      </c>
      <c r="AW7" s="14">
        <f>countifs('9B'!$I$2:$I$579, AW$1, '9B'!$C$2:$C$579, "Karl")</f>
        <v>1</v>
      </c>
      <c r="AX7" s="14">
        <f>countifs('9B'!$I$2:$I$579, AX$1, '9B'!$C$2:$C$579, "Karl")</f>
        <v>1</v>
      </c>
      <c r="AY7" s="14">
        <f>countifs('9B'!$I$2:$I$579, AY$1, '9B'!$C$2:$C$579, "Karl")</f>
        <v>1</v>
      </c>
      <c r="AZ7" s="14">
        <f>countifs('9B'!$I$2:$I$579, AZ$1, '9B'!$C$2:$C$579, "Karl")</f>
        <v>4</v>
      </c>
      <c r="BA7" s="14">
        <f>countifs('9B'!$I$2:$I$579, BA$1, '9B'!$C$2:$C$579, "Karl")</f>
        <v>3</v>
      </c>
      <c r="BB7" s="14">
        <f>countifs('9B'!$I$2:$I$579, BB$1, '9B'!$C$2:$C$579, "Karl")</f>
        <v>10</v>
      </c>
      <c r="BC7" s="14">
        <f>countifs('9B'!$I$2:$I$579, BC$1, '9B'!$C$2:$C$579, "Kona")</f>
        <v>1</v>
      </c>
      <c r="BD7" s="14">
        <f>countifs('9B'!$I$2:$I$579, BD$1, '9B'!$C$2:$C$579, "Kona")</f>
        <v>3</v>
      </c>
      <c r="BE7" s="14">
        <f>countifs('9B'!$I$2:$I$579, BE$1, '9B'!$C$2:$C$579, "Kona")</f>
        <v>0</v>
      </c>
      <c r="BF7" s="14">
        <f>countifs('9B'!$I$2:$I$579, BF$1, '9B'!$C$2:$C$579, "Kona")</f>
        <v>2</v>
      </c>
      <c r="BG7" s="14">
        <f>countifs('9B'!$I$2:$I$579, BG$1, '9B'!$C$2:$C$579, "Kona")</f>
        <v>4</v>
      </c>
      <c r="BH7" s="14">
        <f>countifs('9B'!$I$2:$I$579, BH$1, '9B'!$C$2:$C$579, "Kona")</f>
        <v>18</v>
      </c>
      <c r="BI7" s="14">
        <f>countifs('9B'!$I$2:$I$579, BI$1, '9B'!$C$2:$C$579, "Kona")</f>
        <v>51</v>
      </c>
      <c r="BJ7" s="9">
        <v>22.0</v>
      </c>
      <c r="BK7" s="9">
        <v>79.0</v>
      </c>
      <c r="BL7" s="7">
        <f>IFERROR(__xludf.DUMMYFUNCTION("AVERAGE.WEIGHTED($AV$1:$BB$1,AV7:BB7)"),5.409090909090909)</f>
        <v>5.409090909</v>
      </c>
      <c r="BM7" s="7">
        <f>IFERROR(__xludf.DUMMYFUNCTION("AVERAGE.WEIGHTED($BC$1:$BI$1,BC7:BI7)"),6.329113924050633)</f>
        <v>6.329113924</v>
      </c>
      <c r="BN7" s="7">
        <f t="shared" ref="BN7:BO7" si="24">(BL7-1)*100/6</f>
        <v>73.48484848</v>
      </c>
      <c r="BO7" s="7">
        <f t="shared" si="24"/>
        <v>88.8185654</v>
      </c>
      <c r="BP7" s="8">
        <f t="shared" si="10"/>
        <v>81.15170694</v>
      </c>
      <c r="BQ7" s="8">
        <f t="shared" si="11"/>
        <v>81.15170694</v>
      </c>
      <c r="BR7" s="8">
        <f t="shared" si="12"/>
        <v>0.2287426819</v>
      </c>
    </row>
    <row r="8">
      <c r="A8" s="3">
        <v>7.0</v>
      </c>
      <c r="B8" s="1" t="s">
        <v>36</v>
      </c>
      <c r="C8" s="6">
        <f>countif('9B'!$J$2:$J$664, C$1)</f>
        <v>45</v>
      </c>
      <c r="D8" s="6">
        <f>countif('9B'!$J$2:$J$664, D$1)</f>
        <v>19</v>
      </c>
      <c r="E8" s="6">
        <f>countif('9B'!$J$2:$J$664, E$1)</f>
        <v>7</v>
      </c>
      <c r="F8" s="6">
        <f>countif('9B'!$J$2:$J$664, F$1)</f>
        <v>10</v>
      </c>
      <c r="G8" s="6">
        <f>countif('9B'!$J$2:$J$664, G$1)</f>
        <v>10</v>
      </c>
      <c r="H8" s="6">
        <f>countif('9B'!$J$2:$J$664, H$1)</f>
        <v>5</v>
      </c>
      <c r="I8" s="6">
        <f>countif('9B'!$J$2:$J$664, I$1)</f>
        <v>5</v>
      </c>
      <c r="J8" s="6">
        <f t="shared" si="4"/>
        <v>101</v>
      </c>
      <c r="K8" s="7">
        <f t="shared" si="5"/>
        <v>2.564356436</v>
      </c>
      <c r="N8" s="6">
        <f>countifs('9B'!$J$2:$J$664, N$1, '9B'!$B$2:$B$664, "&gt;"&amp;$L$2, '9B'!$B$2:$B$664, "&lt;"&amp;$M$2)</f>
        <v>0</v>
      </c>
      <c r="O8" s="6">
        <f>countifs('9B'!$J$2:$J$664, O$1, '9B'!$B$2:$B$664, "&gt;"&amp;$L$2, '9B'!$B$2:$B$664, "&lt;"&amp;$M$2)</f>
        <v>0</v>
      </c>
      <c r="P8" s="6">
        <f>countifs('9B'!$J$2:$J$664, P$1, '9B'!$B$2:$B$664, "&gt;"&amp;$L$2, '9B'!$B$2:$B$664, "&lt;"&amp;$M$2)</f>
        <v>0</v>
      </c>
      <c r="Q8" s="6">
        <f>countifs('9B'!$J$2:$J$664, Q$1, '9B'!$B$2:$B$664, "&gt;"&amp;$L$2, '9B'!$B$2:$B$664, "&lt;"&amp;$M$2)</f>
        <v>0</v>
      </c>
      <c r="R8" s="6">
        <f>countifs('9B'!$J$2:$J$664, R$1, '9B'!$B$2:$B$664, "&gt;"&amp;$L$2, '9B'!$B$2:$B$664, "&lt;"&amp;$M$2)</f>
        <v>0</v>
      </c>
      <c r="S8" s="6">
        <f>countifs('9B'!$J$2:$J$664, S$1, '9B'!$B$2:$B$664, "&gt;"&amp;$L$2, '9B'!$B$2:$B$664, "&lt;"&amp;$M$2)</f>
        <v>0</v>
      </c>
      <c r="T8" s="6">
        <f>countifs('9B'!$J$2:$J$664, T$1, '9B'!$B$2:$B$664, "&gt;"&amp;$L$2, '9B'!$B$2:$B$664, "&lt;"&amp;$M$2)</f>
        <v>0</v>
      </c>
      <c r="U8" s="6">
        <f>countifs('9B'!$J$2:$J$664, U$1, '9B'!$B$2:$B$664, "&gt;"&amp;$L$3, '9B'!$B$2:$B$664, "&lt;"&amp;$M$3)</f>
        <v>0</v>
      </c>
      <c r="V8" s="6">
        <f>countifs('9B'!$J$2:$J$664, V$1, '9B'!$B$2:$B$664, "&gt;"&amp;$L$3, '9B'!$B$2:$B$664, "&lt;"&amp;$M$3)</f>
        <v>0</v>
      </c>
      <c r="W8" s="6">
        <f>countifs('9B'!$J$2:$J$664, W$1, '9B'!$B$2:$B$664, "&gt;"&amp;$L$3, '9B'!$B$2:$B$664, "&lt;"&amp;$M$3)</f>
        <v>0</v>
      </c>
      <c r="X8" s="6">
        <f>countifs('9B'!$J$2:$J$664, X$1, '9B'!$B$2:$B$664, "&gt;"&amp;$L$3, '9B'!$B$2:$B$664, "&lt;"&amp;$M$3)</f>
        <v>0</v>
      </c>
      <c r="Y8" s="6">
        <f>countifs('9B'!$J$2:$J$664, Y$1, '9B'!$B$2:$B$664, "&gt;"&amp;$L$3, '9B'!$B$2:$B$664, "&lt;"&amp;$M$3)</f>
        <v>0</v>
      </c>
      <c r="Z8" s="6">
        <f>countifs('9B'!$J$2:$J$664, Z$1, '9B'!$B$2:$B$664, "&gt;"&amp;$L$3, '9B'!$B$2:$B$664, "&lt;"&amp;$M$3)</f>
        <v>0</v>
      </c>
      <c r="AA8" s="6">
        <f>countifs('9B'!$J$2:$J$664, AA$1, '9B'!$B$2:$B$664, "&gt;"&amp;$L$3, '9B'!$B$2:$B$664, "&lt;"&amp;$M$3)</f>
        <v>0</v>
      </c>
      <c r="AB8" s="6">
        <f>countifs('9B'!$J$2:$J$664, AB$1, '9B'!$B$2:$B$664, "&gt;"&amp;$L$4, '9B'!$B$2:$B$664, "&lt;"&amp;$M$4)</f>
        <v>0</v>
      </c>
      <c r="AC8" s="6">
        <f>countifs('9B'!$J$2:$J$664, AC$1, '9B'!$B$2:$B$664, "&gt;"&amp;$L$4, '9B'!$B$2:$B$664, "&lt;"&amp;$M$4)</f>
        <v>0</v>
      </c>
      <c r="AD8" s="6">
        <f>countifs('9B'!$J$2:$J$664, AD$1, '9B'!$B$2:$B$664, "&gt;"&amp;$L$4, '9B'!$B$2:$B$664, "&lt;"&amp;$M$4)</f>
        <v>0</v>
      </c>
      <c r="AE8" s="6">
        <f>countifs('9B'!$J$2:$J$664, AE$1, '9B'!$B$2:$B$664, "&gt;"&amp;$L$4, '9B'!$B$2:$B$664, "&lt;"&amp;$M$4)</f>
        <v>0</v>
      </c>
      <c r="AF8" s="6">
        <f>countifs('9B'!$J$2:$J$664, AF$1, '9B'!$B$2:$B$664, "&gt;"&amp;$L$4, '9B'!$B$2:$B$664, "&lt;"&amp;$M$4)</f>
        <v>0</v>
      </c>
      <c r="AG8" s="6">
        <f>countifs('9B'!$J$2:$J$664, AG$1, '9B'!$B$2:$B$664, "&gt;"&amp;$L$4, '9B'!$B$2:$B$664, "&lt;"&amp;$M$4)</f>
        <v>0</v>
      </c>
      <c r="AH8" s="6">
        <f>countifs('9B'!$J$2:$J$664, AH$1, '9B'!$B$2:$B$664, "&gt;"&amp;$L$4, '9B'!$B$2:$B$664, "&lt;"&amp;$M$4)</f>
        <v>0</v>
      </c>
      <c r="AI8" s="3">
        <v>3.0</v>
      </c>
      <c r="AJ8" s="3">
        <v>23.0</v>
      </c>
      <c r="AK8" s="3">
        <v>17.0</v>
      </c>
      <c r="AL8" s="7" t="str">
        <f>IFERROR(__xludf.DUMMYFUNCTION("AVERAGE.WEIGHTED($N$1:$T$1, N8:T8)"),"#DIV/0!")</f>
        <v>#DIV/0!</v>
      </c>
      <c r="AM8" s="7" t="str">
        <f>IFERROR(__xludf.DUMMYFUNCTION("AVERAGE.WEIGHTED($U$1:$AA$1, U8:AA8)"),"#DIV/0!")</f>
        <v>#DIV/0!</v>
      </c>
      <c r="AN8" s="13" t="str">
        <f>IFERROR(__xludf.DUMMYFUNCTION("AVERAGE.WEIGHTED($AB$1:$AH$1, AB8:AH8)"),"#DIV/0!")</f>
        <v>#DIV/0!</v>
      </c>
      <c r="AO8" s="7" t="str">
        <f t="shared" ref="AO8:AQ8" si="25">(AL8-1)*100/6</f>
        <v>#DIV/0!</v>
      </c>
      <c r="AP8" s="7" t="str">
        <f t="shared" si="25"/>
        <v>#DIV/0!</v>
      </c>
      <c r="AQ8" s="7" t="str">
        <f t="shared" si="25"/>
        <v>#DIV/0!</v>
      </c>
      <c r="AR8" s="6" t="str">
        <f t="shared" ref="AR8:AT8" si="26">Average($AO8:$AQ8)</f>
        <v>#DIV/0!</v>
      </c>
      <c r="AS8" s="6" t="str">
        <f t="shared" si="26"/>
        <v>#DIV/0!</v>
      </c>
      <c r="AT8" s="6" t="str">
        <f t="shared" si="26"/>
        <v>#DIV/0!</v>
      </c>
      <c r="AU8" s="8" t="str">
        <f t="shared" si="8"/>
        <v>#DIV/0!</v>
      </c>
      <c r="AV8" s="14">
        <f>countifs('9B'!$J$2:$J$579, AV$1, '9B'!$C$2:$C$579, "Karl")</f>
        <v>11</v>
      </c>
      <c r="AW8" s="14">
        <f>countifs('9B'!$J$2:$J$579, AW$1, '9B'!$C$2:$C$579, "Karl")</f>
        <v>4</v>
      </c>
      <c r="AX8" s="14">
        <f>countifs('9B'!$J$2:$J$579, AX$1, '9B'!$C$2:$C$579, "Karl")</f>
        <v>2</v>
      </c>
      <c r="AY8" s="14">
        <f>countifs('9B'!$J$2:$J$579, AY$1, '9B'!$C$2:$C$579, "Karl")</f>
        <v>2</v>
      </c>
      <c r="AZ8" s="14">
        <f>countifs('9B'!$J$2:$J$579, AZ$1, '9B'!$C$2:$C$579, "Karl")</f>
        <v>2</v>
      </c>
      <c r="BA8" s="14">
        <f>countifs('9B'!$J$2:$J$579, BA$1, '9B'!$C$2:$C$579, "Karl")</f>
        <v>0</v>
      </c>
      <c r="BB8" s="14">
        <f>countifs('9B'!$J$2:$J$579, BB$1, '9B'!$C$2:$C$579, "Karl")</f>
        <v>1</v>
      </c>
      <c r="BC8" s="14">
        <f>countifs('9B'!$J$2:$J$579, BC$1, '9B'!$C$2:$C$579, "Kona")</f>
        <v>34</v>
      </c>
      <c r="BD8" s="14">
        <f>countifs('9B'!$J$2:$J$579, BD$1, '9B'!$C$2:$C$579, "Kona")</f>
        <v>15</v>
      </c>
      <c r="BE8" s="14">
        <f>countifs('9B'!$J$2:$J$579, BE$1, '9B'!$C$2:$C$579, "Kona")</f>
        <v>5</v>
      </c>
      <c r="BF8" s="14">
        <f>countifs('9B'!$J$2:$J$579, BF$1, '9B'!$C$2:$C$579, "Kona")</f>
        <v>8</v>
      </c>
      <c r="BG8" s="14">
        <f>countifs('9B'!$J$2:$J$579, BG$1, '9B'!$C$2:$C$579, "Kona")</f>
        <v>8</v>
      </c>
      <c r="BH8" s="14">
        <f>countifs('9B'!$J$2:$J$579, BH$1, '9B'!$C$2:$C$579, "Kona")</f>
        <v>5</v>
      </c>
      <c r="BI8" s="14">
        <f>countifs('9B'!$J$2:$J$579, BI$1, '9B'!$C$2:$C$579, "Kona")</f>
        <v>4</v>
      </c>
      <c r="BJ8" s="9">
        <v>22.0</v>
      </c>
      <c r="BK8" s="9">
        <v>79.0</v>
      </c>
      <c r="BL8" s="7">
        <f>IFERROR(__xludf.DUMMYFUNCTION("AVERAGE.WEIGHTED($AV$1:$BB$1,AV8:BB8)"),2.2727272727272725)</f>
        <v>2.272727273</v>
      </c>
      <c r="BM8" s="7">
        <f>IFERROR(__xludf.DUMMYFUNCTION("AVERAGE.WEIGHTED($BC$1:$BI$1,BC8:BI8)"),2.645569620253165)</f>
        <v>2.64556962</v>
      </c>
      <c r="BN8" s="7">
        <f t="shared" ref="BN8:BO8" si="27">(BL8-1)*100/6</f>
        <v>21.21212121</v>
      </c>
      <c r="BO8" s="7">
        <f t="shared" si="27"/>
        <v>27.42616034</v>
      </c>
      <c r="BP8" s="8">
        <f t="shared" si="10"/>
        <v>24.31914077</v>
      </c>
      <c r="BQ8" s="8">
        <f t="shared" si="11"/>
        <v>24.31914077</v>
      </c>
      <c r="BR8" s="8">
        <f t="shared" si="12"/>
        <v>0.3729212807</v>
      </c>
    </row>
    <row r="9">
      <c r="A9" s="3">
        <v>8.0</v>
      </c>
      <c r="B9" s="1" t="s">
        <v>37</v>
      </c>
      <c r="C9" s="6">
        <f>countif('9B'!$K$2:$K$664, C$1)</f>
        <v>93</v>
      </c>
      <c r="D9" s="6">
        <f>countif('9B'!$K$2:$K$664, D$1)</f>
        <v>1</v>
      </c>
      <c r="E9" s="6">
        <f>countif('9B'!$K$2:$K$664, E$1)</f>
        <v>0</v>
      </c>
      <c r="F9" s="6">
        <f>countif('9B'!$K$2:$K$664, F$1)</f>
        <v>1</v>
      </c>
      <c r="G9" s="6">
        <f>countif('9B'!$K$2:$K$664, G$1)</f>
        <v>2</v>
      </c>
      <c r="H9" s="6">
        <f>countif('9B'!$K$2:$K$664, H$1)</f>
        <v>0</v>
      </c>
      <c r="I9" s="6">
        <f>countif('9B'!$K$2:$K$664, I$1)</f>
        <v>4</v>
      </c>
      <c r="J9" s="6">
        <f t="shared" si="4"/>
        <v>101</v>
      </c>
      <c r="K9" s="7">
        <f t="shared" si="5"/>
        <v>1.356435644</v>
      </c>
      <c r="N9" s="6">
        <f>countifs('9B'!$K$2:$K$664, N$1, '9B'!$B$2:$B$664, "&gt;"&amp;$L$2, '9B'!$B$2:$B$664, "&lt;"&amp;$M$2)</f>
        <v>0</v>
      </c>
      <c r="O9" s="6">
        <f>countifs('9B'!$K$2:$K$664, O$1, '9B'!$B$2:$B$664, "&gt;"&amp;$L$2, '9B'!$B$2:$B$664, "&lt;"&amp;$M$2)</f>
        <v>0</v>
      </c>
      <c r="P9" s="6">
        <f>countifs('9B'!$K$2:$K$664, P$1, '9B'!$B$2:$B$664, "&gt;"&amp;$L$2, '9B'!$B$2:$B$664, "&lt;"&amp;$M$2)</f>
        <v>0</v>
      </c>
      <c r="Q9" s="6">
        <f>countifs('9B'!$K$2:$K$664, Q$1, '9B'!$B$2:$B$664, "&gt;"&amp;$L$2, '9B'!$B$2:$B$664, "&lt;"&amp;$M$2)</f>
        <v>0</v>
      </c>
      <c r="R9" s="6">
        <f>countifs('9B'!$K$2:$K$664, R$1, '9B'!$B$2:$B$664, "&gt;"&amp;$L$2, '9B'!$B$2:$B$664, "&lt;"&amp;$M$2)</f>
        <v>0</v>
      </c>
      <c r="S9" s="6">
        <f>countifs('9B'!$K$2:$K$664, S$1, '9B'!$B$2:$B$664, "&gt;"&amp;$L$2, '9B'!$B$2:$B$664, "&lt;"&amp;$M$2)</f>
        <v>0</v>
      </c>
      <c r="T9" s="6">
        <f>countifs('9B'!$K$2:$K$664, T$1, '9B'!$B$2:$B$664, "&gt;"&amp;$L$2, '9B'!$B$2:$B$664, "&lt;"&amp;$M$2)</f>
        <v>0</v>
      </c>
      <c r="U9" s="6">
        <f>countifs('9B'!$K$2:$K$664, U$1, '9B'!$B$2:$B$664, "&gt;"&amp;$L$3, '9B'!$B$2:$B$664, "&lt;"&amp;$M$3)</f>
        <v>0</v>
      </c>
      <c r="V9" s="6">
        <f>countifs('9B'!$K$2:$K$664, V$1, '9B'!$B$2:$B$664, "&gt;"&amp;$L$3, '9B'!$B$2:$B$664, "&lt;"&amp;$M$3)</f>
        <v>0</v>
      </c>
      <c r="W9" s="6">
        <f>countifs('9B'!$K$2:$K$664, W$1, '9B'!$B$2:$B$664, "&gt;"&amp;$L$3, '9B'!$B$2:$B$664, "&lt;"&amp;$M$3)</f>
        <v>0</v>
      </c>
      <c r="X9" s="6">
        <f>countifs('9B'!$K$2:$K$664, X$1, '9B'!$B$2:$B$664, "&gt;"&amp;$L$3, '9B'!$B$2:$B$664, "&lt;"&amp;$M$3)</f>
        <v>0</v>
      </c>
      <c r="Y9" s="6">
        <f>countifs('9B'!$K$2:$K$664, Y$1, '9B'!$B$2:$B$664, "&gt;"&amp;$L$3, '9B'!$B$2:$B$664, "&lt;"&amp;$M$3)</f>
        <v>0</v>
      </c>
      <c r="Z9" s="6">
        <f>countifs('9B'!$K$2:$K$664, Z$1, '9B'!$B$2:$B$664, "&gt;"&amp;$L$3, '9B'!$B$2:$B$664, "&lt;"&amp;$M$3)</f>
        <v>0</v>
      </c>
      <c r="AA9" s="6">
        <f>countifs('9B'!$K$2:$K$664, AA$1, '9B'!$B$2:$B$664, "&gt;"&amp;$L$3, '9B'!$B$2:$B$664, "&lt;"&amp;$M$3)</f>
        <v>0</v>
      </c>
      <c r="AB9" s="6">
        <f>countifs('9B'!$K$2:$K$664, AB$1, '9B'!$B$2:$B$664, "&gt;"&amp;$L$4, '9B'!$B$2:$B$664, "&lt;"&amp;$M$4)</f>
        <v>0</v>
      </c>
      <c r="AC9" s="6">
        <f>countifs('9B'!$K$2:$K$664, AC$1, '9B'!$B$2:$B$664, "&gt;"&amp;$L$4, '9B'!$B$2:$B$664, "&lt;"&amp;$M$4)</f>
        <v>0</v>
      </c>
      <c r="AD9" s="6">
        <f>countifs('9B'!$K$2:$K$664, AD$1, '9B'!$B$2:$B$664, "&gt;"&amp;$L$4, '9B'!$B$2:$B$664, "&lt;"&amp;$M$4)</f>
        <v>0</v>
      </c>
      <c r="AE9" s="6">
        <f>countifs('9B'!$K$2:$K$664, AE$1, '9B'!$B$2:$B$664, "&gt;"&amp;$L$4, '9B'!$B$2:$B$664, "&lt;"&amp;$M$4)</f>
        <v>0</v>
      </c>
      <c r="AF9" s="6">
        <f>countifs('9B'!$K$2:$K$664, AF$1, '9B'!$B$2:$B$664, "&gt;"&amp;$L$4, '9B'!$B$2:$B$664, "&lt;"&amp;$M$4)</f>
        <v>0</v>
      </c>
      <c r="AG9" s="6">
        <f>countifs('9B'!$K$2:$K$664, AG$1, '9B'!$B$2:$B$664, "&gt;"&amp;$L$4, '9B'!$B$2:$B$664, "&lt;"&amp;$M$4)</f>
        <v>0</v>
      </c>
      <c r="AH9" s="6">
        <f>countifs('9B'!$K$2:$K$664, AH$1, '9B'!$B$2:$B$664, "&gt;"&amp;$L$4, '9B'!$B$2:$B$664, "&lt;"&amp;$M$4)</f>
        <v>0</v>
      </c>
      <c r="AI9" s="3">
        <v>3.0</v>
      </c>
      <c r="AJ9" s="3">
        <v>23.0</v>
      </c>
      <c r="AK9" s="3">
        <v>17.0</v>
      </c>
      <c r="AL9" s="7" t="str">
        <f>IFERROR(__xludf.DUMMYFUNCTION("AVERAGE.WEIGHTED($N$1:$T$1, N9:T9)"),"#DIV/0!")</f>
        <v>#DIV/0!</v>
      </c>
      <c r="AM9" s="7" t="str">
        <f>IFERROR(__xludf.DUMMYFUNCTION("AVERAGE.WEIGHTED($U$1:$AA$1, U9:AA9)"),"#DIV/0!")</f>
        <v>#DIV/0!</v>
      </c>
      <c r="AN9" s="13" t="str">
        <f>IFERROR(__xludf.DUMMYFUNCTION("AVERAGE.WEIGHTED($AB$1:$AH$1, AB9:AH9)"),"#DIV/0!")</f>
        <v>#DIV/0!</v>
      </c>
      <c r="AO9" s="7" t="str">
        <f t="shared" ref="AO9:AQ9" si="28">(AL9-1)*100/6</f>
        <v>#DIV/0!</v>
      </c>
      <c r="AP9" s="7" t="str">
        <f t="shared" si="28"/>
        <v>#DIV/0!</v>
      </c>
      <c r="AQ9" s="7" t="str">
        <f t="shared" si="28"/>
        <v>#DIV/0!</v>
      </c>
      <c r="AR9" s="6" t="str">
        <f t="shared" ref="AR9:AT9" si="29">Average($AO9:$AQ9)</f>
        <v>#DIV/0!</v>
      </c>
      <c r="AS9" s="6" t="str">
        <f t="shared" si="29"/>
        <v>#DIV/0!</v>
      </c>
      <c r="AT9" s="6" t="str">
        <f t="shared" si="29"/>
        <v>#DIV/0!</v>
      </c>
      <c r="AU9" s="8" t="str">
        <f t="shared" si="8"/>
        <v>#DIV/0!</v>
      </c>
      <c r="AV9" s="14">
        <f>countifs('9B'!$K$2:$K$579, AV$1, '9B'!$C$2:$C$579, "Karl")</f>
        <v>18</v>
      </c>
      <c r="AW9" s="14">
        <f>countifs('9B'!$K$2:$K$579, AW$1, '9B'!$C$2:$C$579, "Karl")</f>
        <v>0</v>
      </c>
      <c r="AX9" s="14">
        <f>countifs('9B'!$K$2:$K$579, AX$1, '9B'!$C$2:$C$579, "Karl")</f>
        <v>0</v>
      </c>
      <c r="AY9" s="14">
        <f>countifs('9B'!$K$2:$K$579, AY$1, '9B'!$C$2:$C$579, "Karl")</f>
        <v>0</v>
      </c>
      <c r="AZ9" s="14">
        <f>countifs('9B'!$K$2:$K$579, AZ$1, '9B'!$C$2:$C$579, "Karl")</f>
        <v>2</v>
      </c>
      <c r="BA9" s="14">
        <f>countifs('9B'!$K$2:$K$579, BA$1, '9B'!$C$2:$C$579, "Karl")</f>
        <v>0</v>
      </c>
      <c r="BB9" s="14">
        <f>countifs('9B'!$K$2:$K$579, BB$1, '9B'!$C$2:$C$579, "Karl")</f>
        <v>2</v>
      </c>
      <c r="BC9" s="14">
        <f>countifs('9B'!$K$2:$K$579, BC$1, '9B'!$C$2:$C$579, "Kona")</f>
        <v>75</v>
      </c>
      <c r="BD9" s="14">
        <f>countifs('9B'!$K$2:$K$579, BD$1, '9B'!$C$2:$C$579, "Kona")</f>
        <v>1</v>
      </c>
      <c r="BE9" s="14">
        <f>countifs('9B'!$K$2:$K$579, BE$1, '9B'!$C$2:$C$579, "Kona")</f>
        <v>0</v>
      </c>
      <c r="BF9" s="14">
        <f>countifs('9B'!$K$2:$K$579, BF$1, '9B'!$C$2:$C$579, "Kona")</f>
        <v>1</v>
      </c>
      <c r="BG9" s="14">
        <f>countifs('9B'!$K$2:$K$579, BG$1, '9B'!$C$2:$C$579, "Kona")</f>
        <v>0</v>
      </c>
      <c r="BH9" s="14">
        <f>countifs('9B'!$K$2:$K$579, BH$1, '9B'!$C$2:$C$579, "Kona")</f>
        <v>0</v>
      </c>
      <c r="BI9" s="14">
        <f>countifs('9B'!$K$2:$K$579, BI$1, '9B'!$C$2:$C$579, "Kona")</f>
        <v>2</v>
      </c>
      <c r="BJ9" s="9">
        <v>22.0</v>
      </c>
      <c r="BK9" s="9">
        <v>79.0</v>
      </c>
      <c r="BL9" s="7">
        <f>IFERROR(__xludf.DUMMYFUNCTION("AVERAGE.WEIGHTED($AV$1:$BB$1,AV9:BB9)"),1.909090909090909)</f>
        <v>1.909090909</v>
      </c>
      <c r="BM9" s="7">
        <f>IFERROR(__xludf.DUMMYFUNCTION("AVERAGE.WEIGHTED($BC$1:$BI$1,BC9:BI9)"),1.2025316455696202)</f>
        <v>1.202531646</v>
      </c>
      <c r="BN9" s="7">
        <f t="shared" ref="BN9:BO9" si="30">(BL9-1)*100/6</f>
        <v>15.15151515</v>
      </c>
      <c r="BO9" s="7">
        <f t="shared" si="30"/>
        <v>3.375527426</v>
      </c>
      <c r="BP9" s="8">
        <f t="shared" si="10"/>
        <v>9.263521289</v>
      </c>
      <c r="BQ9" s="8">
        <f t="shared" si="11"/>
        <v>9.263521289</v>
      </c>
      <c r="BR9" s="8">
        <f t="shared" si="12"/>
        <v>0.006221698403</v>
      </c>
    </row>
    <row r="10">
      <c r="A10" s="3">
        <v>9.0</v>
      </c>
      <c r="B10" s="1" t="s">
        <v>38</v>
      </c>
      <c r="C10" s="6">
        <f>countif('9B'!$L$2:$L$664, C$1)</f>
        <v>7</v>
      </c>
      <c r="D10" s="6">
        <f>countif('9B'!$L$2:$L$664, D$1)</f>
        <v>5</v>
      </c>
      <c r="E10" s="6">
        <f>countif('9B'!$L$2:$L$664, E$1)</f>
        <v>0</v>
      </c>
      <c r="F10" s="6">
        <f>countif('9B'!$L$2:$L$664, F$1)</f>
        <v>2</v>
      </c>
      <c r="G10" s="6">
        <f>countif('9B'!$L$2:$L$664, G$1)</f>
        <v>9</v>
      </c>
      <c r="H10" s="6">
        <f>countif('9B'!$L$2:$L$664, H$1)</f>
        <v>29</v>
      </c>
      <c r="I10" s="6">
        <f>countif('9B'!$L$2:$L$664, I$1)</f>
        <v>49</v>
      </c>
      <c r="J10" s="6">
        <f t="shared" si="4"/>
        <v>101</v>
      </c>
      <c r="K10" s="7">
        <f t="shared" si="5"/>
        <v>5.811881188</v>
      </c>
      <c r="N10" s="6">
        <f>countifs('9B'!$L$2:$L$664, N$1, '9B'!$B$2:$B$664, "&gt;"&amp;$L$2, '9B'!$B$2:$B$664, "&lt;"&amp;$M$2)</f>
        <v>0</v>
      </c>
      <c r="O10" s="6">
        <f>countifs('9B'!$L$2:$L$664, O$1, '9B'!$B$2:$B$664, "&gt;"&amp;$L$2, '9B'!$B$2:$B$664, "&lt;"&amp;$M$2)</f>
        <v>0</v>
      </c>
      <c r="P10" s="6">
        <f>countifs('9B'!$L$2:$L$664, P$1, '9B'!$B$2:$B$664, "&gt;"&amp;$L$2, '9B'!$B$2:$B$664, "&lt;"&amp;$M$2)</f>
        <v>0</v>
      </c>
      <c r="Q10" s="6">
        <f>countifs('9B'!$L$2:$L$664, Q$1, '9B'!$B$2:$B$664, "&gt;"&amp;$L$2, '9B'!$B$2:$B$664, "&lt;"&amp;$M$2)</f>
        <v>0</v>
      </c>
      <c r="R10" s="6">
        <f>countifs('9B'!$L$2:$L$664, R$1, '9B'!$B$2:$B$664, "&gt;"&amp;$L$2, '9B'!$B$2:$B$664, "&lt;"&amp;$M$2)</f>
        <v>0</v>
      </c>
      <c r="S10" s="6">
        <f>countifs('9B'!$L$2:$L$664, S$1, '9B'!$B$2:$B$664, "&gt;"&amp;$L$2, '9B'!$B$2:$B$664, "&lt;"&amp;$M$2)</f>
        <v>0</v>
      </c>
      <c r="T10" s="6">
        <f>countifs('9B'!$L$2:$L$664, T$1, '9B'!$B$2:$B$664, "&gt;"&amp;$L$2, '9B'!$B$2:$B$664, "&lt;"&amp;$M$2)</f>
        <v>0</v>
      </c>
      <c r="U10" s="6">
        <f>countifs('9B'!$L$2:$L$664, U$1, '9B'!$B$2:$B$664, "&gt;"&amp;$L$3, '9B'!$B$2:$B$664, "&lt;"&amp;$M$3)</f>
        <v>0</v>
      </c>
      <c r="V10" s="6">
        <f>countifs('9B'!$L$2:$L$664, V$1, '9B'!$B$2:$B$664, "&gt;"&amp;$L$3, '9B'!$B$2:$B$664, "&lt;"&amp;$M$3)</f>
        <v>0</v>
      </c>
      <c r="W10" s="6">
        <f>countifs('9B'!$L$2:$L$664, W$1, '9B'!$B$2:$B$664, "&gt;"&amp;$L$3, '9B'!$B$2:$B$664, "&lt;"&amp;$M$3)</f>
        <v>0</v>
      </c>
      <c r="X10" s="6">
        <f>countifs('9B'!$L$2:$L$664, X$1, '9B'!$B$2:$B$664, "&gt;"&amp;$L$3, '9B'!$B$2:$B$664, "&lt;"&amp;$M$3)</f>
        <v>0</v>
      </c>
      <c r="Y10" s="6">
        <f>countifs('9B'!$L$2:$L$664, Y$1, '9B'!$B$2:$B$664, "&gt;"&amp;$L$3, '9B'!$B$2:$B$664, "&lt;"&amp;$M$3)</f>
        <v>0</v>
      </c>
      <c r="Z10" s="6">
        <f>countifs('9B'!$L$2:$L$664, Z$1, '9B'!$B$2:$B$664, "&gt;"&amp;$L$3, '9B'!$B$2:$B$664, "&lt;"&amp;$M$3)</f>
        <v>0</v>
      </c>
      <c r="AA10" s="6">
        <f>countifs('9B'!$L$2:$L$664, AA$1, '9B'!$B$2:$B$664, "&gt;"&amp;$L$3, '9B'!$B$2:$B$664, "&lt;"&amp;$M$3)</f>
        <v>0</v>
      </c>
      <c r="AB10" s="6">
        <f>countifs('9B'!$L$2:$L$664, AB$1, '9B'!$B$2:$B$664, "&gt;"&amp;$L$4, '9B'!$B$2:$B$664, "&lt;"&amp;$M$4)</f>
        <v>0</v>
      </c>
      <c r="AC10" s="6">
        <f>countifs('9B'!$L$2:$L$664, AC$1, '9B'!$B$2:$B$664, "&gt;"&amp;$L$4, '9B'!$B$2:$B$664, "&lt;"&amp;$M$4)</f>
        <v>0</v>
      </c>
      <c r="AD10" s="6">
        <f>countifs('9B'!$L$2:$L$664, AD$1, '9B'!$B$2:$B$664, "&gt;"&amp;$L$4, '9B'!$B$2:$B$664, "&lt;"&amp;$M$4)</f>
        <v>0</v>
      </c>
      <c r="AE10" s="6">
        <f>countifs('9B'!$L$2:$L$664, AE$1, '9B'!$B$2:$B$664, "&gt;"&amp;$L$4, '9B'!$B$2:$B$664, "&lt;"&amp;$M$4)</f>
        <v>0</v>
      </c>
      <c r="AF10" s="6">
        <f>countifs('9B'!$L$2:$L$664, AF$1, '9B'!$B$2:$B$664, "&gt;"&amp;$L$4, '9B'!$B$2:$B$664, "&lt;"&amp;$M$4)</f>
        <v>0</v>
      </c>
      <c r="AG10" s="6">
        <f>countifs('9B'!$L$2:$L$664, AG$1, '9B'!$B$2:$B$664, "&gt;"&amp;$L$4, '9B'!$B$2:$B$664, "&lt;"&amp;$M$4)</f>
        <v>0</v>
      </c>
      <c r="AH10" s="6">
        <f>countifs('9B'!$L$2:$L$664, AH$1, '9B'!$B$2:$B$664, "&gt;"&amp;$L$4, '9B'!$B$2:$B$664, "&lt;"&amp;$M$4)</f>
        <v>0</v>
      </c>
      <c r="AI10" s="3">
        <v>3.0</v>
      </c>
      <c r="AJ10" s="3">
        <v>23.0</v>
      </c>
      <c r="AK10" s="3">
        <v>17.0</v>
      </c>
      <c r="AL10" s="7" t="str">
        <f>IFERROR(__xludf.DUMMYFUNCTION("AVERAGE.WEIGHTED($N$1:$T$1, N10:T10)"),"#DIV/0!")</f>
        <v>#DIV/0!</v>
      </c>
      <c r="AM10" s="7" t="str">
        <f>IFERROR(__xludf.DUMMYFUNCTION("AVERAGE.WEIGHTED($U$1:$AA$1, U10:AA10)"),"#DIV/0!")</f>
        <v>#DIV/0!</v>
      </c>
      <c r="AN10" s="13" t="str">
        <f>IFERROR(__xludf.DUMMYFUNCTION("AVERAGE.WEIGHTED($AB$1:$AH$1, AB10:AH10)"),"#DIV/0!")</f>
        <v>#DIV/0!</v>
      </c>
      <c r="AO10" s="7" t="str">
        <f t="shared" ref="AO10:AQ10" si="31">(AL10-1)*100/6</f>
        <v>#DIV/0!</v>
      </c>
      <c r="AP10" s="7" t="str">
        <f t="shared" si="31"/>
        <v>#DIV/0!</v>
      </c>
      <c r="AQ10" s="7" t="str">
        <f t="shared" si="31"/>
        <v>#DIV/0!</v>
      </c>
      <c r="AR10" s="6" t="str">
        <f t="shared" ref="AR10:AT10" si="32">Average($AO10:$AQ10)</f>
        <v>#DIV/0!</v>
      </c>
      <c r="AS10" s="6" t="str">
        <f t="shared" si="32"/>
        <v>#DIV/0!</v>
      </c>
      <c r="AT10" s="6" t="str">
        <f t="shared" si="32"/>
        <v>#DIV/0!</v>
      </c>
      <c r="AU10" s="8" t="str">
        <f t="shared" si="8"/>
        <v>#DIV/0!</v>
      </c>
      <c r="AV10" s="14">
        <f>countifs('9B'!$L$2:$L$579, AV$1, '9B'!$C$2:$C$579, "Karl")</f>
        <v>1</v>
      </c>
      <c r="AW10" s="14">
        <f>countifs('9B'!$L$2:$L$579, AW$1, '9B'!$C$2:$C$579, "Karl")</f>
        <v>0</v>
      </c>
      <c r="AX10" s="14">
        <f>countifs('9B'!$L$2:$L$579, AX$1, '9B'!$C$2:$C$579, "Karl")</f>
        <v>0</v>
      </c>
      <c r="AY10" s="14">
        <f>countifs('9B'!$L$2:$L$579, AY$1, '9B'!$C$2:$C$579, "Karl")</f>
        <v>0</v>
      </c>
      <c r="AZ10" s="14">
        <f>countifs('9B'!$L$2:$L$579, AZ$1, '9B'!$C$2:$C$579, "Karl")</f>
        <v>1</v>
      </c>
      <c r="BA10" s="14">
        <f>countifs('9B'!$L$2:$L$579, BA$1, '9B'!$C$2:$C$579, "Karl")</f>
        <v>9</v>
      </c>
      <c r="BB10" s="14">
        <f>countifs('9B'!$L$2:$L$579, BB$1, '9B'!$C$2:$C$579, "Karl")</f>
        <v>11</v>
      </c>
      <c r="BC10" s="14">
        <f>countifs('9B'!$L$2:$L$579, BC$1, '9B'!$C$2:$C$579, "Kona")</f>
        <v>6</v>
      </c>
      <c r="BD10" s="14">
        <f>countifs('9B'!$L$2:$L$579, BD$1, '9B'!$C$2:$C$579, "Kona")</f>
        <v>5</v>
      </c>
      <c r="BE10" s="14">
        <f>countifs('9B'!$L$2:$L$579, BE$1, '9B'!$C$2:$C$579, "Kona")</f>
        <v>0</v>
      </c>
      <c r="BF10" s="14">
        <f>countifs('9B'!$L$2:$L$579, BF$1, '9B'!$C$2:$C$579, "Kona")</f>
        <v>2</v>
      </c>
      <c r="BG10" s="14">
        <f>countifs('9B'!$L$2:$L$579, BG$1, '9B'!$C$2:$C$579, "Kona")</f>
        <v>8</v>
      </c>
      <c r="BH10" s="14">
        <f>countifs('9B'!$L$2:$L$579, BH$1, '9B'!$C$2:$C$579, "Kona")</f>
        <v>20</v>
      </c>
      <c r="BI10" s="14">
        <f>countifs('9B'!$L$2:$L$579, BI$1, '9B'!$C$2:$C$579, "Kona")</f>
        <v>38</v>
      </c>
      <c r="BJ10" s="9">
        <v>22.0</v>
      </c>
      <c r="BK10" s="9">
        <v>79.0</v>
      </c>
      <c r="BL10" s="7">
        <f>IFERROR(__xludf.DUMMYFUNCTION("AVERAGE.WEIGHTED($AV$1:$BB$1,AV10:BB10)"),6.2272727272727275)</f>
        <v>6.227272727</v>
      </c>
      <c r="BM10" s="7">
        <f>IFERROR(__xludf.DUMMYFUNCTION("AVERAGE.WEIGHTED($BC$1:$BI$1,BC10:BI10)"),5.69620253164557)</f>
        <v>5.696202532</v>
      </c>
      <c r="BN10" s="7">
        <f t="shared" ref="BN10:BO10" si="33">(BL10-1)*100/6</f>
        <v>87.12121212</v>
      </c>
      <c r="BO10" s="7">
        <f t="shared" si="33"/>
        <v>78.27004219</v>
      </c>
      <c r="BP10" s="8">
        <f t="shared" si="10"/>
        <v>82.69562716</v>
      </c>
      <c r="BQ10" s="8">
        <f t="shared" si="11"/>
        <v>82.69562716</v>
      </c>
      <c r="BR10" s="8">
        <f t="shared" si="12"/>
        <v>0.4912971703</v>
      </c>
    </row>
    <row r="11">
      <c r="A11" s="3">
        <v>10.0</v>
      </c>
      <c r="B11" s="1" t="s">
        <v>39</v>
      </c>
      <c r="C11" s="6">
        <f>countif('9B'!$M$2:$M$664, C$1)</f>
        <v>38</v>
      </c>
      <c r="D11" s="6">
        <f>countif('9B'!$M$2:$M$664, D$1)</f>
        <v>22</v>
      </c>
      <c r="E11" s="6">
        <f>countif('9B'!$M$2:$M$664, E$1)</f>
        <v>11</v>
      </c>
      <c r="F11" s="6">
        <f>countif('9B'!$M$2:$M$664, F$1)</f>
        <v>6</v>
      </c>
      <c r="G11" s="6">
        <f>countif('9B'!$M$2:$M$664, G$1)</f>
        <v>5</v>
      </c>
      <c r="H11" s="6">
        <f>countif('9B'!$M$2:$M$664, H$1)</f>
        <v>12</v>
      </c>
      <c r="I11" s="6">
        <f>countif('9B'!$M$2:$M$664, I$1)</f>
        <v>7</v>
      </c>
      <c r="J11" s="6">
        <f t="shared" si="4"/>
        <v>101</v>
      </c>
      <c r="K11" s="7">
        <f t="shared" si="5"/>
        <v>2.821782178</v>
      </c>
      <c r="N11" s="6">
        <f>countifs('9B'!$M$2:$M$664, N$1, '9B'!$B$2:$B$664, "&gt;"&amp;$L$2, '9B'!$B$2:$B$664, "&lt;"&amp;$M$2)</f>
        <v>0</v>
      </c>
      <c r="O11" s="6">
        <f>countifs('9B'!$M$2:$M$664, O$1, '9B'!$B$2:$B$664, "&gt;"&amp;$L$2, '9B'!$B$2:$B$664, "&lt;"&amp;$M$2)</f>
        <v>0</v>
      </c>
      <c r="P11" s="6">
        <f>countifs('9B'!$M$2:$M$664, P$1, '9B'!$B$2:$B$664, "&gt;"&amp;$L$2, '9B'!$B$2:$B$664, "&lt;"&amp;$M$2)</f>
        <v>0</v>
      </c>
      <c r="Q11" s="6">
        <f>countifs('9B'!$M$2:$M$664, Q$1, '9B'!$B$2:$B$664, "&gt;"&amp;$L$2, '9B'!$B$2:$B$664, "&lt;"&amp;$M$2)</f>
        <v>0</v>
      </c>
      <c r="R11" s="6">
        <f>countifs('9B'!$M$2:$M$664, R$1, '9B'!$B$2:$B$664, "&gt;"&amp;$L$2, '9B'!$B$2:$B$664, "&lt;"&amp;$M$2)</f>
        <v>0</v>
      </c>
      <c r="S11" s="6">
        <f>countifs('9B'!$M$2:$M$664, S$1, '9B'!$B$2:$B$664, "&gt;"&amp;$L$2, '9B'!$B$2:$B$664, "&lt;"&amp;$M$2)</f>
        <v>0</v>
      </c>
      <c r="T11" s="6">
        <f>countifs('9B'!$M$2:$M$664, T$1, '9B'!$B$2:$B$664, "&gt;"&amp;$L$2, '9B'!$B$2:$B$664, "&lt;"&amp;$M$2)</f>
        <v>0</v>
      </c>
      <c r="U11" s="6">
        <f>countifs('9B'!$M$2:$M$664, U$1, '9B'!$B$2:$B$664, "&gt;"&amp;$L$3, '9B'!$B$2:$B$664, "&lt;"&amp;$M$3)</f>
        <v>0</v>
      </c>
      <c r="V11" s="6">
        <f>countifs('9B'!$M$2:$M$664, V$1, '9B'!$B$2:$B$664, "&gt;"&amp;$L$3, '9B'!$B$2:$B$664, "&lt;"&amp;$M$3)</f>
        <v>0</v>
      </c>
      <c r="W11" s="6">
        <f>countifs('9B'!$M$2:$M$664, W$1, '9B'!$B$2:$B$664, "&gt;"&amp;$L$3, '9B'!$B$2:$B$664, "&lt;"&amp;$M$3)</f>
        <v>0</v>
      </c>
      <c r="X11" s="6">
        <f>countifs('9B'!$M$2:$M$664, X$1, '9B'!$B$2:$B$664, "&gt;"&amp;$L$3, '9B'!$B$2:$B$664, "&lt;"&amp;$M$3)</f>
        <v>0</v>
      </c>
      <c r="Y11" s="6">
        <f>countifs('9B'!$M$2:$M$664, Y$1, '9B'!$B$2:$B$664, "&gt;"&amp;$L$3, '9B'!$B$2:$B$664, "&lt;"&amp;$M$3)</f>
        <v>0</v>
      </c>
      <c r="Z11" s="6">
        <f>countifs('9B'!$M$2:$M$664, Z$1, '9B'!$B$2:$B$664, "&gt;"&amp;$L$3, '9B'!$B$2:$B$664, "&lt;"&amp;$M$3)</f>
        <v>0</v>
      </c>
      <c r="AA11" s="6">
        <f>countifs('9B'!$M$2:$M$664, AA$1, '9B'!$B$2:$B$664, "&gt;"&amp;$L$3, '9B'!$B$2:$B$664, "&lt;"&amp;$M$3)</f>
        <v>0</v>
      </c>
      <c r="AB11" s="6">
        <f>countifs('9B'!$M$2:$M$664, AB$1, '9B'!$B$2:$B$664, "&gt;"&amp;$L$4, '9B'!$B$2:$B$664, "&lt;"&amp;$M$4)</f>
        <v>0</v>
      </c>
      <c r="AC11" s="6">
        <f>countifs('9B'!$M$2:$M$664, AC$1, '9B'!$B$2:$B$664, "&gt;"&amp;$L$4, '9B'!$B$2:$B$664, "&lt;"&amp;$M$4)</f>
        <v>0</v>
      </c>
      <c r="AD11" s="6">
        <f>countifs('9B'!$M$2:$M$664, AD$1, '9B'!$B$2:$B$664, "&gt;"&amp;$L$4, '9B'!$B$2:$B$664, "&lt;"&amp;$M$4)</f>
        <v>0</v>
      </c>
      <c r="AE11" s="6">
        <f>countifs('9B'!$M$2:$M$664, AE$1, '9B'!$B$2:$B$664, "&gt;"&amp;$L$4, '9B'!$B$2:$B$664, "&lt;"&amp;$M$4)</f>
        <v>0</v>
      </c>
      <c r="AF11" s="6">
        <f>countifs('9B'!$M$2:$M$664, AF$1, '9B'!$B$2:$B$664, "&gt;"&amp;$L$4, '9B'!$B$2:$B$664, "&lt;"&amp;$M$4)</f>
        <v>0</v>
      </c>
      <c r="AG11" s="6">
        <f>countifs('9B'!$M$2:$M$664, AG$1, '9B'!$B$2:$B$664, "&gt;"&amp;$L$4, '9B'!$B$2:$B$664, "&lt;"&amp;$M$4)</f>
        <v>0</v>
      </c>
      <c r="AH11" s="6">
        <f>countifs('9B'!$M$2:$M$664, AH$1, '9B'!$B$2:$B$664, "&gt;"&amp;$L$4, '9B'!$B$2:$B$664, "&lt;"&amp;$M$4)</f>
        <v>0</v>
      </c>
      <c r="AI11" s="3">
        <v>3.0</v>
      </c>
      <c r="AJ11" s="3">
        <v>23.0</v>
      </c>
      <c r="AK11" s="3">
        <v>17.0</v>
      </c>
      <c r="AL11" s="7" t="str">
        <f>IFERROR(__xludf.DUMMYFUNCTION("AVERAGE.WEIGHTED($N$1:$T$1, N11:T11)"),"#DIV/0!")</f>
        <v>#DIV/0!</v>
      </c>
      <c r="AM11" s="7" t="str">
        <f>IFERROR(__xludf.DUMMYFUNCTION("AVERAGE.WEIGHTED($U$1:$AA$1, U11:AA11)"),"#DIV/0!")</f>
        <v>#DIV/0!</v>
      </c>
      <c r="AN11" s="13" t="str">
        <f>IFERROR(__xludf.DUMMYFUNCTION("AVERAGE.WEIGHTED($AB$1:$AH$1, AB11:AH11)"),"#DIV/0!")</f>
        <v>#DIV/0!</v>
      </c>
      <c r="AO11" s="7" t="str">
        <f t="shared" ref="AO11:AQ11" si="34">(AL11-1)*100/6</f>
        <v>#DIV/0!</v>
      </c>
      <c r="AP11" s="7" t="str">
        <f t="shared" si="34"/>
        <v>#DIV/0!</v>
      </c>
      <c r="AQ11" s="7" t="str">
        <f t="shared" si="34"/>
        <v>#DIV/0!</v>
      </c>
      <c r="AR11" s="6" t="str">
        <f t="shared" ref="AR11:AT11" si="35">Average($AO11:$AQ11)</f>
        <v>#DIV/0!</v>
      </c>
      <c r="AS11" s="6" t="str">
        <f t="shared" si="35"/>
        <v>#DIV/0!</v>
      </c>
      <c r="AT11" s="6" t="str">
        <f t="shared" si="35"/>
        <v>#DIV/0!</v>
      </c>
      <c r="AU11" s="8" t="str">
        <f t="shared" si="8"/>
        <v>#DIV/0!</v>
      </c>
      <c r="AV11" s="14">
        <f>countifs('9B'!$M$2:$M$579, AV$1, '9B'!$C$2:$C$579, "Karl")</f>
        <v>8</v>
      </c>
      <c r="AW11" s="14">
        <f>countifs('9B'!$M$2:$M$579, AW$1, '9B'!$C$2:$C$579, "Karl")</f>
        <v>6</v>
      </c>
      <c r="AX11" s="14">
        <f>countifs('9B'!$M$2:$M$579, AX$1, '9B'!$C$2:$C$579, "Karl")</f>
        <v>2</v>
      </c>
      <c r="AY11" s="14">
        <f>countifs('9B'!$M$2:$M$579, AY$1, '9B'!$C$2:$C$579, "Karl")</f>
        <v>1</v>
      </c>
      <c r="AZ11" s="14">
        <f>countifs('9B'!$M$2:$M$579, AZ$1, '9B'!$C$2:$C$579, "Karl")</f>
        <v>0</v>
      </c>
      <c r="BA11" s="14">
        <f>countifs('9B'!$M$2:$M$579, BA$1, '9B'!$C$2:$C$579, "Karl")</f>
        <v>4</v>
      </c>
      <c r="BB11" s="14">
        <f>countifs('9B'!$M$2:$M$579, BB$1, '9B'!$C$2:$C$579, "Karl")</f>
        <v>1</v>
      </c>
      <c r="BC11" s="14">
        <f>countifs('9B'!$M$2:$M$579, BC$1, '9B'!$C$2:$C$579, "Kona")</f>
        <v>30</v>
      </c>
      <c r="BD11" s="14">
        <f>countifs('9B'!$M$2:$M$579, BD$1, '9B'!$C$2:$C$579, "Kona")</f>
        <v>16</v>
      </c>
      <c r="BE11" s="14">
        <f>countifs('9B'!$M$2:$M$579, BE$1, '9B'!$C$2:$C$579, "Kona")</f>
        <v>9</v>
      </c>
      <c r="BF11" s="14">
        <f>countifs('9B'!$M$2:$M$579, BF$1, '9B'!$C$2:$C$579, "Kona")</f>
        <v>5</v>
      </c>
      <c r="BG11" s="14">
        <f>countifs('9B'!$M$2:$M$579, BG$1, '9B'!$C$2:$C$579, "Kona")</f>
        <v>5</v>
      </c>
      <c r="BH11" s="14">
        <f>countifs('9B'!$M$2:$M$579, BH$1, '9B'!$C$2:$C$579, "Kona")</f>
        <v>8</v>
      </c>
      <c r="BI11" s="14">
        <f>countifs('9B'!$M$2:$M$579, BI$1, '9B'!$C$2:$C$579, "Kona")</f>
        <v>6</v>
      </c>
      <c r="BJ11" s="9">
        <v>22.0</v>
      </c>
      <c r="BK11" s="9">
        <v>79.0</v>
      </c>
      <c r="BL11" s="7">
        <f>IFERROR(__xludf.DUMMYFUNCTION("AVERAGE.WEIGHTED($AV$1:$BB$1,AV11:BB11)"),2.7727272727272725)</f>
        <v>2.772727273</v>
      </c>
      <c r="BM11" s="7">
        <f>IFERROR(__xludf.DUMMYFUNCTION("AVERAGE.WEIGHTED($BC$1:$BI$1,BC11:BI11)"),2.8354430379746836)</f>
        <v>2.835443038</v>
      </c>
      <c r="BN11" s="7">
        <f t="shared" ref="BN11:BO11" si="36">(BL11-1)*100/6</f>
        <v>29.54545455</v>
      </c>
      <c r="BO11" s="7">
        <f t="shared" si="36"/>
        <v>30.5907173</v>
      </c>
      <c r="BP11" s="8">
        <f t="shared" si="10"/>
        <v>30.06808592</v>
      </c>
      <c r="BQ11" s="8">
        <f t="shared" si="11"/>
        <v>30.06808592</v>
      </c>
      <c r="BR11" s="8">
        <f t="shared" si="12"/>
        <v>0.8927779339</v>
      </c>
    </row>
    <row r="12">
      <c r="A12" s="3">
        <v>11.0</v>
      </c>
      <c r="B12" s="1" t="s">
        <v>40</v>
      </c>
      <c r="C12" s="6">
        <f>countif('9B'!$N$2:$N$664, C$1)</f>
        <v>22</v>
      </c>
      <c r="D12" s="6">
        <f>countif('9B'!$N$2:$N$664, D$1)</f>
        <v>7</v>
      </c>
      <c r="E12" s="6">
        <f>countif('9B'!$N$2:$N$664, E$1)</f>
        <v>2</v>
      </c>
      <c r="F12" s="6">
        <f>countif('9B'!$N$2:$N$664, F$1)</f>
        <v>2</v>
      </c>
      <c r="G12" s="6">
        <f>countif('9B'!$N$2:$N$664, G$1)</f>
        <v>10</v>
      </c>
      <c r="H12" s="6">
        <f>countif('9B'!$N$2:$N$664, H$1)</f>
        <v>17</v>
      </c>
      <c r="I12" s="6">
        <f>countif('9B'!$N$2:$N$664, I$1)</f>
        <v>41</v>
      </c>
      <c r="J12" s="6">
        <f t="shared" si="4"/>
        <v>101</v>
      </c>
      <c r="K12" s="7">
        <f t="shared" si="5"/>
        <v>4.841584158</v>
      </c>
      <c r="N12" s="6">
        <f>countifs('9B'!$N$2:$N$664, N$1, '9B'!$B$2:$B$664, "&gt;"&amp;$L$2, '9B'!$B$2:$B$664, "&lt;"&amp;$M$2)</f>
        <v>0</v>
      </c>
      <c r="O12" s="6">
        <f>countifs('9B'!$N$2:$N$664, O$1, '9B'!$B$2:$B$664, "&gt;"&amp;$L$2, '9B'!$B$2:$B$664, "&lt;"&amp;$M$2)</f>
        <v>0</v>
      </c>
      <c r="P12" s="6">
        <f>countifs('9B'!$N$2:$N$664, P$1, '9B'!$B$2:$B$664, "&gt;"&amp;$L$2, '9B'!$B$2:$B$664, "&lt;"&amp;$M$2)</f>
        <v>0</v>
      </c>
      <c r="Q12" s="6">
        <f>countifs('9B'!$N$2:$N$664, Q$1, '9B'!$B$2:$B$664, "&gt;"&amp;$L$2, '9B'!$B$2:$B$664, "&lt;"&amp;$M$2)</f>
        <v>0</v>
      </c>
      <c r="R12" s="6">
        <f>countifs('9B'!$N$2:$N$664, R$1, '9B'!$B$2:$B$664, "&gt;"&amp;$L$2, '9B'!$B$2:$B$664, "&lt;"&amp;$M$2)</f>
        <v>0</v>
      </c>
      <c r="S12" s="6">
        <f>countifs('9B'!$N$2:$N$664, S$1, '9B'!$B$2:$B$664, "&gt;"&amp;$L$2, '9B'!$B$2:$B$664, "&lt;"&amp;$M$2)</f>
        <v>0</v>
      </c>
      <c r="T12" s="6">
        <f>countifs('9B'!$N$2:$N$664, T$1, '9B'!$B$2:$B$664, "&gt;"&amp;$L$2, '9B'!$B$2:$B$664, "&lt;"&amp;$M$2)</f>
        <v>0</v>
      </c>
      <c r="U12" s="6">
        <f>countifs('9B'!$N$2:$N$664, U$1, '9B'!$B$2:$B$664, "&gt;"&amp;$L$3, '9B'!$B$2:$B$664, "&lt;"&amp;$M$3)</f>
        <v>0</v>
      </c>
      <c r="V12" s="6">
        <f>countifs('9B'!$N$2:$N$664, V$1, '9B'!$B$2:$B$664, "&gt;"&amp;$L$3, '9B'!$B$2:$B$664, "&lt;"&amp;$M$3)</f>
        <v>0</v>
      </c>
      <c r="W12" s="6">
        <f>countifs('9B'!$N$2:$N$664, W$1, '9B'!$B$2:$B$664, "&gt;"&amp;$L$3, '9B'!$B$2:$B$664, "&lt;"&amp;$M$3)</f>
        <v>0</v>
      </c>
      <c r="X12" s="6">
        <f>countifs('9B'!$N$2:$N$664, X$1, '9B'!$B$2:$B$664, "&gt;"&amp;$L$3, '9B'!$B$2:$B$664, "&lt;"&amp;$M$3)</f>
        <v>0</v>
      </c>
      <c r="Y12" s="6">
        <f>countifs('9B'!$N$2:$N$664, Y$1, '9B'!$B$2:$B$664, "&gt;"&amp;$L$3, '9B'!$B$2:$B$664, "&lt;"&amp;$M$3)</f>
        <v>0</v>
      </c>
      <c r="Z12" s="6">
        <f>countifs('9B'!$N$2:$N$664, Z$1, '9B'!$B$2:$B$664, "&gt;"&amp;$L$3, '9B'!$B$2:$B$664, "&lt;"&amp;$M$3)</f>
        <v>0</v>
      </c>
      <c r="AA12" s="6">
        <f>countifs('9B'!$N$2:$N$664, AA$1, '9B'!$B$2:$B$664, "&gt;"&amp;$L$3, '9B'!$B$2:$B$664, "&lt;"&amp;$M$3)</f>
        <v>0</v>
      </c>
      <c r="AB12" s="6">
        <f>countifs('9B'!$N$2:$N$664, AB$1, '9B'!$B$2:$B$664, "&gt;"&amp;$L$4, '9B'!$B$2:$B$664, "&lt;"&amp;$M$4)</f>
        <v>0</v>
      </c>
      <c r="AC12" s="6">
        <f>countifs('9B'!$N$2:$N$664, AC$1, '9B'!$B$2:$B$664, "&gt;"&amp;$L$4, '9B'!$B$2:$B$664, "&lt;"&amp;$M$4)</f>
        <v>0</v>
      </c>
      <c r="AD12" s="6">
        <f>countifs('9B'!$N$2:$N$664, AD$1, '9B'!$B$2:$B$664, "&gt;"&amp;$L$4, '9B'!$B$2:$B$664, "&lt;"&amp;$M$4)</f>
        <v>0</v>
      </c>
      <c r="AE12" s="6">
        <f>countifs('9B'!$N$2:$N$664, AE$1, '9B'!$B$2:$B$664, "&gt;"&amp;$L$4, '9B'!$B$2:$B$664, "&lt;"&amp;$M$4)</f>
        <v>0</v>
      </c>
      <c r="AF12" s="6">
        <f>countifs('9B'!$N$2:$N$664, AF$1, '9B'!$B$2:$B$664, "&gt;"&amp;$L$4, '9B'!$B$2:$B$664, "&lt;"&amp;$M$4)</f>
        <v>0</v>
      </c>
      <c r="AG12" s="6">
        <f>countifs('9B'!$N$2:$N$664, AG$1, '9B'!$B$2:$B$664, "&gt;"&amp;$L$4, '9B'!$B$2:$B$664, "&lt;"&amp;$M$4)</f>
        <v>0</v>
      </c>
      <c r="AH12" s="6">
        <f>countifs('9B'!$N$2:$N$664, AH$1, '9B'!$B$2:$B$664, "&gt;"&amp;$L$4, '9B'!$B$2:$B$664, "&lt;"&amp;$M$4)</f>
        <v>0</v>
      </c>
      <c r="AI12" s="3">
        <v>3.0</v>
      </c>
      <c r="AJ12" s="3">
        <v>23.0</v>
      </c>
      <c r="AK12" s="3">
        <v>17.0</v>
      </c>
      <c r="AL12" s="7" t="str">
        <f>IFERROR(__xludf.DUMMYFUNCTION("AVERAGE.WEIGHTED($N$1:$T$1, N12:T12)"),"#DIV/0!")</f>
        <v>#DIV/0!</v>
      </c>
      <c r="AM12" s="7" t="str">
        <f>IFERROR(__xludf.DUMMYFUNCTION("AVERAGE.WEIGHTED($U$1:$AA$1, U12:AA12)"),"#DIV/0!")</f>
        <v>#DIV/0!</v>
      </c>
      <c r="AN12" s="13" t="str">
        <f>IFERROR(__xludf.DUMMYFUNCTION("AVERAGE.WEIGHTED($AB$1:$AH$1, AB12:AH12)"),"#DIV/0!")</f>
        <v>#DIV/0!</v>
      </c>
      <c r="AO12" s="7" t="str">
        <f t="shared" ref="AO12:AQ12" si="37">(AL12-1)*100/6</f>
        <v>#DIV/0!</v>
      </c>
      <c r="AP12" s="7" t="str">
        <f t="shared" si="37"/>
        <v>#DIV/0!</v>
      </c>
      <c r="AQ12" s="7" t="str">
        <f t="shared" si="37"/>
        <v>#DIV/0!</v>
      </c>
      <c r="AR12" s="6" t="str">
        <f t="shared" ref="AR12:AT12" si="38">Average($AO12:$AQ12)</f>
        <v>#DIV/0!</v>
      </c>
      <c r="AS12" s="6" t="str">
        <f t="shared" si="38"/>
        <v>#DIV/0!</v>
      </c>
      <c r="AT12" s="6" t="str">
        <f t="shared" si="38"/>
        <v>#DIV/0!</v>
      </c>
      <c r="AU12" s="8" t="str">
        <f t="shared" si="8"/>
        <v>#DIV/0!</v>
      </c>
      <c r="AV12" s="14">
        <f>countifs('9B'!$N$2:$N$579, AV$1, '9B'!$C$2:$C$579, "Karl")</f>
        <v>5</v>
      </c>
      <c r="AW12" s="14">
        <f>countifs('9B'!$N$2:$N$579, AW$1, '9B'!$C$2:$C$579, "Karl")</f>
        <v>0</v>
      </c>
      <c r="AX12" s="14">
        <f>countifs('9B'!$N$2:$N$579, AX$1, '9B'!$C$2:$C$579, "Karl")</f>
        <v>0</v>
      </c>
      <c r="AY12" s="14">
        <f>countifs('9B'!$N$2:$N$579, AY$1, '9B'!$C$2:$C$579, "Karl")</f>
        <v>1</v>
      </c>
      <c r="AZ12" s="14">
        <f>countifs('9B'!$N$2:$N$579, AZ$1, '9B'!$C$2:$C$579, "Karl")</f>
        <v>4</v>
      </c>
      <c r="BA12" s="14">
        <f>countifs('9B'!$N$2:$N$579, BA$1, '9B'!$C$2:$C$579, "Karl")</f>
        <v>2</v>
      </c>
      <c r="BB12" s="14">
        <f>countifs('9B'!$N$2:$N$579, BB$1, '9B'!$C$2:$C$579, "Karl")</f>
        <v>10</v>
      </c>
      <c r="BC12" s="14">
        <f>countifs('9B'!$N$2:$N$579, BC$1, '9B'!$C$2:$C$579, "Kona")</f>
        <v>17</v>
      </c>
      <c r="BD12" s="14">
        <f>countifs('9B'!$N$2:$N$579, BD$1, '9B'!$C$2:$C$579, "Kona")</f>
        <v>7</v>
      </c>
      <c r="BE12" s="14">
        <f>countifs('9B'!$N$2:$N$579, BE$1, '9B'!$C$2:$C$579, "Kona")</f>
        <v>2</v>
      </c>
      <c r="BF12" s="14">
        <f>countifs('9B'!$N$2:$N$579, BF$1, '9B'!$C$2:$C$579, "Kona")</f>
        <v>1</v>
      </c>
      <c r="BG12" s="14">
        <f>countifs('9B'!$N$2:$N$579, BG$1, '9B'!$C$2:$C$579, "Kona")</f>
        <v>6</v>
      </c>
      <c r="BH12" s="14">
        <f>countifs('9B'!$N$2:$N$579, BH$1, '9B'!$C$2:$C$579, "Kona")</f>
        <v>15</v>
      </c>
      <c r="BI12" s="14">
        <f>countifs('9B'!$N$2:$N$579, BI$1, '9B'!$C$2:$C$579, "Kona")</f>
        <v>31</v>
      </c>
      <c r="BJ12" s="9">
        <v>22.0</v>
      </c>
      <c r="BK12" s="9">
        <v>79.0</v>
      </c>
      <c r="BL12" s="7">
        <f>IFERROR(__xludf.DUMMYFUNCTION("AVERAGE.WEIGHTED($AV$1:$BB$1,AV12:BB12)"),5.045454545454545)</f>
        <v>5.045454545</v>
      </c>
      <c r="BM12" s="7">
        <f>IFERROR(__xludf.DUMMYFUNCTION("AVERAGE.WEIGHTED($BC$1:$BI$1,BC12:BI12)"),4.784810126582278)</f>
        <v>4.784810127</v>
      </c>
      <c r="BN12" s="7">
        <f t="shared" ref="BN12:BO12" si="39">(BL12-1)*100/6</f>
        <v>67.42424242</v>
      </c>
      <c r="BO12" s="7">
        <f t="shared" si="39"/>
        <v>63.08016878</v>
      </c>
      <c r="BP12" s="8">
        <f t="shared" si="10"/>
        <v>65.2522056</v>
      </c>
      <c r="BQ12" s="8">
        <f t="shared" si="11"/>
        <v>65.2522056</v>
      </c>
      <c r="BR12" s="8">
        <f t="shared" si="12"/>
        <v>0.7037498642</v>
      </c>
    </row>
    <row r="13">
      <c r="A13" s="3">
        <v>12.0</v>
      </c>
      <c r="B13" s="1" t="s">
        <v>41</v>
      </c>
      <c r="C13" s="6">
        <f>countif('9B'!$O$2:$O$664, C$1)</f>
        <v>47</v>
      </c>
      <c r="D13" s="6">
        <f>countif('9B'!$O$2:$O$664, D$1)</f>
        <v>11</v>
      </c>
      <c r="E13" s="6">
        <f>countif('9B'!$O$2:$O$664, E$1)</f>
        <v>12</v>
      </c>
      <c r="F13" s="6">
        <f>countif('9B'!$O$2:$O$664, F$1)</f>
        <v>4</v>
      </c>
      <c r="G13" s="6">
        <f>countif('9B'!$O$2:$O$664, G$1)</f>
        <v>7</v>
      </c>
      <c r="H13" s="6">
        <f>countif('9B'!$O$2:$O$664, H$1)</f>
        <v>9</v>
      </c>
      <c r="I13" s="6">
        <f>countif('9B'!$O$2:$O$664, I$1)</f>
        <v>11</v>
      </c>
      <c r="J13" s="6">
        <f t="shared" si="4"/>
        <v>101</v>
      </c>
      <c r="K13" s="7">
        <f t="shared" si="5"/>
        <v>2.841584158</v>
      </c>
      <c r="N13" s="6">
        <f>countifs('9B'!$O$2:$O$664, N$1, '9B'!$B$2:$B$664, "&gt;"&amp;$L$2, '9B'!$B$2:$B$664, "&lt;"&amp;$M$2)</f>
        <v>0</v>
      </c>
      <c r="O13" s="6">
        <f>countifs('9B'!$O$2:$O$664, O$1, '9B'!$B$2:$B$664, "&gt;"&amp;$L$2, '9B'!$B$2:$B$664, "&lt;"&amp;$M$2)</f>
        <v>0</v>
      </c>
      <c r="P13" s="6">
        <f>countifs('9B'!$O$2:$O$664, P$1, '9B'!$B$2:$B$664, "&gt;"&amp;$L$2, '9B'!$B$2:$B$664, "&lt;"&amp;$M$2)</f>
        <v>0</v>
      </c>
      <c r="Q13" s="6">
        <f>countifs('9B'!$O$2:$O$664, Q$1, '9B'!$B$2:$B$664, "&gt;"&amp;$L$2, '9B'!$B$2:$B$664, "&lt;"&amp;$M$2)</f>
        <v>0</v>
      </c>
      <c r="R13" s="6">
        <f>countifs('9B'!$O$2:$O$664, R$1, '9B'!$B$2:$B$664, "&gt;"&amp;$L$2, '9B'!$B$2:$B$664, "&lt;"&amp;$M$2)</f>
        <v>0</v>
      </c>
      <c r="S13" s="6">
        <f>countifs('9B'!$O$2:$O$664, S$1, '9B'!$B$2:$B$664, "&gt;"&amp;$L$2, '9B'!$B$2:$B$664, "&lt;"&amp;$M$2)</f>
        <v>0</v>
      </c>
      <c r="T13" s="6">
        <f>countifs('9B'!$O$2:$O$664, T$1, '9B'!$B$2:$B$664, "&gt;"&amp;$L$2, '9B'!$B$2:$B$664, "&lt;"&amp;$M$2)</f>
        <v>0</v>
      </c>
      <c r="U13" s="6">
        <f>countifs('9B'!$O$2:$O$664, U$1, '9B'!$B$2:$B$664, "&gt;"&amp;$L$3, '9B'!$B$2:$B$664, "&lt;"&amp;$M$3)</f>
        <v>0</v>
      </c>
      <c r="V13" s="6">
        <f>countifs('9B'!$O$2:$O$664, V$1, '9B'!$B$2:$B$664, "&gt;"&amp;$L$3, '9B'!$B$2:$B$664, "&lt;"&amp;$M$3)</f>
        <v>0</v>
      </c>
      <c r="W13" s="6">
        <f>countifs('9B'!$O$2:$O$664, W$1, '9B'!$B$2:$B$664, "&gt;"&amp;$L$3, '9B'!$B$2:$B$664, "&lt;"&amp;$M$3)</f>
        <v>0</v>
      </c>
      <c r="X13" s="6">
        <f>countifs('9B'!$O$2:$O$664, X$1, '9B'!$B$2:$B$664, "&gt;"&amp;$L$3, '9B'!$B$2:$B$664, "&lt;"&amp;$M$3)</f>
        <v>0</v>
      </c>
      <c r="Y13" s="6">
        <f>countifs('9B'!$O$2:$O$664, Y$1, '9B'!$B$2:$B$664, "&gt;"&amp;$L$3, '9B'!$B$2:$B$664, "&lt;"&amp;$M$3)</f>
        <v>0</v>
      </c>
      <c r="Z13" s="6">
        <f>countifs('9B'!$O$2:$O$664, Z$1, '9B'!$B$2:$B$664, "&gt;"&amp;$L$3, '9B'!$B$2:$B$664, "&lt;"&amp;$M$3)</f>
        <v>0</v>
      </c>
      <c r="AA13" s="6">
        <f>countifs('9B'!$O$2:$O$664, AA$1, '9B'!$B$2:$B$664, "&gt;"&amp;$L$3, '9B'!$B$2:$B$664, "&lt;"&amp;$M$3)</f>
        <v>0</v>
      </c>
      <c r="AB13" s="6">
        <f>countifs('9B'!$O$2:$O$664, AB$1, '9B'!$B$2:$B$664, "&gt;"&amp;$L$4, '9B'!$B$2:$B$664, "&lt;"&amp;$M$4)</f>
        <v>0</v>
      </c>
      <c r="AC13" s="6">
        <f>countifs('9B'!$O$2:$O$664, AC$1, '9B'!$B$2:$B$664, "&gt;"&amp;$L$4, '9B'!$B$2:$B$664, "&lt;"&amp;$M$4)</f>
        <v>0</v>
      </c>
      <c r="AD13" s="6">
        <f>countifs('9B'!$O$2:$O$664, AD$1, '9B'!$B$2:$B$664, "&gt;"&amp;$L$4, '9B'!$B$2:$B$664, "&lt;"&amp;$M$4)</f>
        <v>0</v>
      </c>
      <c r="AE13" s="6">
        <f>countifs('9B'!$O$2:$O$664, AE$1, '9B'!$B$2:$B$664, "&gt;"&amp;$L$4, '9B'!$B$2:$B$664, "&lt;"&amp;$M$4)</f>
        <v>0</v>
      </c>
      <c r="AF13" s="6">
        <f>countifs('9B'!$O$2:$O$664, AF$1, '9B'!$B$2:$B$664, "&gt;"&amp;$L$4, '9B'!$B$2:$B$664, "&lt;"&amp;$M$4)</f>
        <v>0</v>
      </c>
      <c r="AG13" s="6">
        <f>countifs('9B'!$O$2:$O$664, AG$1, '9B'!$B$2:$B$664, "&gt;"&amp;$L$4, '9B'!$B$2:$B$664, "&lt;"&amp;$M$4)</f>
        <v>0</v>
      </c>
      <c r="AH13" s="6">
        <f>countifs('9B'!$O$2:$O$664, AH$1, '9B'!$B$2:$B$664, "&gt;"&amp;$L$4, '9B'!$B$2:$B$664, "&lt;"&amp;$M$4)</f>
        <v>0</v>
      </c>
      <c r="AI13" s="3">
        <v>3.0</v>
      </c>
      <c r="AJ13" s="3">
        <v>23.0</v>
      </c>
      <c r="AK13" s="3">
        <v>17.0</v>
      </c>
      <c r="AL13" s="7" t="str">
        <f>IFERROR(__xludf.DUMMYFUNCTION("AVERAGE.WEIGHTED($N$1:$T$1, N13:T13)"),"#DIV/0!")</f>
        <v>#DIV/0!</v>
      </c>
      <c r="AM13" s="7" t="str">
        <f>IFERROR(__xludf.DUMMYFUNCTION("AVERAGE.WEIGHTED($U$1:$AA$1, U13:AA13)"),"#DIV/0!")</f>
        <v>#DIV/0!</v>
      </c>
      <c r="AN13" s="13" t="str">
        <f>IFERROR(__xludf.DUMMYFUNCTION("AVERAGE.WEIGHTED($AB$1:$AH$1, AB13:AH13)"),"#DIV/0!")</f>
        <v>#DIV/0!</v>
      </c>
      <c r="AO13" s="7" t="str">
        <f t="shared" ref="AO13:AQ13" si="40">(AL13-1)*100/6</f>
        <v>#DIV/0!</v>
      </c>
      <c r="AP13" s="7" t="str">
        <f t="shared" si="40"/>
        <v>#DIV/0!</v>
      </c>
      <c r="AQ13" s="7" t="str">
        <f t="shared" si="40"/>
        <v>#DIV/0!</v>
      </c>
      <c r="AR13" s="6" t="str">
        <f t="shared" ref="AR13:AT13" si="41">Average($AO13:$AQ13)</f>
        <v>#DIV/0!</v>
      </c>
      <c r="AS13" s="6" t="str">
        <f t="shared" si="41"/>
        <v>#DIV/0!</v>
      </c>
      <c r="AT13" s="6" t="str">
        <f t="shared" si="41"/>
        <v>#DIV/0!</v>
      </c>
      <c r="AU13" s="8" t="str">
        <f t="shared" si="8"/>
        <v>#DIV/0!</v>
      </c>
      <c r="AV13" s="14">
        <f>countifs('9B'!$O$2:$O$579, AV$1, '9B'!$C$2:$C$579, "Karl")</f>
        <v>10</v>
      </c>
      <c r="AW13" s="14">
        <f>countifs('9B'!$O$2:$O$579, AW$1, '9B'!$C$2:$C$579, "Karl")</f>
        <v>3</v>
      </c>
      <c r="AX13" s="14">
        <f>countifs('9B'!$O$2:$O$579, AX$1, '9B'!$C$2:$C$579, "Karl")</f>
        <v>4</v>
      </c>
      <c r="AY13" s="14">
        <f>countifs('9B'!$O$2:$O$579, AY$1, '9B'!$C$2:$C$579, "Karl")</f>
        <v>0</v>
      </c>
      <c r="AZ13" s="14">
        <f>countifs('9B'!$O$2:$O$579, AZ$1, '9B'!$C$2:$C$579, "Karl")</f>
        <v>1</v>
      </c>
      <c r="BA13" s="14">
        <f>countifs('9B'!$O$2:$O$579, BA$1, '9B'!$C$2:$C$579, "Karl")</f>
        <v>1</v>
      </c>
      <c r="BB13" s="14">
        <f>countifs('9B'!$O$2:$O$579, BB$1, '9B'!$C$2:$C$579, "Karl")</f>
        <v>3</v>
      </c>
      <c r="BC13" s="14">
        <f>countifs('9B'!$O$2:$O$579, BC$1, '9B'!$C$2:$C$579, "Kona")</f>
        <v>37</v>
      </c>
      <c r="BD13" s="14">
        <f>countifs('9B'!$O$2:$O$579, BD$1, '9B'!$C$2:$C$579, "Kona")</f>
        <v>8</v>
      </c>
      <c r="BE13" s="14">
        <f>countifs('9B'!$O$2:$O$579, BE$1, '9B'!$C$2:$C$579, "Kona")</f>
        <v>8</v>
      </c>
      <c r="BF13" s="14">
        <f>countifs('9B'!$O$2:$O$579, BF$1, '9B'!$C$2:$C$579, "Kona")</f>
        <v>4</v>
      </c>
      <c r="BG13" s="14">
        <f>countifs('9B'!$O$2:$O$579, BG$1, '9B'!$C$2:$C$579, "Kona")</f>
        <v>6</v>
      </c>
      <c r="BH13" s="14">
        <f>countifs('9B'!$O$2:$O$579, BH$1, '9B'!$C$2:$C$579, "Kona")</f>
        <v>8</v>
      </c>
      <c r="BI13" s="14">
        <f>countifs('9B'!$O$2:$O$579, BI$1, '9B'!$C$2:$C$579, "Kona")</f>
        <v>8</v>
      </c>
      <c r="BJ13" s="9">
        <v>22.0</v>
      </c>
      <c r="BK13" s="9">
        <v>79.0</v>
      </c>
      <c r="BL13" s="7">
        <f>IFERROR(__xludf.DUMMYFUNCTION("AVERAGE.WEIGHTED($AV$1:$BB$1,AV13:BB13)"),2.7272727272727275)</f>
        <v>2.727272727</v>
      </c>
      <c r="BM13" s="7">
        <f>IFERROR(__xludf.DUMMYFUNCTION("AVERAGE.WEIGHTED($BC$1:$BI$1,BC13:BI13)"),2.8734177215189876)</f>
        <v>2.873417722</v>
      </c>
      <c r="BN13" s="7">
        <f t="shared" ref="BN13:BO13" si="42">(BL13-1)*100/6</f>
        <v>28.78787879</v>
      </c>
      <c r="BO13" s="7">
        <f t="shared" si="42"/>
        <v>31.22362869</v>
      </c>
      <c r="BP13" s="8">
        <f t="shared" si="10"/>
        <v>30.00575374</v>
      </c>
      <c r="BQ13" s="8">
        <f t="shared" si="11"/>
        <v>30.00575374</v>
      </c>
      <c r="BR13" s="8">
        <f t="shared" si="12"/>
        <v>0.7531991747</v>
      </c>
    </row>
    <row r="14">
      <c r="A14" s="3">
        <v>13.0</v>
      </c>
      <c r="B14" s="1" t="s">
        <v>15</v>
      </c>
      <c r="C14" s="6">
        <f>countif('9B'!$P$2:$P$664, C$1)</f>
        <v>55</v>
      </c>
      <c r="D14" s="6">
        <f>countif('9B'!$P$2:$P$664, D$1)</f>
        <v>8</v>
      </c>
      <c r="E14" s="6">
        <f>countif('9B'!$P$2:$P$664, E$1)</f>
        <v>8</v>
      </c>
      <c r="F14" s="6">
        <f>countif('9B'!$P$2:$P$664, F$1)</f>
        <v>6</v>
      </c>
      <c r="G14" s="6">
        <f>countif('9B'!$P$2:$P$664, G$1)</f>
        <v>6</v>
      </c>
      <c r="H14" s="6">
        <f>countif('9B'!$P$2:$P$664, H$1)</f>
        <v>5</v>
      </c>
      <c r="I14" s="6">
        <f>countif('9B'!$P$2:$P$664, I$1)</f>
        <v>13</v>
      </c>
      <c r="J14" s="6">
        <f t="shared" si="4"/>
        <v>101</v>
      </c>
      <c r="K14" s="7">
        <f t="shared" si="5"/>
        <v>2.673267327</v>
      </c>
      <c r="N14" s="6">
        <f>countifs('9B'!$P$2:$P$664, N$1, '9B'!$B$2:$B$664, "&gt;"&amp;$L$2, '9B'!$B$2:$B$664, "&lt;"&amp;$M$2)</f>
        <v>0</v>
      </c>
      <c r="O14" s="6">
        <f>countifs('9B'!$P$2:$P$664, O$1, '9B'!$B$2:$B$664, "&gt;"&amp;$L$2, '9B'!$B$2:$B$664, "&lt;"&amp;$M$2)</f>
        <v>0</v>
      </c>
      <c r="P14" s="6">
        <f>countifs('9B'!$P$2:$P$664, P$1, '9B'!$B$2:$B$664, "&gt;"&amp;$L$2, '9B'!$B$2:$B$664, "&lt;"&amp;$M$2)</f>
        <v>0</v>
      </c>
      <c r="Q14" s="6">
        <f>countifs('9B'!$P$2:$P$664, Q$1, '9B'!$B$2:$B$664, "&gt;"&amp;$L$2, '9B'!$B$2:$B$664, "&lt;"&amp;$M$2)</f>
        <v>0</v>
      </c>
      <c r="R14" s="6">
        <f>countifs('9B'!$P$2:$P$664, R$1, '9B'!$B$2:$B$664, "&gt;"&amp;$L$2, '9B'!$B$2:$B$664, "&lt;"&amp;$M$2)</f>
        <v>0</v>
      </c>
      <c r="S14" s="6">
        <f>countifs('9B'!$P$2:$P$664, S$1, '9B'!$B$2:$B$664, "&gt;"&amp;$L$2, '9B'!$B$2:$B$664, "&lt;"&amp;$M$2)</f>
        <v>0</v>
      </c>
      <c r="T14" s="6">
        <f>countifs('9B'!$P$2:$P$664, T$1, '9B'!$B$2:$B$664, "&gt;"&amp;$L$2, '9B'!$B$2:$B$664, "&lt;"&amp;$M$2)</f>
        <v>0</v>
      </c>
      <c r="U14" s="6">
        <f>countifs('9B'!$P$2:$P$664, U$1, '9B'!$B$2:$B$664, "&gt;"&amp;$L$3, '9B'!$B$2:$B$664, "&lt;"&amp;$M$3)</f>
        <v>0</v>
      </c>
      <c r="V14" s="6">
        <f>countifs('9B'!$P$2:$P$664, V$1, '9B'!$B$2:$B$664, "&gt;"&amp;$L$3, '9B'!$B$2:$B$664, "&lt;"&amp;$M$3)</f>
        <v>0</v>
      </c>
      <c r="W14" s="6">
        <f>countifs('9B'!$P$2:$P$664, W$1, '9B'!$B$2:$B$664, "&gt;"&amp;$L$3, '9B'!$B$2:$B$664, "&lt;"&amp;$M$3)</f>
        <v>0</v>
      </c>
      <c r="X14" s="6">
        <f>countifs('9B'!$P$2:$P$664, X$1, '9B'!$B$2:$B$664, "&gt;"&amp;$L$3, '9B'!$B$2:$B$664, "&lt;"&amp;$M$3)</f>
        <v>0</v>
      </c>
      <c r="Y14" s="6">
        <f>countifs('9B'!$P$2:$P$664, Y$1, '9B'!$B$2:$B$664, "&gt;"&amp;$L$3, '9B'!$B$2:$B$664, "&lt;"&amp;$M$3)</f>
        <v>0</v>
      </c>
      <c r="Z14" s="6">
        <f>countifs('9B'!$P$2:$P$664, Z$1, '9B'!$B$2:$B$664, "&gt;"&amp;$L$3, '9B'!$B$2:$B$664, "&lt;"&amp;$M$3)</f>
        <v>0</v>
      </c>
      <c r="AA14" s="6">
        <f>countifs('9B'!$P$2:$P$664, AA$1, '9B'!$B$2:$B$664, "&gt;"&amp;$L$3, '9B'!$B$2:$B$664, "&lt;"&amp;$M$3)</f>
        <v>0</v>
      </c>
      <c r="AB14" s="6">
        <f>countifs('9B'!$P$2:$P$664, AB$1, '9B'!$B$2:$B$664, "&gt;"&amp;$L$4, '9B'!$B$2:$B$664, "&lt;"&amp;$M$4)</f>
        <v>0</v>
      </c>
      <c r="AC14" s="6">
        <f>countifs('9B'!$P$2:$P$664, AC$1, '9B'!$B$2:$B$664, "&gt;"&amp;$L$4, '9B'!$B$2:$B$664, "&lt;"&amp;$M$4)</f>
        <v>0</v>
      </c>
      <c r="AD14" s="6">
        <f>countifs('9B'!$P$2:$P$664, AD$1, '9B'!$B$2:$B$664, "&gt;"&amp;$L$4, '9B'!$B$2:$B$664, "&lt;"&amp;$M$4)</f>
        <v>0</v>
      </c>
      <c r="AE14" s="6">
        <f>countifs('9B'!$P$2:$P$664, AE$1, '9B'!$B$2:$B$664, "&gt;"&amp;$L$4, '9B'!$B$2:$B$664, "&lt;"&amp;$M$4)</f>
        <v>0</v>
      </c>
      <c r="AF14" s="6">
        <f>countifs('9B'!$P$2:$P$664, AF$1, '9B'!$B$2:$B$664, "&gt;"&amp;$L$4, '9B'!$B$2:$B$664, "&lt;"&amp;$M$4)</f>
        <v>0</v>
      </c>
      <c r="AG14" s="6">
        <f>countifs('9B'!$P$2:$P$664, AG$1, '9B'!$B$2:$B$664, "&gt;"&amp;$L$4, '9B'!$B$2:$B$664, "&lt;"&amp;$M$4)</f>
        <v>0</v>
      </c>
      <c r="AH14" s="6">
        <f>countifs('9B'!$P$2:$P$664, AH$1, '9B'!$B$2:$B$664, "&gt;"&amp;$L$4, '9B'!$B$2:$B$664, "&lt;"&amp;$M$4)</f>
        <v>0</v>
      </c>
      <c r="AI14" s="3">
        <v>3.0</v>
      </c>
      <c r="AJ14" s="3">
        <v>23.0</v>
      </c>
      <c r="AK14" s="3">
        <v>17.0</v>
      </c>
      <c r="AL14" s="7" t="str">
        <f>IFERROR(__xludf.DUMMYFUNCTION("AVERAGE.WEIGHTED($N$1:$T$1, N14:T14)"),"#DIV/0!")</f>
        <v>#DIV/0!</v>
      </c>
      <c r="AM14" s="7" t="str">
        <f>IFERROR(__xludf.DUMMYFUNCTION("AVERAGE.WEIGHTED($U$1:$AA$1, U14:AA14)"),"#DIV/0!")</f>
        <v>#DIV/0!</v>
      </c>
      <c r="AN14" s="13" t="str">
        <f>IFERROR(__xludf.DUMMYFUNCTION("AVERAGE.WEIGHTED($AB$1:$AH$1, AB14:AH14)"),"#DIV/0!")</f>
        <v>#DIV/0!</v>
      </c>
      <c r="AO14" s="7" t="str">
        <f t="shared" ref="AO14:AQ14" si="43">(AL14-1)*100/6</f>
        <v>#DIV/0!</v>
      </c>
      <c r="AP14" s="7" t="str">
        <f t="shared" si="43"/>
        <v>#DIV/0!</v>
      </c>
      <c r="AQ14" s="7" t="str">
        <f t="shared" si="43"/>
        <v>#DIV/0!</v>
      </c>
      <c r="AR14" s="6" t="str">
        <f t="shared" ref="AR14:AT14" si="44">Average($AO14:$AQ14)</f>
        <v>#DIV/0!</v>
      </c>
      <c r="AS14" s="6" t="str">
        <f t="shared" si="44"/>
        <v>#DIV/0!</v>
      </c>
      <c r="AT14" s="6" t="str">
        <f t="shared" si="44"/>
        <v>#DIV/0!</v>
      </c>
      <c r="AU14" s="8" t="str">
        <f t="shared" si="8"/>
        <v>#DIV/0!</v>
      </c>
      <c r="AV14" s="14">
        <f>countifs('9B'!$P$2:$P$579, AV$1, '9B'!$C$2:$C$579, "Karl")</f>
        <v>11</v>
      </c>
      <c r="AW14" s="14">
        <f>countifs('9B'!$P$2:$P$579, AW$1, '9B'!$C$2:$C$579, "Karl")</f>
        <v>2</v>
      </c>
      <c r="AX14" s="14">
        <f>countifs('9B'!$P$2:$P$579, AX$1, '9B'!$C$2:$C$579, "Karl")</f>
        <v>3</v>
      </c>
      <c r="AY14" s="14">
        <f>countifs('9B'!$P$2:$P$579, AY$1, '9B'!$C$2:$C$579, "Karl")</f>
        <v>1</v>
      </c>
      <c r="AZ14" s="14">
        <f>countifs('9B'!$P$2:$P$579, AZ$1, '9B'!$C$2:$C$579, "Karl")</f>
        <v>1</v>
      </c>
      <c r="BA14" s="14">
        <f>countifs('9B'!$P$2:$P$579, BA$1, '9B'!$C$2:$C$579, "Karl")</f>
        <v>1</v>
      </c>
      <c r="BB14" s="14">
        <f>countifs('9B'!$P$2:$P$579, BB$1, '9B'!$C$2:$C$579, "Karl")</f>
        <v>3</v>
      </c>
      <c r="BC14" s="14">
        <f>countifs('9B'!$P$2:$P$579, BC$1, '9B'!$C$2:$C$579, "Kona")</f>
        <v>44</v>
      </c>
      <c r="BD14" s="14">
        <f>countifs('9B'!$P$2:$P$579, BD$1, '9B'!$C$2:$C$579, "Kona")</f>
        <v>6</v>
      </c>
      <c r="BE14" s="14">
        <f>countifs('9B'!$P$2:$P$579, BE$1, '9B'!$C$2:$C$579, "Kona")</f>
        <v>5</v>
      </c>
      <c r="BF14" s="14">
        <f>countifs('9B'!$P$2:$P$579, BF$1, '9B'!$C$2:$C$579, "Kona")</f>
        <v>5</v>
      </c>
      <c r="BG14" s="14">
        <f>countifs('9B'!$P$2:$P$579, BG$1, '9B'!$C$2:$C$579, "Kona")</f>
        <v>5</v>
      </c>
      <c r="BH14" s="14">
        <f>countifs('9B'!$P$2:$P$579, BH$1, '9B'!$C$2:$C$579, "Kona")</f>
        <v>4</v>
      </c>
      <c r="BI14" s="14">
        <f>countifs('9B'!$P$2:$P$579, BI$1, '9B'!$C$2:$C$579, "Kona")</f>
        <v>10</v>
      </c>
      <c r="BJ14" s="9">
        <v>22.0</v>
      </c>
      <c r="BK14" s="9">
        <v>79.0</v>
      </c>
      <c r="BL14" s="7">
        <f>IFERROR(__xludf.DUMMYFUNCTION("AVERAGE.WEIGHTED($AV$1:$BB$1,AV14:BB14)"),2.7272727272727275)</f>
        <v>2.727272727</v>
      </c>
      <c r="BM14" s="7">
        <f>IFERROR(__xludf.DUMMYFUNCTION("AVERAGE.WEIGHTED($BC$1:$BI$1,BC14:BI14)"),2.658227848101266)</f>
        <v>2.658227848</v>
      </c>
      <c r="BN14" s="7">
        <f t="shared" ref="BN14:BO14" si="45">(BL14-1)*100/6</f>
        <v>28.78787879</v>
      </c>
      <c r="BO14" s="7">
        <f t="shared" si="45"/>
        <v>27.6371308</v>
      </c>
      <c r="BP14" s="8">
        <f t="shared" si="10"/>
        <v>28.21250479</v>
      </c>
      <c r="BQ14" s="8">
        <f t="shared" si="11"/>
        <v>28.21250479</v>
      </c>
      <c r="BR14" s="8">
        <f t="shared" si="12"/>
        <v>0.8782445529</v>
      </c>
    </row>
    <row r="15">
      <c r="A15" s="3">
        <v>14.0</v>
      </c>
      <c r="B15" s="1" t="s">
        <v>42</v>
      </c>
      <c r="C15" s="6">
        <f>countif('9B'!$Q$2:$Q$664, C$1)</f>
        <v>57</v>
      </c>
      <c r="D15" s="6">
        <f>countif('9B'!$Q$2:$Q$664, D$1)</f>
        <v>4</v>
      </c>
      <c r="E15" s="6">
        <f>countif('9B'!$Q$2:$Q$664, E$1)</f>
        <v>1</v>
      </c>
      <c r="F15" s="6">
        <f>countif('9B'!$Q$2:$Q$664, F$1)</f>
        <v>2</v>
      </c>
      <c r="G15" s="6">
        <f>countif('9B'!$Q$2:$Q$664, G$1)</f>
        <v>3</v>
      </c>
      <c r="H15" s="6">
        <f>countif('9B'!$Q$2:$Q$664, H$1)</f>
        <v>20</v>
      </c>
      <c r="I15" s="6">
        <f>countif('9B'!$Q$2:$Q$664, I$1)</f>
        <v>14</v>
      </c>
      <c r="J15" s="6">
        <f t="shared" si="4"/>
        <v>101</v>
      </c>
      <c r="K15" s="7">
        <f t="shared" si="5"/>
        <v>3.059405941</v>
      </c>
      <c r="N15" s="6">
        <f>countifs('9B'!$Q$2:$Q$664, N$1, '9B'!$B$2:$B$664, "&gt;"&amp;$L$2, '9B'!$B$2:$B$664, "&lt;"&amp;$M$2)</f>
        <v>0</v>
      </c>
      <c r="O15" s="6">
        <f>countifs('9B'!$Q$2:$Q$664, O$1, '9B'!$B$2:$B$664, "&gt;"&amp;$L$2, '9B'!$B$2:$B$664, "&lt;"&amp;$M$2)</f>
        <v>0</v>
      </c>
      <c r="P15" s="6">
        <f>countifs('9B'!$Q$2:$Q$664, P$1, '9B'!$B$2:$B$664, "&gt;"&amp;$L$2, '9B'!$B$2:$B$664, "&lt;"&amp;$M$2)</f>
        <v>0</v>
      </c>
      <c r="Q15" s="6">
        <f>countifs('9B'!$Q$2:$Q$664, Q$1, '9B'!$B$2:$B$664, "&gt;"&amp;$L$2, '9B'!$B$2:$B$664, "&lt;"&amp;$M$2)</f>
        <v>0</v>
      </c>
      <c r="R15" s="6">
        <f>countifs('9B'!$Q$2:$Q$664, R$1, '9B'!$B$2:$B$664, "&gt;"&amp;$L$2, '9B'!$B$2:$B$664, "&lt;"&amp;$M$2)</f>
        <v>0</v>
      </c>
      <c r="S15" s="6">
        <f>countifs('9B'!$Q$2:$Q$664, S$1, '9B'!$B$2:$B$664, "&gt;"&amp;$L$2, '9B'!$B$2:$B$664, "&lt;"&amp;$M$2)</f>
        <v>0</v>
      </c>
      <c r="T15" s="6">
        <f>countifs('9B'!$Q$2:$Q$664, T$1, '9B'!$B$2:$B$664, "&gt;"&amp;$L$2, '9B'!$B$2:$B$664, "&lt;"&amp;$M$2)</f>
        <v>0</v>
      </c>
      <c r="U15" s="6">
        <f>countifs('9B'!$Q$2:$Q$664, U$1, '9B'!$B$2:$B$664, "&gt;"&amp;$L$3, '9B'!$B$2:$B$664, "&lt;"&amp;$M$3)</f>
        <v>0</v>
      </c>
      <c r="V15" s="6">
        <f>countifs('9B'!$Q$2:$Q$664, V$1, '9B'!$B$2:$B$664, "&gt;"&amp;$L$3, '9B'!$B$2:$B$664, "&lt;"&amp;$M$3)</f>
        <v>0</v>
      </c>
      <c r="W15" s="6">
        <f>countifs('9B'!$Q$2:$Q$664, W$1, '9B'!$B$2:$B$664, "&gt;"&amp;$L$3, '9B'!$B$2:$B$664, "&lt;"&amp;$M$3)</f>
        <v>0</v>
      </c>
      <c r="X15" s="6">
        <f>countifs('9B'!$Q$2:$Q$664, X$1, '9B'!$B$2:$B$664, "&gt;"&amp;$L$3, '9B'!$B$2:$B$664, "&lt;"&amp;$M$3)</f>
        <v>0</v>
      </c>
      <c r="Y15" s="6">
        <f>countifs('9B'!$Q$2:$Q$664, Y$1, '9B'!$B$2:$B$664, "&gt;"&amp;$L$3, '9B'!$B$2:$B$664, "&lt;"&amp;$M$3)</f>
        <v>0</v>
      </c>
      <c r="Z15" s="6">
        <f>countifs('9B'!$Q$2:$Q$664, Z$1, '9B'!$B$2:$B$664, "&gt;"&amp;$L$3, '9B'!$B$2:$B$664, "&lt;"&amp;$M$3)</f>
        <v>0</v>
      </c>
      <c r="AA15" s="6">
        <f>countifs('9B'!$Q$2:$Q$664, AA$1, '9B'!$B$2:$B$664, "&gt;"&amp;$L$3, '9B'!$B$2:$B$664, "&lt;"&amp;$M$3)</f>
        <v>0</v>
      </c>
      <c r="AB15" s="6">
        <f>countifs('9B'!$Q$2:$Q$664, AB$1, '9B'!$B$2:$B$664, "&gt;"&amp;$L$4, '9B'!$B$2:$B$664, "&lt;"&amp;$M$4)</f>
        <v>0</v>
      </c>
      <c r="AC15" s="6">
        <f>countifs('9B'!$Q$2:$Q$664, AC$1, '9B'!$B$2:$B$664, "&gt;"&amp;$L$4, '9B'!$B$2:$B$664, "&lt;"&amp;$M$4)</f>
        <v>0</v>
      </c>
      <c r="AD15" s="6">
        <f>countifs('9B'!$Q$2:$Q$664, AD$1, '9B'!$B$2:$B$664, "&gt;"&amp;$L$4, '9B'!$B$2:$B$664, "&lt;"&amp;$M$4)</f>
        <v>0</v>
      </c>
      <c r="AE15" s="6">
        <f>countifs('9B'!$Q$2:$Q$664, AE$1, '9B'!$B$2:$B$664, "&gt;"&amp;$L$4, '9B'!$B$2:$B$664, "&lt;"&amp;$M$4)</f>
        <v>0</v>
      </c>
      <c r="AF15" s="6">
        <f>countifs('9B'!$Q$2:$Q$664, AF$1, '9B'!$B$2:$B$664, "&gt;"&amp;$L$4, '9B'!$B$2:$B$664, "&lt;"&amp;$M$4)</f>
        <v>0</v>
      </c>
      <c r="AG15" s="6">
        <f>countifs('9B'!$Q$2:$Q$664, AG$1, '9B'!$B$2:$B$664, "&gt;"&amp;$L$4, '9B'!$B$2:$B$664, "&lt;"&amp;$M$4)</f>
        <v>0</v>
      </c>
      <c r="AH15" s="6">
        <f>countifs('9B'!$Q$2:$Q$664, AH$1, '9B'!$B$2:$B$664, "&gt;"&amp;$L$4, '9B'!$B$2:$B$664, "&lt;"&amp;$M$4)</f>
        <v>0</v>
      </c>
      <c r="AI15" s="3">
        <v>3.0</v>
      </c>
      <c r="AJ15" s="3">
        <v>23.0</v>
      </c>
      <c r="AK15" s="3">
        <v>17.0</v>
      </c>
      <c r="AL15" s="7" t="str">
        <f>IFERROR(__xludf.DUMMYFUNCTION("AVERAGE.WEIGHTED($N$1:$T$1, N15:T15)"),"#DIV/0!")</f>
        <v>#DIV/0!</v>
      </c>
      <c r="AM15" s="7" t="str">
        <f>IFERROR(__xludf.DUMMYFUNCTION("AVERAGE.WEIGHTED($U$1:$AA$1, U15:AA15)"),"#DIV/0!")</f>
        <v>#DIV/0!</v>
      </c>
      <c r="AN15" s="13" t="str">
        <f>IFERROR(__xludf.DUMMYFUNCTION("AVERAGE.WEIGHTED($AB$1:$AH$1, AB15:AH15)"),"#DIV/0!")</f>
        <v>#DIV/0!</v>
      </c>
      <c r="AO15" s="7" t="str">
        <f t="shared" ref="AO15:AQ15" si="46">(AL15-1)*100/6</f>
        <v>#DIV/0!</v>
      </c>
      <c r="AP15" s="7" t="str">
        <f t="shared" si="46"/>
        <v>#DIV/0!</v>
      </c>
      <c r="AQ15" s="7" t="str">
        <f t="shared" si="46"/>
        <v>#DIV/0!</v>
      </c>
      <c r="AR15" s="6" t="str">
        <f t="shared" ref="AR15:AT15" si="47">Average($AO15:$AQ15)</f>
        <v>#DIV/0!</v>
      </c>
      <c r="AS15" s="6" t="str">
        <f t="shared" si="47"/>
        <v>#DIV/0!</v>
      </c>
      <c r="AT15" s="6" t="str">
        <f t="shared" si="47"/>
        <v>#DIV/0!</v>
      </c>
      <c r="AU15" s="8" t="str">
        <f t="shared" si="8"/>
        <v>#DIV/0!</v>
      </c>
      <c r="AV15" s="14">
        <f>countifs('9B'!$Q$2:$Q$579, AV$1, '9B'!$C$2:$C$579, "Karl")</f>
        <v>12</v>
      </c>
      <c r="AW15" s="14">
        <f>countifs('9B'!$Q$2:$Q$579, AW$1, '9B'!$C$2:$C$579, "Karl")</f>
        <v>0</v>
      </c>
      <c r="AX15" s="14">
        <f>countifs('9B'!$Q$2:$Q$579, AX$1, '9B'!$C$2:$C$579, "Karl")</f>
        <v>0</v>
      </c>
      <c r="AY15" s="14">
        <f>countifs('9B'!$Q$2:$Q$579, AY$1, '9B'!$C$2:$C$579, "Karl")</f>
        <v>1</v>
      </c>
      <c r="AZ15" s="14">
        <f>countifs('9B'!$Q$2:$Q$579, AZ$1, '9B'!$C$2:$C$579, "Karl")</f>
        <v>1</v>
      </c>
      <c r="BA15" s="14">
        <f>countifs('9B'!$Q$2:$Q$579, BA$1, '9B'!$C$2:$C$579, "Karl")</f>
        <v>4</v>
      </c>
      <c r="BB15" s="14">
        <f>countifs('9B'!$Q$2:$Q$579, BB$1, '9B'!$C$2:$C$579, "Karl")</f>
        <v>4</v>
      </c>
      <c r="BC15" s="14">
        <f>countifs('9B'!$Q$2:$Q$579, BC$1, '9B'!$C$2:$C$579, "Kona")</f>
        <v>45</v>
      </c>
      <c r="BD15" s="14">
        <f>countifs('9B'!$Q$2:$Q$579, BD$1, '9B'!$C$2:$C$579, "Kona")</f>
        <v>4</v>
      </c>
      <c r="BE15" s="14">
        <f>countifs('9B'!$Q$2:$Q$579, BE$1, '9B'!$C$2:$C$579, "Kona")</f>
        <v>1</v>
      </c>
      <c r="BF15" s="14">
        <f>countifs('9B'!$Q$2:$Q$579, BF$1, '9B'!$C$2:$C$579, "Kona")</f>
        <v>1</v>
      </c>
      <c r="BG15" s="14">
        <f>countifs('9B'!$Q$2:$Q$579, BG$1, '9B'!$C$2:$C$579, "Kona")</f>
        <v>2</v>
      </c>
      <c r="BH15" s="14">
        <f>countifs('9B'!$Q$2:$Q$579, BH$1, '9B'!$C$2:$C$579, "Kona")</f>
        <v>16</v>
      </c>
      <c r="BI15" s="14">
        <f>countifs('9B'!$Q$2:$Q$579, BI$1, '9B'!$C$2:$C$579, "Kona")</f>
        <v>10</v>
      </c>
      <c r="BJ15" s="9">
        <v>22.0</v>
      </c>
      <c r="BK15" s="9">
        <v>79.0</v>
      </c>
      <c r="BL15" s="7">
        <f>IFERROR(__xludf.DUMMYFUNCTION("AVERAGE.WEIGHTED($AV$1:$BB$1,AV15:BB15)"),3.318181818181818)</f>
        <v>3.318181818</v>
      </c>
      <c r="BM15" s="7">
        <f>IFERROR(__xludf.DUMMYFUNCTION("AVERAGE.WEIGHTED($BC$1:$BI$1,BC15:BI15)"),2.9873417721518987)</f>
        <v>2.987341772</v>
      </c>
      <c r="BN15" s="7">
        <f t="shared" ref="BN15:BO15" si="48">(BL15-1)*100/6</f>
        <v>38.63636364</v>
      </c>
      <c r="BO15" s="7">
        <f t="shared" si="48"/>
        <v>33.12236287</v>
      </c>
      <c r="BP15" s="8">
        <f t="shared" si="10"/>
        <v>35.87936325</v>
      </c>
      <c r="BQ15" s="8">
        <f t="shared" si="11"/>
        <v>35.87936325</v>
      </c>
      <c r="BR15" s="8">
        <f t="shared" si="12"/>
        <v>0.515096345</v>
      </c>
    </row>
    <row r="16">
      <c r="A16" s="3">
        <v>15.0</v>
      </c>
      <c r="B16" s="1" t="s">
        <v>43</v>
      </c>
      <c r="C16" s="6">
        <f>countif('9B'!$R$2:$R$664, C$1)</f>
        <v>12</v>
      </c>
      <c r="D16" s="6">
        <f>countif('9B'!$R$2:$R$664, D$1)</f>
        <v>2</v>
      </c>
      <c r="E16" s="6">
        <f>countif('9B'!$R$2:$R$664, E$1)</f>
        <v>4</v>
      </c>
      <c r="F16" s="6">
        <f>countif('9B'!$R$2:$R$664, F$1)</f>
        <v>2</v>
      </c>
      <c r="G16" s="6">
        <f>countif('9B'!$R$2:$R$664, G$1)</f>
        <v>8</v>
      </c>
      <c r="H16" s="6">
        <f>countif('9B'!$R$2:$R$664, H$1)</f>
        <v>22</v>
      </c>
      <c r="I16" s="6">
        <f>countif('9B'!$R$2:$R$664, I$1)</f>
        <v>51</v>
      </c>
      <c r="J16" s="6">
        <f t="shared" si="4"/>
        <v>101</v>
      </c>
      <c r="K16" s="7">
        <f t="shared" si="5"/>
        <v>5.594059406</v>
      </c>
      <c r="N16" s="6">
        <f>countifs('9B'!$R$2:$R$664, N$1, '9B'!$B$2:$B$664, "&gt;"&amp;$L$2, '9B'!$B$2:$B$664, "&lt;"&amp;$M$2)</f>
        <v>0</v>
      </c>
      <c r="O16" s="6">
        <f>countifs('9B'!$R$2:$R$664, O$1, '9B'!$B$2:$B$664, "&gt;"&amp;$L$2, '9B'!$B$2:$B$664, "&lt;"&amp;$M$2)</f>
        <v>0</v>
      </c>
      <c r="P16" s="6">
        <f>countifs('9B'!$R$2:$R$664, P$1, '9B'!$B$2:$B$664, "&gt;"&amp;$L$2, '9B'!$B$2:$B$664, "&lt;"&amp;$M$2)</f>
        <v>0</v>
      </c>
      <c r="Q16" s="6">
        <f>countifs('9B'!$R$2:$R$664, Q$1, '9B'!$B$2:$B$664, "&gt;"&amp;$L$2, '9B'!$B$2:$B$664, "&lt;"&amp;$M$2)</f>
        <v>0</v>
      </c>
      <c r="R16" s="6">
        <f>countifs('9B'!$R$2:$R$664, R$1, '9B'!$B$2:$B$664, "&gt;"&amp;$L$2, '9B'!$B$2:$B$664, "&lt;"&amp;$M$2)</f>
        <v>0</v>
      </c>
      <c r="S16" s="6">
        <f>countifs('9B'!$R$2:$R$664, S$1, '9B'!$B$2:$B$664, "&gt;"&amp;$L$2, '9B'!$B$2:$B$664, "&lt;"&amp;$M$2)</f>
        <v>0</v>
      </c>
      <c r="T16" s="6">
        <f>countifs('9B'!$R$2:$R$664, T$1, '9B'!$B$2:$B$664, "&gt;"&amp;$L$2, '9B'!$B$2:$B$664, "&lt;"&amp;$M$2)</f>
        <v>0</v>
      </c>
      <c r="U16" s="6">
        <f>countifs('9B'!$R$2:$R$664, U$1, '9B'!$B$2:$B$664, "&gt;"&amp;$L$3, '9B'!$B$2:$B$664, "&lt;"&amp;$M$3)</f>
        <v>0</v>
      </c>
      <c r="V16" s="6">
        <f>countifs('9B'!$R$2:$R$664, V$1, '9B'!$B$2:$B$664, "&gt;"&amp;$L$3, '9B'!$B$2:$B$664, "&lt;"&amp;$M$3)</f>
        <v>0</v>
      </c>
      <c r="W16" s="6">
        <f>countifs('9B'!$R$2:$R$664, W$1, '9B'!$B$2:$B$664, "&gt;"&amp;$L$3, '9B'!$B$2:$B$664, "&lt;"&amp;$M$3)</f>
        <v>0</v>
      </c>
      <c r="X16" s="6">
        <f>countifs('9B'!$R$2:$R$664, X$1, '9B'!$B$2:$B$664, "&gt;"&amp;$L$3, '9B'!$B$2:$B$664, "&lt;"&amp;$M$3)</f>
        <v>0</v>
      </c>
      <c r="Y16" s="6">
        <f>countifs('9B'!$R$2:$R$664, Y$1, '9B'!$B$2:$B$664, "&gt;"&amp;$L$3, '9B'!$B$2:$B$664, "&lt;"&amp;$M$3)</f>
        <v>0</v>
      </c>
      <c r="Z16" s="6">
        <f>countifs('9B'!$R$2:$R$664, Z$1, '9B'!$B$2:$B$664, "&gt;"&amp;$L$3, '9B'!$B$2:$B$664, "&lt;"&amp;$M$3)</f>
        <v>0</v>
      </c>
      <c r="AA16" s="6">
        <f>countifs('9B'!$R$2:$R$664, AA$1, '9B'!$B$2:$B$664, "&gt;"&amp;$L$3, '9B'!$B$2:$B$664, "&lt;"&amp;$M$3)</f>
        <v>0</v>
      </c>
      <c r="AB16" s="6">
        <f>countifs('9B'!$R$2:$R$664, AB$1, '9B'!$B$2:$B$664, "&gt;"&amp;$L$4, '9B'!$B$2:$B$664, "&lt;"&amp;$M$4)</f>
        <v>0</v>
      </c>
      <c r="AC16" s="6">
        <f>countifs('9B'!$R$2:$R$664, AC$1, '9B'!$B$2:$B$664, "&gt;"&amp;$L$4, '9B'!$B$2:$B$664, "&lt;"&amp;$M$4)</f>
        <v>0</v>
      </c>
      <c r="AD16" s="6">
        <f>countifs('9B'!$R$2:$R$664, AD$1, '9B'!$B$2:$B$664, "&gt;"&amp;$L$4, '9B'!$B$2:$B$664, "&lt;"&amp;$M$4)</f>
        <v>0</v>
      </c>
      <c r="AE16" s="6">
        <f>countifs('9B'!$R$2:$R$664, AE$1, '9B'!$B$2:$B$664, "&gt;"&amp;$L$4, '9B'!$B$2:$B$664, "&lt;"&amp;$M$4)</f>
        <v>0</v>
      </c>
      <c r="AF16" s="6">
        <f>countifs('9B'!$R$2:$R$664, AF$1, '9B'!$B$2:$B$664, "&gt;"&amp;$L$4, '9B'!$B$2:$B$664, "&lt;"&amp;$M$4)</f>
        <v>0</v>
      </c>
      <c r="AG16" s="6">
        <f>countifs('9B'!$R$2:$R$664, AG$1, '9B'!$B$2:$B$664, "&gt;"&amp;$L$4, '9B'!$B$2:$B$664, "&lt;"&amp;$M$4)</f>
        <v>0</v>
      </c>
      <c r="AH16" s="6">
        <f>countifs('9B'!$R$2:$R$664, AH$1, '9B'!$B$2:$B$664, "&gt;"&amp;$L$4, '9B'!$B$2:$B$664, "&lt;"&amp;$M$4)</f>
        <v>0</v>
      </c>
      <c r="AI16" s="3">
        <v>3.0</v>
      </c>
      <c r="AJ16" s="3">
        <v>23.0</v>
      </c>
      <c r="AK16" s="3">
        <v>17.0</v>
      </c>
      <c r="AL16" s="7" t="str">
        <f>IFERROR(__xludf.DUMMYFUNCTION("AVERAGE.WEIGHTED($N$1:$T$1, N16:T16)"),"#DIV/0!")</f>
        <v>#DIV/0!</v>
      </c>
      <c r="AM16" s="7" t="str">
        <f>IFERROR(__xludf.DUMMYFUNCTION("AVERAGE.WEIGHTED($U$1:$AA$1, U16:AA16)"),"#DIV/0!")</f>
        <v>#DIV/0!</v>
      </c>
      <c r="AN16" s="13" t="str">
        <f>IFERROR(__xludf.DUMMYFUNCTION("AVERAGE.WEIGHTED($AB$1:$AH$1, AB16:AH16)"),"#DIV/0!")</f>
        <v>#DIV/0!</v>
      </c>
      <c r="AO16" s="7" t="str">
        <f t="shared" ref="AO16:AQ16" si="49">(AL16-1)*100/6</f>
        <v>#DIV/0!</v>
      </c>
      <c r="AP16" s="7" t="str">
        <f t="shared" si="49"/>
        <v>#DIV/0!</v>
      </c>
      <c r="AQ16" s="7" t="str">
        <f t="shared" si="49"/>
        <v>#DIV/0!</v>
      </c>
      <c r="AR16" s="6" t="str">
        <f t="shared" ref="AR16:AT16" si="50">Average($AO16:$AQ16)</f>
        <v>#DIV/0!</v>
      </c>
      <c r="AS16" s="6" t="str">
        <f t="shared" si="50"/>
        <v>#DIV/0!</v>
      </c>
      <c r="AT16" s="6" t="str">
        <f t="shared" si="50"/>
        <v>#DIV/0!</v>
      </c>
      <c r="AU16" s="8" t="str">
        <f t="shared" si="8"/>
        <v>#DIV/0!</v>
      </c>
      <c r="AV16" s="14">
        <f>countifs('9B'!$R$2:$R$579, AV$1, '9B'!$C$2:$C$579, "Karl")</f>
        <v>2</v>
      </c>
      <c r="AW16" s="14">
        <f>countifs('9B'!$R$2:$R$579, AW$1, '9B'!$C$2:$C$579, "Karl")</f>
        <v>1</v>
      </c>
      <c r="AX16" s="14">
        <f>countifs('9B'!$R$2:$R$579, AX$1, '9B'!$C$2:$C$579, "Karl")</f>
        <v>2</v>
      </c>
      <c r="AY16" s="14">
        <f>countifs('9B'!$R$2:$R$579, AY$1, '9B'!$C$2:$C$579, "Karl")</f>
        <v>1</v>
      </c>
      <c r="AZ16" s="14">
        <f>countifs('9B'!$R$2:$R$579, AZ$1, '9B'!$C$2:$C$579, "Karl")</f>
        <v>2</v>
      </c>
      <c r="BA16" s="14">
        <f>countifs('9B'!$R$2:$R$579, BA$1, '9B'!$C$2:$C$579, "Karl")</f>
        <v>3</v>
      </c>
      <c r="BB16" s="14">
        <f>countifs('9B'!$R$2:$R$579, BB$1, '9B'!$C$2:$C$579, "Karl")</f>
        <v>11</v>
      </c>
      <c r="BC16" s="14">
        <f>countifs('9B'!$R$2:$R$579, BC$1, '9B'!$C$2:$C$579, "Kona")</f>
        <v>10</v>
      </c>
      <c r="BD16" s="14">
        <f>countifs('9B'!$R$2:$R$579, BD$1, '9B'!$C$2:$C$579, "Kona")</f>
        <v>1</v>
      </c>
      <c r="BE16" s="14">
        <f>countifs('9B'!$R$2:$R$579, BE$1, '9B'!$C$2:$C$579, "Kona")</f>
        <v>2</v>
      </c>
      <c r="BF16" s="14">
        <f>countifs('9B'!$R$2:$R$579, BF$1, '9B'!$C$2:$C$579, "Kona")</f>
        <v>1</v>
      </c>
      <c r="BG16" s="14">
        <f>countifs('9B'!$R$2:$R$579, BG$1, '9B'!$C$2:$C$579, "Kona")</f>
        <v>6</v>
      </c>
      <c r="BH16" s="14">
        <f>countifs('9B'!$R$2:$R$579, BH$1, '9B'!$C$2:$C$579, "Kona")</f>
        <v>19</v>
      </c>
      <c r="BI16" s="14">
        <f>countifs('9B'!$R$2:$R$579, BI$1, '9B'!$C$2:$C$579, "Kona")</f>
        <v>40</v>
      </c>
      <c r="BJ16" s="9">
        <v>22.0</v>
      </c>
      <c r="BK16" s="9">
        <v>79.0</v>
      </c>
      <c r="BL16" s="7">
        <f>IFERROR(__xludf.DUMMYFUNCTION("AVERAGE.WEIGHTED($AV$1:$BB$1,AV16:BB16)"),5.409090909090909)</f>
        <v>5.409090909</v>
      </c>
      <c r="BM16" s="7">
        <f>IFERROR(__xludf.DUMMYFUNCTION("AVERAGE.WEIGHTED($BC$1:$BI$1,BC16:BI16)"),5.6455696202531644)</f>
        <v>5.64556962</v>
      </c>
      <c r="BN16" s="7">
        <f t="shared" ref="BN16:BO16" si="51">(BL16-1)*100/6</f>
        <v>73.48484848</v>
      </c>
      <c r="BO16" s="7">
        <f t="shared" si="51"/>
        <v>77.42616034</v>
      </c>
      <c r="BP16" s="8">
        <f t="shared" si="10"/>
        <v>75.45550441</v>
      </c>
      <c r="BQ16" s="8">
        <f t="shared" si="11"/>
        <v>75.45550441</v>
      </c>
      <c r="BR16" s="8">
        <f t="shared" si="12"/>
        <v>0.7483362188</v>
      </c>
    </row>
    <row r="17">
      <c r="A17" s="3">
        <v>16.0</v>
      </c>
      <c r="B17" s="1" t="s">
        <v>44</v>
      </c>
      <c r="C17" s="6">
        <f>countif('9B'!$S$2:$S$664, C$1)</f>
        <v>69</v>
      </c>
      <c r="D17" s="6">
        <f>countif('9B'!$S$2:$S$664, D$1)</f>
        <v>20</v>
      </c>
      <c r="E17" s="6">
        <f>countif('9B'!$S$2:$S$664, E$1)</f>
        <v>4</v>
      </c>
      <c r="F17" s="6">
        <f>countif('9B'!$S$2:$S$664, F$1)</f>
        <v>2</v>
      </c>
      <c r="G17" s="6">
        <f>countif('9B'!$S$2:$S$664, G$1)</f>
        <v>0</v>
      </c>
      <c r="H17" s="6">
        <f>countif('9B'!$S$2:$S$664, H$1)</f>
        <v>2</v>
      </c>
      <c r="I17" s="6">
        <f>countif('9B'!$S$2:$S$664, I$1)</f>
        <v>4</v>
      </c>
      <c r="J17" s="6">
        <f t="shared" si="4"/>
        <v>101</v>
      </c>
      <c r="K17" s="7">
        <f t="shared" si="5"/>
        <v>1.673267327</v>
      </c>
      <c r="N17" s="6">
        <f>countifs('9B'!$S$2:$S$664, N$1, '9B'!$B$2:$B$664, "&gt;"&amp;$L$2, '9B'!$B$2:$B$664, "&lt;"&amp;$M$2)</f>
        <v>0</v>
      </c>
      <c r="O17" s="6">
        <f>countifs('9B'!$S$2:$S$664, O$1, '9B'!$B$2:$B$664, "&gt;"&amp;$L$2, '9B'!$B$2:$B$664, "&lt;"&amp;$M$2)</f>
        <v>0</v>
      </c>
      <c r="P17" s="6">
        <f>countifs('9B'!$S$2:$S$664, P$1, '9B'!$B$2:$B$664, "&gt;"&amp;$L$2, '9B'!$B$2:$B$664, "&lt;"&amp;$M$2)</f>
        <v>0</v>
      </c>
      <c r="Q17" s="6">
        <f>countifs('9B'!$S$2:$S$664, Q$1, '9B'!$B$2:$B$664, "&gt;"&amp;$L$2, '9B'!$B$2:$B$664, "&lt;"&amp;$M$2)</f>
        <v>0</v>
      </c>
      <c r="R17" s="6">
        <f>countifs('9B'!$S$2:$S$664, R$1, '9B'!$B$2:$B$664, "&gt;"&amp;$L$2, '9B'!$B$2:$B$664, "&lt;"&amp;$M$2)</f>
        <v>0</v>
      </c>
      <c r="S17" s="6">
        <f>countifs('9B'!$S$2:$S$664, S$1, '9B'!$B$2:$B$664, "&gt;"&amp;$L$2, '9B'!$B$2:$B$664, "&lt;"&amp;$M$2)</f>
        <v>0</v>
      </c>
      <c r="T17" s="6">
        <f>countifs('9B'!$S$2:$S$664, T$1, '9B'!$B$2:$B$664, "&gt;"&amp;$L$2, '9B'!$B$2:$B$664, "&lt;"&amp;$M$2)</f>
        <v>0</v>
      </c>
      <c r="U17" s="6">
        <f>countifs('9B'!$S$2:$S$664, U$1, '9B'!$B$2:$B$664, "&gt;"&amp;$L$3, '9B'!$B$2:$B$664, "&lt;"&amp;$M$3)</f>
        <v>0</v>
      </c>
      <c r="V17" s="6">
        <f>countifs('9B'!$S$2:$S$664, V$1, '9B'!$B$2:$B$664, "&gt;"&amp;$L$3, '9B'!$B$2:$B$664, "&lt;"&amp;$M$3)</f>
        <v>0</v>
      </c>
      <c r="W17" s="6">
        <f>countifs('9B'!$S$2:$S$664, W$1, '9B'!$B$2:$B$664, "&gt;"&amp;$L$3, '9B'!$B$2:$B$664, "&lt;"&amp;$M$3)</f>
        <v>0</v>
      </c>
      <c r="X17" s="6">
        <f>countifs('9B'!$S$2:$S$664, X$1, '9B'!$B$2:$B$664, "&gt;"&amp;$L$3, '9B'!$B$2:$B$664, "&lt;"&amp;$M$3)</f>
        <v>0</v>
      </c>
      <c r="Y17" s="6">
        <f>countifs('9B'!$S$2:$S$664, Y$1, '9B'!$B$2:$B$664, "&gt;"&amp;$L$3, '9B'!$B$2:$B$664, "&lt;"&amp;$M$3)</f>
        <v>0</v>
      </c>
      <c r="Z17" s="6">
        <f>countifs('9B'!$S$2:$S$664, Z$1, '9B'!$B$2:$B$664, "&gt;"&amp;$L$3, '9B'!$B$2:$B$664, "&lt;"&amp;$M$3)</f>
        <v>0</v>
      </c>
      <c r="AA17" s="6">
        <f>countifs('9B'!$S$2:$S$664, AA$1, '9B'!$B$2:$B$664, "&gt;"&amp;$L$3, '9B'!$B$2:$B$664, "&lt;"&amp;$M$3)</f>
        <v>0</v>
      </c>
      <c r="AB17" s="6">
        <f>countifs('9B'!$S$2:$S$664, AB$1, '9B'!$B$2:$B$664, "&gt;"&amp;$L$4, '9B'!$B$2:$B$664, "&lt;"&amp;$M$4)</f>
        <v>0</v>
      </c>
      <c r="AC17" s="6">
        <f>countifs('9B'!$S$2:$S$664, AC$1, '9B'!$B$2:$B$664, "&gt;"&amp;$L$4, '9B'!$B$2:$B$664, "&lt;"&amp;$M$4)</f>
        <v>0</v>
      </c>
      <c r="AD17" s="6">
        <f>countifs('9B'!$S$2:$S$664, AD$1, '9B'!$B$2:$B$664, "&gt;"&amp;$L$4, '9B'!$B$2:$B$664, "&lt;"&amp;$M$4)</f>
        <v>0</v>
      </c>
      <c r="AE17" s="6">
        <f>countifs('9B'!$S$2:$S$664, AE$1, '9B'!$B$2:$B$664, "&gt;"&amp;$L$4, '9B'!$B$2:$B$664, "&lt;"&amp;$M$4)</f>
        <v>0</v>
      </c>
      <c r="AF17" s="6">
        <f>countifs('9B'!$S$2:$S$664, AF$1, '9B'!$B$2:$B$664, "&gt;"&amp;$L$4, '9B'!$B$2:$B$664, "&lt;"&amp;$M$4)</f>
        <v>0</v>
      </c>
      <c r="AG17" s="6">
        <f>countifs('9B'!$S$2:$S$664, AG$1, '9B'!$B$2:$B$664, "&gt;"&amp;$L$4, '9B'!$B$2:$B$664, "&lt;"&amp;$M$4)</f>
        <v>0</v>
      </c>
      <c r="AH17" s="6">
        <f>countifs('9B'!$S$2:$S$664, AH$1, '9B'!$B$2:$B$664, "&gt;"&amp;$L$4, '9B'!$B$2:$B$664, "&lt;"&amp;$M$4)</f>
        <v>0</v>
      </c>
      <c r="AI17" s="3">
        <v>3.0</v>
      </c>
      <c r="AJ17" s="3">
        <v>23.0</v>
      </c>
      <c r="AK17" s="3">
        <v>17.0</v>
      </c>
      <c r="AL17" s="7" t="str">
        <f>IFERROR(__xludf.DUMMYFUNCTION("AVERAGE.WEIGHTED($N$1:$T$1, N17:T17)"),"#DIV/0!")</f>
        <v>#DIV/0!</v>
      </c>
      <c r="AM17" s="7" t="str">
        <f>IFERROR(__xludf.DUMMYFUNCTION("AVERAGE.WEIGHTED($U$1:$AA$1, U17:AA17)"),"#DIV/0!")</f>
        <v>#DIV/0!</v>
      </c>
      <c r="AN17" s="13" t="str">
        <f>IFERROR(__xludf.DUMMYFUNCTION("AVERAGE.WEIGHTED($AB$1:$AH$1, AB17:AH17)"),"#DIV/0!")</f>
        <v>#DIV/0!</v>
      </c>
      <c r="AO17" s="7" t="str">
        <f t="shared" ref="AO17:AQ17" si="52">(AL17-1)*100/6</f>
        <v>#DIV/0!</v>
      </c>
      <c r="AP17" s="7" t="str">
        <f t="shared" si="52"/>
        <v>#DIV/0!</v>
      </c>
      <c r="AQ17" s="7" t="str">
        <f t="shared" si="52"/>
        <v>#DIV/0!</v>
      </c>
      <c r="AR17" s="6" t="str">
        <f t="shared" ref="AR17:AT17" si="53">Average($AO17:$AQ17)</f>
        <v>#DIV/0!</v>
      </c>
      <c r="AS17" s="6" t="str">
        <f t="shared" si="53"/>
        <v>#DIV/0!</v>
      </c>
      <c r="AT17" s="6" t="str">
        <f t="shared" si="53"/>
        <v>#DIV/0!</v>
      </c>
      <c r="AU17" s="8" t="str">
        <f t="shared" si="8"/>
        <v>#DIV/0!</v>
      </c>
      <c r="AV17" s="14">
        <f>countifs('9B'!$S$2:$S$579, AV$1, '9B'!$C$2:$C$579, "Karl")</f>
        <v>10</v>
      </c>
      <c r="AW17" s="14">
        <f>countifs('9B'!$S$2:$S$579, AW$1, '9B'!$C$2:$C$579, "Karl")</f>
        <v>7</v>
      </c>
      <c r="AX17" s="14">
        <f>countifs('9B'!$S$2:$S$579, AX$1, '9B'!$C$2:$C$579, "Karl")</f>
        <v>2</v>
      </c>
      <c r="AY17" s="14">
        <f>countifs('9B'!$S$2:$S$579, AY$1, '9B'!$C$2:$C$579, "Karl")</f>
        <v>0</v>
      </c>
      <c r="AZ17" s="14">
        <f>countifs('9B'!$S$2:$S$579, AZ$1, '9B'!$C$2:$C$579, "Karl")</f>
        <v>0</v>
      </c>
      <c r="BA17" s="14">
        <f>countifs('9B'!$S$2:$S$579, BA$1, '9B'!$C$2:$C$579, "Karl")</f>
        <v>1</v>
      </c>
      <c r="BB17" s="14">
        <f>countifs('9B'!$S$2:$S$579, BB$1, '9B'!$C$2:$C$579, "Karl")</f>
        <v>2</v>
      </c>
      <c r="BC17" s="14">
        <f>countifs('9B'!$S$2:$S$579, BC$1, '9B'!$C$2:$C$579, "Kona")</f>
        <v>59</v>
      </c>
      <c r="BD17" s="14">
        <f>countifs('9B'!$S$2:$S$579, BD$1, '9B'!$C$2:$C$579, "Kona")</f>
        <v>13</v>
      </c>
      <c r="BE17" s="14">
        <f>countifs('9B'!$S$2:$S$579, BE$1, '9B'!$C$2:$C$579, "Kona")</f>
        <v>2</v>
      </c>
      <c r="BF17" s="14">
        <f>countifs('9B'!$S$2:$S$579, BF$1, '9B'!$C$2:$C$579, "Kona")</f>
        <v>2</v>
      </c>
      <c r="BG17" s="14">
        <f>countifs('9B'!$S$2:$S$579, BG$1, '9B'!$C$2:$C$579, "Kona")</f>
        <v>0</v>
      </c>
      <c r="BH17" s="14">
        <f>countifs('9B'!$S$2:$S$579, BH$1, '9B'!$C$2:$C$579, "Kona")</f>
        <v>1</v>
      </c>
      <c r="BI17" s="14">
        <f>countifs('9B'!$S$2:$S$579, BI$1, '9B'!$C$2:$C$579, "Kona")</f>
        <v>2</v>
      </c>
      <c r="BJ17" s="9">
        <v>22.0</v>
      </c>
      <c r="BK17" s="9">
        <v>79.0</v>
      </c>
      <c r="BL17" s="7">
        <f>IFERROR(__xludf.DUMMYFUNCTION("AVERAGE.WEIGHTED($AV$1:$BB$1,AV17:BB17)"),2.2727272727272725)</f>
        <v>2.272727273</v>
      </c>
      <c r="BM17" s="7">
        <f>IFERROR(__xludf.DUMMYFUNCTION("AVERAGE.WEIGHTED($BC$1:$BI$1,BC17:BI17)"),1.5063291139240507)</f>
        <v>1.506329114</v>
      </c>
      <c r="BN17" s="7">
        <f t="shared" ref="BN17:BO17" si="54">(BL17-1)*100/6</f>
        <v>21.21212121</v>
      </c>
      <c r="BO17" s="7">
        <f t="shared" si="54"/>
        <v>8.438818565</v>
      </c>
      <c r="BP17" s="8">
        <f t="shared" si="10"/>
        <v>14.82546989</v>
      </c>
      <c r="BQ17" s="8">
        <f t="shared" si="11"/>
        <v>14.82546989</v>
      </c>
      <c r="BR17" s="8">
        <f t="shared" si="12"/>
        <v>0.01898822132</v>
      </c>
    </row>
    <row r="18">
      <c r="A18" s="3">
        <v>17.0</v>
      </c>
      <c r="B18" s="1" t="s">
        <v>45</v>
      </c>
      <c r="C18" s="6">
        <f>countif('9B'!$T$2:$T$664, C$1)</f>
        <v>29</v>
      </c>
      <c r="D18" s="6">
        <f>countif('9B'!$T$2:$T$664, D$1)</f>
        <v>14</v>
      </c>
      <c r="E18" s="6">
        <f>countif('9B'!$T$2:$T$664, E$1)</f>
        <v>9</v>
      </c>
      <c r="F18" s="6">
        <f>countif('9B'!$T$2:$T$664, F$1)</f>
        <v>4</v>
      </c>
      <c r="G18" s="6">
        <f>countif('9B'!$T$2:$T$664, G$1)</f>
        <v>5</v>
      </c>
      <c r="H18" s="6">
        <f>countif('9B'!$T$2:$T$664, H$1)</f>
        <v>20</v>
      </c>
      <c r="I18" s="6">
        <f>countif('9B'!$T$2:$T$664, I$1)</f>
        <v>20</v>
      </c>
      <c r="J18" s="6">
        <f t="shared" si="4"/>
        <v>101</v>
      </c>
      <c r="K18" s="7">
        <f t="shared" si="5"/>
        <v>3.811881188</v>
      </c>
      <c r="N18" s="6">
        <f>countifs('9B'!$T$2:$T$664, N$1, '9B'!$B$2:$B$664, "&gt;"&amp;$L$2, '9B'!$B$2:$B$664, "&lt;"&amp;$M$2)</f>
        <v>0</v>
      </c>
      <c r="O18" s="6">
        <f>countifs('9B'!$T$2:$T$664, O$1, '9B'!$B$2:$B$664, "&gt;"&amp;$L$2, '9B'!$B$2:$B$664, "&lt;"&amp;$M$2)</f>
        <v>0</v>
      </c>
      <c r="P18" s="6">
        <f>countifs('9B'!$T$2:$T$664, P$1, '9B'!$B$2:$B$664, "&gt;"&amp;$L$2, '9B'!$B$2:$B$664, "&lt;"&amp;$M$2)</f>
        <v>0</v>
      </c>
      <c r="Q18" s="6">
        <f>countifs('9B'!$T$2:$T$664, Q$1, '9B'!$B$2:$B$664, "&gt;"&amp;$L$2, '9B'!$B$2:$B$664, "&lt;"&amp;$M$2)</f>
        <v>0</v>
      </c>
      <c r="R18" s="6">
        <f>countifs('9B'!$T$2:$T$664, R$1, '9B'!$B$2:$B$664, "&gt;"&amp;$L$2, '9B'!$B$2:$B$664, "&lt;"&amp;$M$2)</f>
        <v>0</v>
      </c>
      <c r="S18" s="6">
        <f>countifs('9B'!$T$2:$T$664, S$1, '9B'!$B$2:$B$664, "&gt;"&amp;$L$2, '9B'!$B$2:$B$664, "&lt;"&amp;$M$2)</f>
        <v>0</v>
      </c>
      <c r="T18" s="6">
        <f>countifs('9B'!$T$2:$T$664, T$1, '9B'!$B$2:$B$664, "&gt;"&amp;$L$2, '9B'!$B$2:$B$664, "&lt;"&amp;$M$2)</f>
        <v>0</v>
      </c>
      <c r="U18" s="6">
        <f>countifs('9B'!$T$2:$T$664, U$1, '9B'!$B$2:$B$664, "&gt;"&amp;$L$3, '9B'!$B$2:$B$664, "&lt;"&amp;$M$3)</f>
        <v>0</v>
      </c>
      <c r="V18" s="6">
        <f>countifs('9B'!$T$2:$T$664, V$1, '9B'!$B$2:$B$664, "&gt;"&amp;$L$3, '9B'!$B$2:$B$664, "&lt;"&amp;$M$3)</f>
        <v>0</v>
      </c>
      <c r="W18" s="6">
        <f>countifs('9B'!$T$2:$T$664, W$1, '9B'!$B$2:$B$664, "&gt;"&amp;$L$3, '9B'!$B$2:$B$664, "&lt;"&amp;$M$3)</f>
        <v>0</v>
      </c>
      <c r="X18" s="6">
        <f>countifs('9B'!$T$2:$T$664, X$1, '9B'!$B$2:$B$664, "&gt;"&amp;$L$3, '9B'!$B$2:$B$664, "&lt;"&amp;$M$3)</f>
        <v>0</v>
      </c>
      <c r="Y18" s="6">
        <f>countifs('9B'!$T$2:$T$664, Y$1, '9B'!$B$2:$B$664, "&gt;"&amp;$L$3, '9B'!$B$2:$B$664, "&lt;"&amp;$M$3)</f>
        <v>0</v>
      </c>
      <c r="Z18" s="6">
        <f>countifs('9B'!$T$2:$T$664, Z$1, '9B'!$B$2:$B$664, "&gt;"&amp;$L$3, '9B'!$B$2:$B$664, "&lt;"&amp;$M$3)</f>
        <v>0</v>
      </c>
      <c r="AA18" s="6">
        <f>countifs('9B'!$T$2:$T$664, AA$1, '9B'!$B$2:$B$664, "&gt;"&amp;$L$3, '9B'!$B$2:$B$664, "&lt;"&amp;$M$3)</f>
        <v>0</v>
      </c>
      <c r="AB18" s="6">
        <f>countifs('9B'!$T$2:$T$664, AB$1, '9B'!$B$2:$B$664, "&gt;"&amp;$L$4, '9B'!$B$2:$B$664, "&lt;"&amp;$M$4)</f>
        <v>0</v>
      </c>
      <c r="AC18" s="6">
        <f>countifs('9B'!$T$2:$T$664, AC$1, '9B'!$B$2:$B$664, "&gt;"&amp;$L$4, '9B'!$B$2:$B$664, "&lt;"&amp;$M$4)</f>
        <v>0</v>
      </c>
      <c r="AD18" s="6">
        <f>countifs('9B'!$T$2:$T$664, AD$1, '9B'!$B$2:$B$664, "&gt;"&amp;$L$4, '9B'!$B$2:$B$664, "&lt;"&amp;$M$4)</f>
        <v>0</v>
      </c>
      <c r="AE18" s="6">
        <f>countifs('9B'!$T$2:$T$664, AE$1, '9B'!$B$2:$B$664, "&gt;"&amp;$L$4, '9B'!$B$2:$B$664, "&lt;"&amp;$M$4)</f>
        <v>0</v>
      </c>
      <c r="AF18" s="6">
        <f>countifs('9B'!$T$2:$T$664, AF$1, '9B'!$B$2:$B$664, "&gt;"&amp;$L$4, '9B'!$B$2:$B$664, "&lt;"&amp;$M$4)</f>
        <v>0</v>
      </c>
      <c r="AG18" s="6">
        <f>countifs('9B'!$T$2:$T$664, AG$1, '9B'!$B$2:$B$664, "&gt;"&amp;$L$4, '9B'!$B$2:$B$664, "&lt;"&amp;$M$4)</f>
        <v>0</v>
      </c>
      <c r="AH18" s="6">
        <f>countifs('9B'!$T$2:$T$664, AH$1, '9B'!$B$2:$B$664, "&gt;"&amp;$L$4, '9B'!$B$2:$B$664, "&lt;"&amp;$M$4)</f>
        <v>0</v>
      </c>
      <c r="AI18" s="3">
        <v>3.0</v>
      </c>
      <c r="AJ18" s="3">
        <v>23.0</v>
      </c>
      <c r="AK18" s="3">
        <v>17.0</v>
      </c>
      <c r="AL18" s="7" t="str">
        <f>IFERROR(__xludf.DUMMYFUNCTION("AVERAGE.WEIGHTED($N$1:$T$1, N18:T18)"),"#DIV/0!")</f>
        <v>#DIV/0!</v>
      </c>
      <c r="AM18" s="7" t="str">
        <f>IFERROR(__xludf.DUMMYFUNCTION("AVERAGE.WEIGHTED($U$1:$AA$1, U18:AA18)"),"#DIV/0!")</f>
        <v>#DIV/0!</v>
      </c>
      <c r="AN18" s="13" t="str">
        <f>IFERROR(__xludf.DUMMYFUNCTION("AVERAGE.WEIGHTED($AB$1:$AH$1, AB18:AH18)"),"#DIV/0!")</f>
        <v>#DIV/0!</v>
      </c>
      <c r="AO18" s="7" t="str">
        <f t="shared" ref="AO18:AQ18" si="55">(AL18-1)*100/6</f>
        <v>#DIV/0!</v>
      </c>
      <c r="AP18" s="7" t="str">
        <f t="shared" si="55"/>
        <v>#DIV/0!</v>
      </c>
      <c r="AQ18" s="7" t="str">
        <f t="shared" si="55"/>
        <v>#DIV/0!</v>
      </c>
      <c r="AR18" s="6" t="str">
        <f t="shared" ref="AR18:AT18" si="56">Average($AO18:$AQ18)</f>
        <v>#DIV/0!</v>
      </c>
      <c r="AS18" s="6" t="str">
        <f t="shared" si="56"/>
        <v>#DIV/0!</v>
      </c>
      <c r="AT18" s="6" t="str">
        <f t="shared" si="56"/>
        <v>#DIV/0!</v>
      </c>
      <c r="AU18" s="8" t="str">
        <f t="shared" si="8"/>
        <v>#DIV/0!</v>
      </c>
      <c r="AV18" s="14">
        <f>countifs('9B'!$T$2:$T$579, AV$1, '9B'!$C$2:$C$579, "Karl")</f>
        <v>4</v>
      </c>
      <c r="AW18" s="14">
        <f>countifs('9B'!$T$2:$T$579, AW$1, '9B'!$C$2:$C$579, "Karl")</f>
        <v>2</v>
      </c>
      <c r="AX18" s="14">
        <f>countifs('9B'!$T$2:$T$579, AX$1, '9B'!$C$2:$C$579, "Karl")</f>
        <v>4</v>
      </c>
      <c r="AY18" s="14">
        <f>countifs('9B'!$T$2:$T$579, AY$1, '9B'!$C$2:$C$579, "Karl")</f>
        <v>0</v>
      </c>
      <c r="AZ18" s="14">
        <f>countifs('9B'!$T$2:$T$579, AZ$1, '9B'!$C$2:$C$579, "Karl")</f>
        <v>4</v>
      </c>
      <c r="BA18" s="14">
        <f>countifs('9B'!$T$2:$T$579, BA$1, '9B'!$C$2:$C$579, "Karl")</f>
        <v>2</v>
      </c>
      <c r="BB18" s="14">
        <f>countifs('9B'!$T$2:$T$579, BB$1, '9B'!$C$2:$C$579, "Karl")</f>
        <v>6</v>
      </c>
      <c r="BC18" s="14">
        <f>countifs('9B'!$T$2:$T$579, BC$1, '9B'!$C$2:$C$579, "Kona")</f>
        <v>25</v>
      </c>
      <c r="BD18" s="14">
        <f>countifs('9B'!$T$2:$T$579, BD$1, '9B'!$C$2:$C$579, "Kona")</f>
        <v>12</v>
      </c>
      <c r="BE18" s="14">
        <f>countifs('9B'!$T$2:$T$579, BE$1, '9B'!$C$2:$C$579, "Kona")</f>
        <v>5</v>
      </c>
      <c r="BF18" s="14">
        <f>countifs('9B'!$T$2:$T$579, BF$1, '9B'!$C$2:$C$579, "Kona")</f>
        <v>4</v>
      </c>
      <c r="BG18" s="14">
        <f>countifs('9B'!$T$2:$T$579, BG$1, '9B'!$C$2:$C$579, "Kona")</f>
        <v>1</v>
      </c>
      <c r="BH18" s="14">
        <f>countifs('9B'!$T$2:$T$579, BH$1, '9B'!$C$2:$C$579, "Kona")</f>
        <v>18</v>
      </c>
      <c r="BI18" s="14">
        <f>countifs('9B'!$T$2:$T$579, BI$1, '9B'!$C$2:$C$579, "Kona")</f>
        <v>14</v>
      </c>
      <c r="BJ18" s="9">
        <v>22.0</v>
      </c>
      <c r="BK18" s="9">
        <v>79.0</v>
      </c>
      <c r="BL18" s="7">
        <f>IFERROR(__xludf.DUMMYFUNCTION("AVERAGE.WEIGHTED($AV$1:$BB$1,AV18:BB18)"),4.2727272727272725)</f>
        <v>4.272727273</v>
      </c>
      <c r="BM18" s="7">
        <f>IFERROR(__xludf.DUMMYFUNCTION("AVERAGE.WEIGHTED($BC$1:$BI$1,BC18:BI18)"),3.683544303797468)</f>
        <v>3.683544304</v>
      </c>
      <c r="BN18" s="7">
        <f t="shared" ref="BN18:BO18" si="57">(BL18-1)*100/6</f>
        <v>54.54545455</v>
      </c>
      <c r="BO18" s="7">
        <f t="shared" si="57"/>
        <v>44.7257384</v>
      </c>
      <c r="BP18" s="8">
        <f t="shared" si="10"/>
        <v>49.63559647</v>
      </c>
      <c r="BQ18" s="8">
        <f t="shared" si="11"/>
        <v>49.63559647</v>
      </c>
      <c r="BR18" s="8">
        <f t="shared" si="12"/>
        <v>0.3243443457</v>
      </c>
    </row>
    <row r="19">
      <c r="A19" s="3">
        <v>18.0</v>
      </c>
      <c r="B19" s="1" t="s">
        <v>46</v>
      </c>
      <c r="C19" s="6">
        <f>countif('9B'!$U$2:$U$664, C$1)</f>
        <v>14</v>
      </c>
      <c r="D19" s="6">
        <f>countif('9B'!$U$2:$U$664, D$1)</f>
        <v>10</v>
      </c>
      <c r="E19" s="6">
        <f>countif('9B'!$U$2:$U$664, E$1)</f>
        <v>8</v>
      </c>
      <c r="F19" s="6">
        <f>countif('9B'!$U$2:$U$664, F$1)</f>
        <v>2</v>
      </c>
      <c r="G19" s="6">
        <f>countif('9B'!$U$2:$U$664, G$1)</f>
        <v>11</v>
      </c>
      <c r="H19" s="6">
        <f>countif('9B'!$U$2:$U$664, H$1)</f>
        <v>21</v>
      </c>
      <c r="I19" s="6">
        <f>countif('9B'!$U$2:$U$664, I$1)</f>
        <v>35</v>
      </c>
      <c r="J19" s="6">
        <f t="shared" si="4"/>
        <v>101</v>
      </c>
      <c r="K19" s="7">
        <f t="shared" si="5"/>
        <v>4.871287129</v>
      </c>
      <c r="N19" s="6">
        <f>countifs('9B'!$U$2:$U$664, N$1, '9B'!$B$2:$B$664, "&gt;"&amp;$L$2, '9B'!$B$2:$B$664, "&lt;"&amp;$M$2)</f>
        <v>0</v>
      </c>
      <c r="O19" s="6">
        <f>countifs('9B'!$U$2:$U$664, O$1, '9B'!$B$2:$B$664, "&gt;"&amp;$L$2, '9B'!$B$2:$B$664, "&lt;"&amp;$M$2)</f>
        <v>0</v>
      </c>
      <c r="P19" s="6">
        <f>countifs('9B'!$U$2:$U$664, P$1, '9B'!$B$2:$B$664, "&gt;"&amp;$L$2, '9B'!$B$2:$B$664, "&lt;"&amp;$M$2)</f>
        <v>0</v>
      </c>
      <c r="Q19" s="6">
        <f>countifs('9B'!$U$2:$U$664, Q$1, '9B'!$B$2:$B$664, "&gt;"&amp;$L$2, '9B'!$B$2:$B$664, "&lt;"&amp;$M$2)</f>
        <v>0</v>
      </c>
      <c r="R19" s="6">
        <f>countifs('9B'!$U$2:$U$664, R$1, '9B'!$B$2:$B$664, "&gt;"&amp;$L$2, '9B'!$B$2:$B$664, "&lt;"&amp;$M$2)</f>
        <v>0</v>
      </c>
      <c r="S19" s="6">
        <f>countifs('9B'!$U$2:$U$664, S$1, '9B'!$B$2:$B$664, "&gt;"&amp;$L$2, '9B'!$B$2:$B$664, "&lt;"&amp;$M$2)</f>
        <v>0</v>
      </c>
      <c r="T19" s="6">
        <f>countifs('9B'!$U$2:$U$664, T$1, '9B'!$B$2:$B$664, "&gt;"&amp;$L$2, '9B'!$B$2:$B$664, "&lt;"&amp;$M$2)</f>
        <v>0</v>
      </c>
      <c r="U19" s="6">
        <f>countifs('9B'!$U$2:$U$664, U$1, '9B'!$B$2:$B$664, "&gt;"&amp;$L$3, '9B'!$B$2:$B$664, "&lt;"&amp;$M$3)</f>
        <v>0</v>
      </c>
      <c r="V19" s="6">
        <f>countifs('9B'!$U$2:$U$664, V$1, '9B'!$B$2:$B$664, "&gt;"&amp;$L$3, '9B'!$B$2:$B$664, "&lt;"&amp;$M$3)</f>
        <v>0</v>
      </c>
      <c r="W19" s="6">
        <f>countifs('9B'!$U$2:$U$664, W$1, '9B'!$B$2:$B$664, "&gt;"&amp;$L$3, '9B'!$B$2:$B$664, "&lt;"&amp;$M$3)</f>
        <v>0</v>
      </c>
      <c r="X19" s="6">
        <f>countifs('9B'!$U$2:$U$664, X$1, '9B'!$B$2:$B$664, "&gt;"&amp;$L$3, '9B'!$B$2:$B$664, "&lt;"&amp;$M$3)</f>
        <v>0</v>
      </c>
      <c r="Y19" s="6">
        <f>countifs('9B'!$U$2:$U$664, Y$1, '9B'!$B$2:$B$664, "&gt;"&amp;$L$3, '9B'!$B$2:$B$664, "&lt;"&amp;$M$3)</f>
        <v>0</v>
      </c>
      <c r="Z19" s="6">
        <f>countifs('9B'!$U$2:$U$664, Z$1, '9B'!$B$2:$B$664, "&gt;"&amp;$L$3, '9B'!$B$2:$B$664, "&lt;"&amp;$M$3)</f>
        <v>0</v>
      </c>
      <c r="AA19" s="6">
        <f>countifs('9B'!$U$2:$U$664, AA$1, '9B'!$B$2:$B$664, "&gt;"&amp;$L$3, '9B'!$B$2:$B$664, "&lt;"&amp;$M$3)</f>
        <v>0</v>
      </c>
      <c r="AB19" s="6">
        <f>countifs('9B'!$U$2:$U$664, AB$1, '9B'!$B$2:$B$664, "&gt;"&amp;$L$4, '9B'!$B$2:$B$664, "&lt;"&amp;$M$4)</f>
        <v>0</v>
      </c>
      <c r="AC19" s="6">
        <f>countifs('9B'!$U$2:$U$664, AC$1, '9B'!$B$2:$B$664, "&gt;"&amp;$L$4, '9B'!$B$2:$B$664, "&lt;"&amp;$M$4)</f>
        <v>0</v>
      </c>
      <c r="AD19" s="6">
        <f>countifs('9B'!$U$2:$U$664, AD$1, '9B'!$B$2:$B$664, "&gt;"&amp;$L$4, '9B'!$B$2:$B$664, "&lt;"&amp;$M$4)</f>
        <v>0</v>
      </c>
      <c r="AE19" s="6">
        <f>countifs('9B'!$U$2:$U$664, AE$1, '9B'!$B$2:$B$664, "&gt;"&amp;$L$4, '9B'!$B$2:$B$664, "&lt;"&amp;$M$4)</f>
        <v>0</v>
      </c>
      <c r="AF19" s="6">
        <f>countifs('9B'!$U$2:$U$664, AF$1, '9B'!$B$2:$B$664, "&gt;"&amp;$L$4, '9B'!$B$2:$B$664, "&lt;"&amp;$M$4)</f>
        <v>0</v>
      </c>
      <c r="AG19" s="6">
        <f>countifs('9B'!$U$2:$U$664, AG$1, '9B'!$B$2:$B$664, "&gt;"&amp;$L$4, '9B'!$B$2:$B$664, "&lt;"&amp;$M$4)</f>
        <v>0</v>
      </c>
      <c r="AH19" s="6">
        <f>countifs('9B'!$U$2:$U$664, AH$1, '9B'!$B$2:$B$664, "&gt;"&amp;$L$4, '9B'!$B$2:$B$664, "&lt;"&amp;$M$4)</f>
        <v>0</v>
      </c>
      <c r="AI19" s="3">
        <v>3.0</v>
      </c>
      <c r="AJ19" s="3">
        <v>23.0</v>
      </c>
      <c r="AK19" s="3">
        <v>17.0</v>
      </c>
      <c r="AL19" s="7" t="str">
        <f>IFERROR(__xludf.DUMMYFUNCTION("AVERAGE.WEIGHTED($N$1:$T$1, N19:T19)"),"#DIV/0!")</f>
        <v>#DIV/0!</v>
      </c>
      <c r="AM19" s="7" t="str">
        <f>IFERROR(__xludf.DUMMYFUNCTION("AVERAGE.WEIGHTED($U$1:$AA$1, U19:AA19)"),"#DIV/0!")</f>
        <v>#DIV/0!</v>
      </c>
      <c r="AN19" s="13" t="str">
        <f>IFERROR(__xludf.DUMMYFUNCTION("AVERAGE.WEIGHTED($AB$1:$AH$1, AB19:AH19)"),"#DIV/0!")</f>
        <v>#DIV/0!</v>
      </c>
      <c r="AO19" s="7" t="str">
        <f t="shared" ref="AO19:AQ19" si="58">(AL19-1)*100/6</f>
        <v>#DIV/0!</v>
      </c>
      <c r="AP19" s="7" t="str">
        <f t="shared" si="58"/>
        <v>#DIV/0!</v>
      </c>
      <c r="AQ19" s="7" t="str">
        <f t="shared" si="58"/>
        <v>#DIV/0!</v>
      </c>
      <c r="AR19" s="6" t="str">
        <f t="shared" ref="AR19:AT19" si="59">Average($AO19:$AQ19)</f>
        <v>#DIV/0!</v>
      </c>
      <c r="AS19" s="6" t="str">
        <f t="shared" si="59"/>
        <v>#DIV/0!</v>
      </c>
      <c r="AT19" s="6" t="str">
        <f t="shared" si="59"/>
        <v>#DIV/0!</v>
      </c>
      <c r="AU19" s="8" t="str">
        <f t="shared" si="8"/>
        <v>#DIV/0!</v>
      </c>
      <c r="AV19" s="14">
        <f>countifs('9B'!$U$2:$U$579, AV$1, '9B'!$C$2:$C$579, "Karl")</f>
        <v>4</v>
      </c>
      <c r="AW19" s="14">
        <f>countifs('9B'!$U$2:$U$579, AW$1, '9B'!$C$2:$C$579, "Karl")</f>
        <v>2</v>
      </c>
      <c r="AX19" s="14">
        <f>countifs('9B'!$U$2:$U$579, AX$1, '9B'!$C$2:$C$579, "Karl")</f>
        <v>1</v>
      </c>
      <c r="AY19" s="14">
        <f>countifs('9B'!$U$2:$U$579, AY$1, '9B'!$C$2:$C$579, "Karl")</f>
        <v>0</v>
      </c>
      <c r="AZ19" s="14">
        <f>countifs('9B'!$U$2:$U$579, AZ$1, '9B'!$C$2:$C$579, "Karl")</f>
        <v>2</v>
      </c>
      <c r="BA19" s="14">
        <f>countifs('9B'!$U$2:$U$579, BA$1, '9B'!$C$2:$C$579, "Karl")</f>
        <v>6</v>
      </c>
      <c r="BB19" s="14">
        <f>countifs('9B'!$U$2:$U$579, BB$1, '9B'!$C$2:$C$579, "Karl")</f>
        <v>7</v>
      </c>
      <c r="BC19" s="14">
        <f>countifs('9B'!$U$2:$U$579, BC$1, '9B'!$C$2:$C$579, "Kona")</f>
        <v>10</v>
      </c>
      <c r="BD19" s="14">
        <f>countifs('9B'!$U$2:$U$579, BD$1, '9B'!$C$2:$C$579, "Kona")</f>
        <v>8</v>
      </c>
      <c r="BE19" s="14">
        <f>countifs('9B'!$U$2:$U$579, BE$1, '9B'!$C$2:$C$579, "Kona")</f>
        <v>7</v>
      </c>
      <c r="BF19" s="14">
        <f>countifs('9B'!$U$2:$U$579, BF$1, '9B'!$C$2:$C$579, "Kona")</f>
        <v>2</v>
      </c>
      <c r="BG19" s="14">
        <f>countifs('9B'!$U$2:$U$579, BG$1, '9B'!$C$2:$C$579, "Kona")</f>
        <v>9</v>
      </c>
      <c r="BH19" s="14">
        <f>countifs('9B'!$U$2:$U$579, BH$1, '9B'!$C$2:$C$579, "Kona")</f>
        <v>15</v>
      </c>
      <c r="BI19" s="14">
        <f>countifs('9B'!$U$2:$U$579, BI$1, '9B'!$C$2:$C$579, "Kona")</f>
        <v>28</v>
      </c>
      <c r="BJ19" s="9">
        <v>22.0</v>
      </c>
      <c r="BK19" s="9">
        <v>79.0</v>
      </c>
      <c r="BL19" s="7">
        <f>IFERROR(__xludf.DUMMYFUNCTION("AVERAGE.WEIGHTED($AV$1:$BB$1,AV19:BB19)"),4.818181818181818)</f>
        <v>4.818181818</v>
      </c>
      <c r="BM19" s="7">
        <f>IFERROR(__xludf.DUMMYFUNCTION("AVERAGE.WEIGHTED($BC$1:$BI$1,BC19:BI19)"),4.886075949367089)</f>
        <v>4.886075949</v>
      </c>
      <c r="BN19" s="7">
        <f t="shared" ref="BN19:BO19" si="60">(BL19-1)*100/6</f>
        <v>63.63636364</v>
      </c>
      <c r="BO19" s="7">
        <f t="shared" si="60"/>
        <v>64.76793249</v>
      </c>
      <c r="BP19" s="8">
        <f t="shared" si="10"/>
        <v>64.20214806</v>
      </c>
      <c r="BQ19" s="8">
        <f t="shared" si="11"/>
        <v>64.20214806</v>
      </c>
      <c r="BR19" s="8">
        <f t="shared" si="12"/>
        <v>0.9204555376</v>
      </c>
    </row>
    <row r="20">
      <c r="A20" s="3">
        <v>19.0</v>
      </c>
      <c r="B20" s="1" t="s">
        <v>47</v>
      </c>
      <c r="C20" s="6">
        <f>countif('9B'!$V$2:$V$664, C$1)</f>
        <v>23</v>
      </c>
      <c r="D20" s="6">
        <f>countif('9B'!$V$2:$V$664, D$1)</f>
        <v>10</v>
      </c>
      <c r="E20" s="6">
        <f>countif('9B'!$V$2:$V$664, E$1)</f>
        <v>2</v>
      </c>
      <c r="F20" s="6">
        <f>countif('9B'!$V$2:$V$664, F$1)</f>
        <v>14</v>
      </c>
      <c r="G20" s="6">
        <f>countif('9B'!$V$2:$V$664, G$1)</f>
        <v>11</v>
      </c>
      <c r="H20" s="6">
        <f>countif('9B'!$V$2:$V$664, H$1)</f>
        <v>16</v>
      </c>
      <c r="I20" s="6">
        <f>countif('9B'!$V$2:$V$664, I$1)</f>
        <v>25</v>
      </c>
      <c r="J20" s="6">
        <f t="shared" si="4"/>
        <v>101</v>
      </c>
      <c r="K20" s="7">
        <f t="shared" si="5"/>
        <v>4.267326733</v>
      </c>
      <c r="N20" s="6">
        <f>countifs('9B'!$V$2:$V$664, N$1, '9B'!$B$2:$B$664, "&gt;"&amp;$L$2, '9B'!$B$2:$B$664, "&lt;"&amp;$M$2)</f>
        <v>0</v>
      </c>
      <c r="O20" s="6">
        <f>countifs('9B'!$V$2:$V$664, O$1, '9B'!$B$2:$B$664, "&gt;"&amp;$L$2, '9B'!$B$2:$B$664, "&lt;"&amp;$M$2)</f>
        <v>0</v>
      </c>
      <c r="P20" s="6">
        <f>countifs('9B'!$V$2:$V$664, P$1, '9B'!$B$2:$B$664, "&gt;"&amp;$L$2, '9B'!$B$2:$B$664, "&lt;"&amp;$M$2)</f>
        <v>0</v>
      </c>
      <c r="Q20" s="6">
        <f>countifs('9B'!$V$2:$V$664, Q$1, '9B'!$B$2:$B$664, "&gt;"&amp;$L$2, '9B'!$B$2:$B$664, "&lt;"&amp;$M$2)</f>
        <v>0</v>
      </c>
      <c r="R20" s="6">
        <f>countifs('9B'!$V$2:$V$664, R$1, '9B'!$B$2:$B$664, "&gt;"&amp;$L$2, '9B'!$B$2:$B$664, "&lt;"&amp;$M$2)</f>
        <v>0</v>
      </c>
      <c r="S20" s="6">
        <f>countifs('9B'!$V$2:$V$664, S$1, '9B'!$B$2:$B$664, "&gt;"&amp;$L$2, '9B'!$B$2:$B$664, "&lt;"&amp;$M$2)</f>
        <v>0</v>
      </c>
      <c r="T20" s="6">
        <f>countifs('9B'!$V$2:$V$664, T$1, '9B'!$B$2:$B$664, "&gt;"&amp;$L$2, '9B'!$B$2:$B$664, "&lt;"&amp;$M$2)</f>
        <v>0</v>
      </c>
      <c r="U20" s="6">
        <f>countifs('9B'!$V$2:$V$664, U$1, '9B'!$B$2:$B$664, "&gt;"&amp;$L$3, '9B'!$B$2:$B$664, "&lt;"&amp;$M$3)</f>
        <v>0</v>
      </c>
      <c r="V20" s="6">
        <f>countifs('9B'!$V$2:$V$664, V$1, '9B'!$B$2:$B$664, "&gt;"&amp;$L$3, '9B'!$B$2:$B$664, "&lt;"&amp;$M$3)</f>
        <v>0</v>
      </c>
      <c r="W20" s="6">
        <f>countifs('9B'!$V$2:$V$664, W$1, '9B'!$B$2:$B$664, "&gt;"&amp;$L$3, '9B'!$B$2:$B$664, "&lt;"&amp;$M$3)</f>
        <v>0</v>
      </c>
      <c r="X20" s="6">
        <f>countifs('9B'!$V$2:$V$664, X$1, '9B'!$B$2:$B$664, "&gt;"&amp;$L$3, '9B'!$B$2:$B$664, "&lt;"&amp;$M$3)</f>
        <v>0</v>
      </c>
      <c r="Y20" s="6">
        <f>countifs('9B'!$V$2:$V$664, Y$1, '9B'!$B$2:$B$664, "&gt;"&amp;$L$3, '9B'!$B$2:$B$664, "&lt;"&amp;$M$3)</f>
        <v>0</v>
      </c>
      <c r="Z20" s="6">
        <f>countifs('9B'!$V$2:$V$664, Z$1, '9B'!$B$2:$B$664, "&gt;"&amp;$L$3, '9B'!$B$2:$B$664, "&lt;"&amp;$M$3)</f>
        <v>0</v>
      </c>
      <c r="AA20" s="6">
        <f>countifs('9B'!$V$2:$V$664, AA$1, '9B'!$B$2:$B$664, "&gt;"&amp;$L$3, '9B'!$B$2:$B$664, "&lt;"&amp;$M$3)</f>
        <v>0</v>
      </c>
      <c r="AB20" s="6">
        <f>countifs('9B'!$V$2:$V$664, AB$1, '9B'!$B$2:$B$664, "&gt;"&amp;$L$4, '9B'!$B$2:$B$664, "&lt;"&amp;$M$4)</f>
        <v>0</v>
      </c>
      <c r="AC20" s="6">
        <f>countifs('9B'!$V$2:$V$664, AC$1, '9B'!$B$2:$B$664, "&gt;"&amp;$L$4, '9B'!$B$2:$B$664, "&lt;"&amp;$M$4)</f>
        <v>0</v>
      </c>
      <c r="AD20" s="6">
        <f>countifs('9B'!$V$2:$V$664, AD$1, '9B'!$B$2:$B$664, "&gt;"&amp;$L$4, '9B'!$B$2:$B$664, "&lt;"&amp;$M$4)</f>
        <v>0</v>
      </c>
      <c r="AE20" s="6">
        <f>countifs('9B'!$V$2:$V$664, AE$1, '9B'!$B$2:$B$664, "&gt;"&amp;$L$4, '9B'!$B$2:$B$664, "&lt;"&amp;$M$4)</f>
        <v>0</v>
      </c>
      <c r="AF20" s="6">
        <f>countifs('9B'!$V$2:$V$664, AF$1, '9B'!$B$2:$B$664, "&gt;"&amp;$L$4, '9B'!$B$2:$B$664, "&lt;"&amp;$M$4)</f>
        <v>0</v>
      </c>
      <c r="AG20" s="6">
        <f>countifs('9B'!$V$2:$V$664, AG$1, '9B'!$B$2:$B$664, "&gt;"&amp;$L$4, '9B'!$B$2:$B$664, "&lt;"&amp;$M$4)</f>
        <v>0</v>
      </c>
      <c r="AH20" s="6">
        <f>countifs('9B'!$V$2:$V$664, AH$1, '9B'!$B$2:$B$664, "&gt;"&amp;$L$4, '9B'!$B$2:$B$664, "&lt;"&amp;$M$4)</f>
        <v>0</v>
      </c>
      <c r="AI20" s="3">
        <v>3.0</v>
      </c>
      <c r="AJ20" s="3">
        <v>23.0</v>
      </c>
      <c r="AK20" s="3">
        <v>17.0</v>
      </c>
      <c r="AL20" s="7" t="str">
        <f>IFERROR(__xludf.DUMMYFUNCTION("AVERAGE.WEIGHTED($N$1:$T$1, N20:T20)"),"#DIV/0!")</f>
        <v>#DIV/0!</v>
      </c>
      <c r="AM20" s="7" t="str">
        <f>IFERROR(__xludf.DUMMYFUNCTION("AVERAGE.WEIGHTED($U$1:$AA$1, U20:AA20)"),"#DIV/0!")</f>
        <v>#DIV/0!</v>
      </c>
      <c r="AN20" s="13" t="str">
        <f>IFERROR(__xludf.DUMMYFUNCTION("AVERAGE.WEIGHTED($AB$1:$AH$1, AB20:AH20)"),"#DIV/0!")</f>
        <v>#DIV/0!</v>
      </c>
      <c r="AO20" s="7" t="str">
        <f t="shared" ref="AO20:AQ20" si="61">(AL20-1)*100/6</f>
        <v>#DIV/0!</v>
      </c>
      <c r="AP20" s="7" t="str">
        <f t="shared" si="61"/>
        <v>#DIV/0!</v>
      </c>
      <c r="AQ20" s="7" t="str">
        <f t="shared" si="61"/>
        <v>#DIV/0!</v>
      </c>
      <c r="AR20" s="6" t="str">
        <f t="shared" ref="AR20:AT20" si="62">Average($AO20:$AQ20)</f>
        <v>#DIV/0!</v>
      </c>
      <c r="AS20" s="6" t="str">
        <f t="shared" si="62"/>
        <v>#DIV/0!</v>
      </c>
      <c r="AT20" s="6" t="str">
        <f t="shared" si="62"/>
        <v>#DIV/0!</v>
      </c>
      <c r="AU20" s="8" t="str">
        <f t="shared" si="8"/>
        <v>#DIV/0!</v>
      </c>
      <c r="AV20" s="14">
        <f>countifs('9B'!$V$2:$V$579, AV$1, '9B'!$C$2:$C$579, "Karl")</f>
        <v>7</v>
      </c>
      <c r="AW20" s="14">
        <f>countifs('9B'!$V$2:$V$579, AW$1, '9B'!$C$2:$C$579, "Karl")</f>
        <v>3</v>
      </c>
      <c r="AX20" s="14">
        <f>countifs('9B'!$V$2:$V$579, AX$1, '9B'!$C$2:$C$579, "Karl")</f>
        <v>0</v>
      </c>
      <c r="AY20" s="14">
        <f>countifs('9B'!$V$2:$V$579, AY$1, '9B'!$C$2:$C$579, "Karl")</f>
        <v>3</v>
      </c>
      <c r="AZ20" s="14">
        <f>countifs('9B'!$V$2:$V$579, AZ$1, '9B'!$C$2:$C$579, "Karl")</f>
        <v>2</v>
      </c>
      <c r="BA20" s="14">
        <f>countifs('9B'!$V$2:$V$579, BA$1, '9B'!$C$2:$C$579, "Karl")</f>
        <v>3</v>
      </c>
      <c r="BB20" s="14">
        <f>countifs('9B'!$V$2:$V$579, BB$1, '9B'!$C$2:$C$579, "Karl")</f>
        <v>4</v>
      </c>
      <c r="BC20" s="14">
        <f>countifs('9B'!$V$2:$V$579, BC$1, '9B'!$C$2:$C$579, "Kona")</f>
        <v>16</v>
      </c>
      <c r="BD20" s="14">
        <f>countifs('9B'!$V$2:$V$579, BD$1, '9B'!$C$2:$C$579, "Kona")</f>
        <v>7</v>
      </c>
      <c r="BE20" s="14">
        <f>countifs('9B'!$V$2:$V$579, BE$1, '9B'!$C$2:$C$579, "Kona")</f>
        <v>2</v>
      </c>
      <c r="BF20" s="14">
        <f>countifs('9B'!$V$2:$V$579, BF$1, '9B'!$C$2:$C$579, "Kona")</f>
        <v>11</v>
      </c>
      <c r="BG20" s="14">
        <f>countifs('9B'!$V$2:$V$579, BG$1, '9B'!$C$2:$C$579, "Kona")</f>
        <v>9</v>
      </c>
      <c r="BH20" s="14">
        <f>countifs('9B'!$V$2:$V$579, BH$1, '9B'!$C$2:$C$579, "Kona")</f>
        <v>13</v>
      </c>
      <c r="BI20" s="14">
        <f>countifs('9B'!$V$2:$V$579, BI$1, '9B'!$C$2:$C$579, "Kona")</f>
        <v>21</v>
      </c>
      <c r="BJ20" s="9">
        <v>22.0</v>
      </c>
      <c r="BK20" s="9">
        <v>79.0</v>
      </c>
      <c r="BL20" s="7">
        <f>IFERROR(__xludf.DUMMYFUNCTION("AVERAGE.WEIGHTED($AV$1:$BB$1,AV20:BB20)"),3.6818181818181817)</f>
        <v>3.681818182</v>
      </c>
      <c r="BM20" s="7">
        <f>IFERROR(__xludf.DUMMYFUNCTION("AVERAGE.WEIGHTED($BC$1:$BI$1,BC20:BI20)"),4.430379746835443)</f>
        <v>4.430379747</v>
      </c>
      <c r="BN20" s="7">
        <f t="shared" ref="BN20:BO20" si="63">(BL20-1)*100/6</f>
        <v>44.6969697</v>
      </c>
      <c r="BO20" s="7">
        <f t="shared" si="63"/>
        <v>57.17299578</v>
      </c>
      <c r="BP20" s="8">
        <f t="shared" si="10"/>
        <v>50.93498274</v>
      </c>
      <c r="BQ20" s="8">
        <f t="shared" si="11"/>
        <v>50.93498274</v>
      </c>
      <c r="BR20" s="8">
        <f t="shared" si="12"/>
        <v>0.2164218306</v>
      </c>
    </row>
    <row r="21">
      <c r="A21" s="3">
        <v>20.0</v>
      </c>
      <c r="B21" s="1" t="s">
        <v>48</v>
      </c>
      <c r="C21" s="6">
        <f>countif('9B'!$W$2:$W$664, C$1)</f>
        <v>51</v>
      </c>
      <c r="D21" s="6">
        <f>countif('9B'!$W$2:$W$664, D$1)</f>
        <v>14</v>
      </c>
      <c r="E21" s="6">
        <f>countif('9B'!$W$2:$W$664, E$1)</f>
        <v>4</v>
      </c>
      <c r="F21" s="6">
        <f>countif('9B'!$W$2:$W$664, F$1)</f>
        <v>3</v>
      </c>
      <c r="G21" s="6">
        <f>countif('9B'!$W$2:$W$664, G$1)</f>
        <v>3</v>
      </c>
      <c r="H21" s="6">
        <f>countif('9B'!$W$2:$W$664, H$1)</f>
        <v>7</v>
      </c>
      <c r="I21" s="6">
        <f>countif('9B'!$W$2:$W$664, I$1)</f>
        <v>19</v>
      </c>
      <c r="J21" s="6">
        <f t="shared" si="4"/>
        <v>101</v>
      </c>
      <c r="K21" s="7">
        <f t="shared" si="5"/>
        <v>2.900990099</v>
      </c>
      <c r="N21" s="6">
        <f>countifs('9B'!$W$2:$W$664, N$1, '9B'!$B$2:$B$664, "&gt;"&amp;$L$2, '9B'!$B$2:$B$664, "&lt;"&amp;$M$2)</f>
        <v>0</v>
      </c>
      <c r="O21" s="6">
        <f>countifs('9B'!$W$2:$W$664, O$1, '9B'!$B$2:$B$664, "&gt;"&amp;$L$2, '9B'!$B$2:$B$664, "&lt;"&amp;$M$2)</f>
        <v>0</v>
      </c>
      <c r="P21" s="6">
        <f>countifs('9B'!$W$2:$W$664, P$1, '9B'!$B$2:$B$664, "&gt;"&amp;$L$2, '9B'!$B$2:$B$664, "&lt;"&amp;$M$2)</f>
        <v>0</v>
      </c>
      <c r="Q21" s="6">
        <f>countifs('9B'!$W$2:$W$664, Q$1, '9B'!$B$2:$B$664, "&gt;"&amp;$L$2, '9B'!$B$2:$B$664, "&lt;"&amp;$M$2)</f>
        <v>0</v>
      </c>
      <c r="R21" s="6">
        <f>countifs('9B'!$W$2:$W$664, R$1, '9B'!$B$2:$B$664, "&gt;"&amp;$L$2, '9B'!$B$2:$B$664, "&lt;"&amp;$M$2)</f>
        <v>0</v>
      </c>
      <c r="S21" s="6">
        <f>countifs('9B'!$W$2:$W$664, S$1, '9B'!$B$2:$B$664, "&gt;"&amp;$L$2, '9B'!$B$2:$B$664, "&lt;"&amp;$M$2)</f>
        <v>0</v>
      </c>
      <c r="T21" s="6">
        <f>countifs('9B'!$W$2:$W$664, T$1, '9B'!$B$2:$B$664, "&gt;"&amp;$L$2, '9B'!$B$2:$B$664, "&lt;"&amp;$M$2)</f>
        <v>0</v>
      </c>
      <c r="U21" s="6">
        <f>countifs('9B'!$W$2:$W$664, U$1, '9B'!$B$2:$B$664, "&gt;"&amp;$L$3, '9B'!$B$2:$B$664, "&lt;"&amp;$M$3)</f>
        <v>0</v>
      </c>
      <c r="V21" s="6">
        <f>countifs('9B'!$W$2:$W$664, V$1, '9B'!$B$2:$B$664, "&gt;"&amp;$L$3, '9B'!$B$2:$B$664, "&lt;"&amp;$M$3)</f>
        <v>0</v>
      </c>
      <c r="W21" s="6">
        <f>countifs('9B'!$W$2:$W$664, W$1, '9B'!$B$2:$B$664, "&gt;"&amp;$L$3, '9B'!$B$2:$B$664, "&lt;"&amp;$M$3)</f>
        <v>0</v>
      </c>
      <c r="X21" s="6">
        <f>countifs('9B'!$W$2:$W$664, X$1, '9B'!$B$2:$B$664, "&gt;"&amp;$L$3, '9B'!$B$2:$B$664, "&lt;"&amp;$M$3)</f>
        <v>0</v>
      </c>
      <c r="Y21" s="6">
        <f>countifs('9B'!$W$2:$W$664, Y$1, '9B'!$B$2:$B$664, "&gt;"&amp;$L$3, '9B'!$B$2:$B$664, "&lt;"&amp;$M$3)</f>
        <v>0</v>
      </c>
      <c r="Z21" s="6">
        <f>countifs('9B'!$W$2:$W$664, Z$1, '9B'!$B$2:$B$664, "&gt;"&amp;$L$3, '9B'!$B$2:$B$664, "&lt;"&amp;$M$3)</f>
        <v>0</v>
      </c>
      <c r="AA21" s="6">
        <f>countifs('9B'!$W$2:$W$664, AA$1, '9B'!$B$2:$B$664, "&gt;"&amp;$L$3, '9B'!$B$2:$B$664, "&lt;"&amp;$M$3)</f>
        <v>0</v>
      </c>
      <c r="AB21" s="6">
        <f>countifs('9B'!$W$2:$W$664, AB$1, '9B'!$B$2:$B$664, "&gt;"&amp;$L$4, '9B'!$B$2:$B$664, "&lt;"&amp;$M$4)</f>
        <v>0</v>
      </c>
      <c r="AC21" s="6">
        <f>countifs('9B'!$W$2:$W$664, AC$1, '9B'!$B$2:$B$664, "&gt;"&amp;$L$4, '9B'!$B$2:$B$664, "&lt;"&amp;$M$4)</f>
        <v>0</v>
      </c>
      <c r="AD21" s="6">
        <f>countifs('9B'!$W$2:$W$664, AD$1, '9B'!$B$2:$B$664, "&gt;"&amp;$L$4, '9B'!$B$2:$B$664, "&lt;"&amp;$M$4)</f>
        <v>0</v>
      </c>
      <c r="AE21" s="6">
        <f>countifs('9B'!$W$2:$W$664, AE$1, '9B'!$B$2:$B$664, "&gt;"&amp;$L$4, '9B'!$B$2:$B$664, "&lt;"&amp;$M$4)</f>
        <v>0</v>
      </c>
      <c r="AF21" s="6">
        <f>countifs('9B'!$W$2:$W$664, AF$1, '9B'!$B$2:$B$664, "&gt;"&amp;$L$4, '9B'!$B$2:$B$664, "&lt;"&amp;$M$4)</f>
        <v>0</v>
      </c>
      <c r="AG21" s="6">
        <f>countifs('9B'!$W$2:$W$664, AG$1, '9B'!$B$2:$B$664, "&gt;"&amp;$L$4, '9B'!$B$2:$B$664, "&lt;"&amp;$M$4)</f>
        <v>0</v>
      </c>
      <c r="AH21" s="6">
        <f>countifs('9B'!$W$2:$W$664, AH$1, '9B'!$B$2:$B$664, "&gt;"&amp;$L$4, '9B'!$B$2:$B$664, "&lt;"&amp;$M$4)</f>
        <v>0</v>
      </c>
      <c r="AI21" s="3">
        <v>3.0</v>
      </c>
      <c r="AJ21" s="3">
        <v>23.0</v>
      </c>
      <c r="AK21" s="3">
        <v>17.0</v>
      </c>
      <c r="AL21" s="7" t="str">
        <f>IFERROR(__xludf.DUMMYFUNCTION("AVERAGE.WEIGHTED($N$1:$T$1, N21:T21)"),"#DIV/0!")</f>
        <v>#DIV/0!</v>
      </c>
      <c r="AM21" s="7" t="str">
        <f>IFERROR(__xludf.DUMMYFUNCTION("AVERAGE.WEIGHTED($U$1:$AA$1, U21:AA21)"),"#DIV/0!")</f>
        <v>#DIV/0!</v>
      </c>
      <c r="AN21" s="13" t="str">
        <f>IFERROR(__xludf.DUMMYFUNCTION("AVERAGE.WEIGHTED($AB$1:$AH$1, AB21:AH21)"),"#DIV/0!")</f>
        <v>#DIV/0!</v>
      </c>
      <c r="AO21" s="7" t="str">
        <f t="shared" ref="AO21:AQ21" si="64">(AL21-1)*100/6</f>
        <v>#DIV/0!</v>
      </c>
      <c r="AP21" s="7" t="str">
        <f t="shared" si="64"/>
        <v>#DIV/0!</v>
      </c>
      <c r="AQ21" s="7" t="str">
        <f t="shared" si="64"/>
        <v>#DIV/0!</v>
      </c>
      <c r="AR21" s="6" t="str">
        <f t="shared" ref="AR21:AT21" si="65">Average($AO21:$AQ21)</f>
        <v>#DIV/0!</v>
      </c>
      <c r="AS21" s="6" t="str">
        <f t="shared" si="65"/>
        <v>#DIV/0!</v>
      </c>
      <c r="AT21" s="6" t="str">
        <f t="shared" si="65"/>
        <v>#DIV/0!</v>
      </c>
      <c r="AU21" s="8" t="str">
        <f t="shared" si="8"/>
        <v>#DIV/0!</v>
      </c>
      <c r="AV21" s="14">
        <f>countifs('9B'!$W$2:$W$579, AV$1, '9B'!$C$2:$C$579, "Karl")</f>
        <v>13</v>
      </c>
      <c r="AW21" s="14">
        <f>countifs('9B'!$W$2:$W$579, AW$1, '9B'!$C$2:$C$579, "Karl")</f>
        <v>2</v>
      </c>
      <c r="AX21" s="14">
        <f>countifs('9B'!$W$2:$W$579, AX$1, '9B'!$C$2:$C$579, "Karl")</f>
        <v>1</v>
      </c>
      <c r="AY21" s="14">
        <f>countifs('9B'!$W$2:$W$579, AY$1, '9B'!$C$2:$C$579, "Karl")</f>
        <v>1</v>
      </c>
      <c r="AZ21" s="14">
        <f>countifs('9B'!$W$2:$W$579, AZ$1, '9B'!$C$2:$C$579, "Karl")</f>
        <v>1</v>
      </c>
      <c r="BA21" s="14">
        <f>countifs('9B'!$W$2:$W$579, BA$1, '9B'!$C$2:$C$579, "Karl")</f>
        <v>0</v>
      </c>
      <c r="BB21" s="14">
        <f>countifs('9B'!$W$2:$W$579, BB$1, '9B'!$C$2:$C$579, "Karl")</f>
        <v>4</v>
      </c>
      <c r="BC21" s="14">
        <f>countifs('9B'!$W$2:$W$579, BC$1, '9B'!$C$2:$C$579, "Kona")</f>
        <v>38</v>
      </c>
      <c r="BD21" s="14">
        <f>countifs('9B'!$W$2:$W$579, BD$1, '9B'!$C$2:$C$579, "Kona")</f>
        <v>12</v>
      </c>
      <c r="BE21" s="14">
        <f>countifs('9B'!$W$2:$W$579, BE$1, '9B'!$C$2:$C$579, "Kona")</f>
        <v>3</v>
      </c>
      <c r="BF21" s="14">
        <f>countifs('9B'!$W$2:$W$579, BF$1, '9B'!$C$2:$C$579, "Kona")</f>
        <v>2</v>
      </c>
      <c r="BG21" s="14">
        <f>countifs('9B'!$W$2:$W$579, BG$1, '9B'!$C$2:$C$579, "Kona")</f>
        <v>2</v>
      </c>
      <c r="BH21" s="14">
        <f>countifs('9B'!$W$2:$W$579, BH$1, '9B'!$C$2:$C$579, "Kona")</f>
        <v>7</v>
      </c>
      <c r="BI21" s="14">
        <f>countifs('9B'!$W$2:$W$579, BI$1, '9B'!$C$2:$C$579, "Kona")</f>
        <v>15</v>
      </c>
      <c r="BJ21" s="9">
        <v>22.0</v>
      </c>
      <c r="BK21" s="9">
        <v>79.0</v>
      </c>
      <c r="BL21" s="7">
        <f>IFERROR(__xludf.DUMMYFUNCTION("AVERAGE.WEIGHTED($AV$1:$BB$1,AV21:BB21)"),2.5909090909090913)</f>
        <v>2.590909091</v>
      </c>
      <c r="BM21" s="7">
        <f>IFERROR(__xludf.DUMMYFUNCTION("AVERAGE.WEIGHTED($BC$1:$BI$1,BC21:BI21)"),2.9873417721518987)</f>
        <v>2.987341772</v>
      </c>
      <c r="BN21" s="7">
        <f t="shared" ref="BN21:BO21" si="66">(BL21-1)*100/6</f>
        <v>26.51515152</v>
      </c>
      <c r="BO21" s="7">
        <f t="shared" si="66"/>
        <v>33.12236287</v>
      </c>
      <c r="BP21" s="8">
        <f t="shared" si="10"/>
        <v>29.81875719</v>
      </c>
      <c r="BQ21" s="8">
        <f t="shared" si="11"/>
        <v>29.81875719</v>
      </c>
      <c r="BR21" s="8">
        <f t="shared" si="12"/>
        <v>0.3922325256</v>
      </c>
    </row>
    <row r="22">
      <c r="A22" s="3">
        <v>21.0</v>
      </c>
      <c r="B22" s="1" t="s">
        <v>49</v>
      </c>
      <c r="C22" s="6">
        <f>countif('9B'!$X$2:$X$664, C$1)</f>
        <v>44</v>
      </c>
      <c r="D22" s="6">
        <f>countif('9B'!$X$2:$X$664, D$1)</f>
        <v>26</v>
      </c>
      <c r="E22" s="6">
        <f>countif('9B'!$X$2:$X$664, E$1)</f>
        <v>9</v>
      </c>
      <c r="F22" s="6">
        <f>countif('9B'!$X$2:$X$664, F$1)</f>
        <v>3</v>
      </c>
      <c r="G22" s="6">
        <f>countif('9B'!$X$2:$X$664, G$1)</f>
        <v>8</v>
      </c>
      <c r="H22" s="6">
        <f>countif('9B'!$X$2:$X$664, H$1)</f>
        <v>8</v>
      </c>
      <c r="I22" s="6">
        <f>countif('9B'!$X$2:$X$664, I$1)</f>
        <v>3</v>
      </c>
      <c r="J22" s="6">
        <f t="shared" si="4"/>
        <v>101</v>
      </c>
      <c r="K22" s="7">
        <f t="shared" si="5"/>
        <v>2.415841584</v>
      </c>
      <c r="N22" s="6">
        <f>countifs('9B'!$X$2:$X$664, N$1, '9B'!$B$2:$B$664, "&gt;"&amp;$L$2, '9B'!$B$2:$B$664, "&lt;"&amp;$M$2)</f>
        <v>0</v>
      </c>
      <c r="O22" s="6">
        <f>countifs('9B'!$X$2:$X$664, O$1, '9B'!$B$2:$B$664, "&gt;"&amp;$L$2, '9B'!$B$2:$B$664, "&lt;"&amp;$M$2)</f>
        <v>0</v>
      </c>
      <c r="P22" s="6">
        <f>countifs('9B'!$X$2:$X$664, P$1, '9B'!$B$2:$B$664, "&gt;"&amp;$L$2, '9B'!$B$2:$B$664, "&lt;"&amp;$M$2)</f>
        <v>0</v>
      </c>
      <c r="Q22" s="6">
        <f>countifs('9B'!$X$2:$X$664, Q$1, '9B'!$B$2:$B$664, "&gt;"&amp;$L$2, '9B'!$B$2:$B$664, "&lt;"&amp;$M$2)</f>
        <v>0</v>
      </c>
      <c r="R22" s="6">
        <f>countifs('9B'!$X$2:$X$664, R$1, '9B'!$B$2:$B$664, "&gt;"&amp;$L$2, '9B'!$B$2:$B$664, "&lt;"&amp;$M$2)</f>
        <v>0</v>
      </c>
      <c r="S22" s="6">
        <f>countifs('9B'!$X$2:$X$664, S$1, '9B'!$B$2:$B$664, "&gt;"&amp;$L$2, '9B'!$B$2:$B$664, "&lt;"&amp;$M$2)</f>
        <v>0</v>
      </c>
      <c r="T22" s="6">
        <f>countifs('9B'!$X$2:$X$664, T$1, '9B'!$B$2:$B$664, "&gt;"&amp;$L$2, '9B'!$B$2:$B$664, "&lt;"&amp;$M$2)</f>
        <v>0</v>
      </c>
      <c r="U22" s="6">
        <f>countifs('9B'!$X$2:$X$664, U$1, '9B'!$B$2:$B$664, "&gt;"&amp;$L$3, '9B'!$B$2:$B$664, "&lt;"&amp;$M$3)</f>
        <v>0</v>
      </c>
      <c r="V22" s="6">
        <f>countifs('9B'!$X$2:$X$664, V$1, '9B'!$B$2:$B$664, "&gt;"&amp;$L$3, '9B'!$B$2:$B$664, "&lt;"&amp;$M$3)</f>
        <v>0</v>
      </c>
      <c r="W22" s="6">
        <f>countifs('9B'!$X$2:$X$664, W$1, '9B'!$B$2:$B$664, "&gt;"&amp;$L$3, '9B'!$B$2:$B$664, "&lt;"&amp;$M$3)</f>
        <v>0</v>
      </c>
      <c r="X22" s="6">
        <f>countifs('9B'!$X$2:$X$664, X$1, '9B'!$B$2:$B$664, "&gt;"&amp;$L$3, '9B'!$B$2:$B$664, "&lt;"&amp;$M$3)</f>
        <v>0</v>
      </c>
      <c r="Y22" s="6">
        <f>countifs('9B'!$X$2:$X$664, Y$1, '9B'!$B$2:$B$664, "&gt;"&amp;$L$3, '9B'!$B$2:$B$664, "&lt;"&amp;$M$3)</f>
        <v>0</v>
      </c>
      <c r="Z22" s="6">
        <f>countifs('9B'!$X$2:$X$664, Z$1, '9B'!$B$2:$B$664, "&gt;"&amp;$L$3, '9B'!$B$2:$B$664, "&lt;"&amp;$M$3)</f>
        <v>0</v>
      </c>
      <c r="AA22" s="6">
        <f>countifs('9B'!$X$2:$X$664, AA$1, '9B'!$B$2:$B$664, "&gt;"&amp;$L$3, '9B'!$B$2:$B$664, "&lt;"&amp;$M$3)</f>
        <v>0</v>
      </c>
      <c r="AB22" s="6">
        <f>countifs('9B'!$X$2:$X$664, AB$1, '9B'!$B$2:$B$664, "&gt;"&amp;$L$4, '9B'!$B$2:$B$664, "&lt;"&amp;$M$4)</f>
        <v>0</v>
      </c>
      <c r="AC22" s="6">
        <f>countifs('9B'!$X$2:$X$664, AC$1, '9B'!$B$2:$B$664, "&gt;"&amp;$L$4, '9B'!$B$2:$B$664, "&lt;"&amp;$M$4)</f>
        <v>0</v>
      </c>
      <c r="AD22" s="6">
        <f>countifs('9B'!$X$2:$X$664, AD$1, '9B'!$B$2:$B$664, "&gt;"&amp;$L$4, '9B'!$B$2:$B$664, "&lt;"&amp;$M$4)</f>
        <v>0</v>
      </c>
      <c r="AE22" s="6">
        <f>countifs('9B'!$X$2:$X$664, AE$1, '9B'!$B$2:$B$664, "&gt;"&amp;$L$4, '9B'!$B$2:$B$664, "&lt;"&amp;$M$4)</f>
        <v>0</v>
      </c>
      <c r="AF22" s="6">
        <f>countifs('9B'!$X$2:$X$664, AF$1, '9B'!$B$2:$B$664, "&gt;"&amp;$L$4, '9B'!$B$2:$B$664, "&lt;"&amp;$M$4)</f>
        <v>0</v>
      </c>
      <c r="AG22" s="6">
        <f>countifs('9B'!$X$2:$X$664, AG$1, '9B'!$B$2:$B$664, "&gt;"&amp;$L$4, '9B'!$B$2:$B$664, "&lt;"&amp;$M$4)</f>
        <v>0</v>
      </c>
      <c r="AH22" s="6">
        <f>countifs('9B'!$X$2:$X$664, AH$1, '9B'!$B$2:$B$664, "&gt;"&amp;$L$4, '9B'!$B$2:$B$664, "&lt;"&amp;$M$4)</f>
        <v>0</v>
      </c>
      <c r="AI22" s="3">
        <v>3.0</v>
      </c>
      <c r="AJ22" s="3">
        <v>23.0</v>
      </c>
      <c r="AK22" s="3">
        <v>17.0</v>
      </c>
      <c r="AL22" s="7" t="str">
        <f>IFERROR(__xludf.DUMMYFUNCTION("AVERAGE.WEIGHTED($N$1:$T$1, N22:T22)"),"#DIV/0!")</f>
        <v>#DIV/0!</v>
      </c>
      <c r="AM22" s="7" t="str">
        <f>IFERROR(__xludf.DUMMYFUNCTION("AVERAGE.WEIGHTED($U$1:$AA$1, U22:AA22)"),"#DIV/0!")</f>
        <v>#DIV/0!</v>
      </c>
      <c r="AN22" s="13" t="str">
        <f>IFERROR(__xludf.DUMMYFUNCTION("AVERAGE.WEIGHTED($AB$1:$AH$1, AB22:AH22)"),"#DIV/0!")</f>
        <v>#DIV/0!</v>
      </c>
      <c r="AO22" s="7" t="str">
        <f t="shared" ref="AO22:AQ22" si="67">(AL22-1)*100/6</f>
        <v>#DIV/0!</v>
      </c>
      <c r="AP22" s="7" t="str">
        <f t="shared" si="67"/>
        <v>#DIV/0!</v>
      </c>
      <c r="AQ22" s="7" t="str">
        <f t="shared" si="67"/>
        <v>#DIV/0!</v>
      </c>
      <c r="AR22" s="6" t="str">
        <f t="shared" ref="AR22:AT22" si="68">Average($AO22:$AQ22)</f>
        <v>#DIV/0!</v>
      </c>
      <c r="AS22" s="6" t="str">
        <f t="shared" si="68"/>
        <v>#DIV/0!</v>
      </c>
      <c r="AT22" s="6" t="str">
        <f t="shared" si="68"/>
        <v>#DIV/0!</v>
      </c>
      <c r="AU22" s="8" t="str">
        <f t="shared" si="8"/>
        <v>#DIV/0!</v>
      </c>
      <c r="AV22" s="14">
        <f>countifs('9B'!$X$2:$X$579, AV$1, '9B'!$C$2:$C$579, "Karl")</f>
        <v>7</v>
      </c>
      <c r="AW22" s="14">
        <f>countifs('9B'!$X$2:$X$579, AW$1, '9B'!$C$2:$C$579, "Karl")</f>
        <v>9</v>
      </c>
      <c r="AX22" s="14">
        <f>countifs('9B'!$X$2:$X$579, AX$1, '9B'!$C$2:$C$579, "Karl")</f>
        <v>2</v>
      </c>
      <c r="AY22" s="14">
        <f>countifs('9B'!$X$2:$X$579, AY$1, '9B'!$C$2:$C$579, "Karl")</f>
        <v>0</v>
      </c>
      <c r="AZ22" s="14">
        <f>countifs('9B'!$X$2:$X$579, AZ$1, '9B'!$C$2:$C$579, "Karl")</f>
        <v>1</v>
      </c>
      <c r="BA22" s="14">
        <f>countifs('9B'!$X$2:$X$579, BA$1, '9B'!$C$2:$C$579, "Karl")</f>
        <v>1</v>
      </c>
      <c r="BB22" s="14">
        <f>countifs('9B'!$X$2:$X$579, BB$1, '9B'!$C$2:$C$579, "Karl")</f>
        <v>2</v>
      </c>
      <c r="BC22" s="14">
        <f>countifs('9B'!$X$2:$X$579, BC$1, '9B'!$C$2:$C$579, "Kona")</f>
        <v>37</v>
      </c>
      <c r="BD22" s="14">
        <f>countifs('9B'!$X$2:$X$579, BD$1, '9B'!$C$2:$C$579, "Kona")</f>
        <v>17</v>
      </c>
      <c r="BE22" s="14">
        <f>countifs('9B'!$X$2:$X$579, BE$1, '9B'!$C$2:$C$579, "Kona")</f>
        <v>7</v>
      </c>
      <c r="BF22" s="14">
        <f>countifs('9B'!$X$2:$X$579, BF$1, '9B'!$C$2:$C$579, "Kona")</f>
        <v>3</v>
      </c>
      <c r="BG22" s="14">
        <f>countifs('9B'!$X$2:$X$579, BG$1, '9B'!$C$2:$C$579, "Kona")</f>
        <v>7</v>
      </c>
      <c r="BH22" s="14">
        <f>countifs('9B'!$X$2:$X$579, BH$1, '9B'!$C$2:$C$579, "Kona")</f>
        <v>7</v>
      </c>
      <c r="BI22" s="14">
        <f>countifs('9B'!$X$2:$X$579, BI$1, '9B'!$C$2:$C$579, "Kona")</f>
        <v>1</v>
      </c>
      <c r="BJ22" s="9">
        <v>22.0</v>
      </c>
      <c r="BK22" s="9">
        <v>79.0</v>
      </c>
      <c r="BL22" s="7">
        <f>IFERROR(__xludf.DUMMYFUNCTION("AVERAGE.WEIGHTED($AV$1:$BB$1,AV22:BB22)"),2.5454545454545454)</f>
        <v>2.545454545</v>
      </c>
      <c r="BM22" s="7">
        <f>IFERROR(__xludf.DUMMYFUNCTION("AVERAGE.WEIGHTED($BC$1:$BI$1,BC22:BI22)"),2.3797468354430378)</f>
        <v>2.379746835</v>
      </c>
      <c r="BN22" s="7">
        <f t="shared" ref="BN22:BO22" si="69">(BL22-1)*100/6</f>
        <v>25.75757576</v>
      </c>
      <c r="BO22" s="7">
        <f t="shared" si="69"/>
        <v>22.99578059</v>
      </c>
      <c r="BP22" s="8">
        <f t="shared" si="10"/>
        <v>24.37667817</v>
      </c>
      <c r="BQ22" s="8">
        <f t="shared" si="11"/>
        <v>24.37667817</v>
      </c>
      <c r="BR22" s="8">
        <f t="shared" si="12"/>
        <v>0.6924452163</v>
      </c>
    </row>
    <row r="23">
      <c r="A23" s="3">
        <v>22.0</v>
      </c>
      <c r="B23" s="1" t="s">
        <v>50</v>
      </c>
      <c r="C23" s="6">
        <f>countif('9B'!$Y$2:$Y$664, C$1)</f>
        <v>37</v>
      </c>
      <c r="D23" s="6">
        <f>countif('9B'!$Y$2:$Y$664, D$1)</f>
        <v>6</v>
      </c>
      <c r="E23" s="6">
        <f>countif('9B'!$Y$2:$Y$664, E$1)</f>
        <v>7</v>
      </c>
      <c r="F23" s="6">
        <f>countif('9B'!$Y$2:$Y$664, F$1)</f>
        <v>2</v>
      </c>
      <c r="G23" s="6">
        <f>countif('9B'!$Y$2:$Y$664, G$1)</f>
        <v>4</v>
      </c>
      <c r="H23" s="6">
        <f>countif('9B'!$Y$2:$Y$664, H$1)</f>
        <v>12</v>
      </c>
      <c r="I23" s="6">
        <f>countif('9B'!$Y$2:$Y$664, I$1)</f>
        <v>33</v>
      </c>
      <c r="J23" s="6">
        <f t="shared" si="4"/>
        <v>101</v>
      </c>
      <c r="K23" s="7">
        <f t="shared" si="5"/>
        <v>3.97029703</v>
      </c>
      <c r="N23" s="6">
        <f>countifs('9B'!$Y$2:$Y$664, N$1, '9B'!$B$2:$B$664, "&gt;"&amp;$L$2, '9B'!$B$2:$B$664, "&lt;"&amp;$M$2)</f>
        <v>0</v>
      </c>
      <c r="O23" s="6">
        <f>countifs('9B'!$Y$2:$Y$664, O$1, '9B'!$B$2:$B$664, "&gt;"&amp;$L$2, '9B'!$B$2:$B$664, "&lt;"&amp;$M$2)</f>
        <v>0</v>
      </c>
      <c r="P23" s="6">
        <f>countifs('9B'!$Y$2:$Y$664, P$1, '9B'!$B$2:$B$664, "&gt;"&amp;$L$2, '9B'!$B$2:$B$664, "&lt;"&amp;$M$2)</f>
        <v>0</v>
      </c>
      <c r="Q23" s="6">
        <f>countifs('9B'!$Y$2:$Y$664, Q$1, '9B'!$B$2:$B$664, "&gt;"&amp;$L$2, '9B'!$B$2:$B$664, "&lt;"&amp;$M$2)</f>
        <v>0</v>
      </c>
      <c r="R23" s="6">
        <f>countifs('9B'!$Y$2:$Y$664, R$1, '9B'!$B$2:$B$664, "&gt;"&amp;$L$2, '9B'!$B$2:$B$664, "&lt;"&amp;$M$2)</f>
        <v>0</v>
      </c>
      <c r="S23" s="6">
        <f>countifs('9B'!$Y$2:$Y$664, S$1, '9B'!$B$2:$B$664, "&gt;"&amp;$L$2, '9B'!$B$2:$B$664, "&lt;"&amp;$M$2)</f>
        <v>0</v>
      </c>
      <c r="T23" s="6">
        <f>countifs('9B'!$Y$2:$Y$664, T$1, '9B'!$B$2:$B$664, "&gt;"&amp;$L$2, '9B'!$B$2:$B$664, "&lt;"&amp;$M$2)</f>
        <v>0</v>
      </c>
      <c r="U23" s="6">
        <f>countifs('9B'!$Y$2:$Y$664, U$1, '9B'!$B$2:$B$664, "&gt;"&amp;$L$3, '9B'!$B$2:$B$664, "&lt;"&amp;$M$3)</f>
        <v>0</v>
      </c>
      <c r="V23" s="6">
        <f>countifs('9B'!$Y$2:$Y$664, V$1, '9B'!$B$2:$B$664, "&gt;"&amp;$L$3, '9B'!$B$2:$B$664, "&lt;"&amp;$M$3)</f>
        <v>0</v>
      </c>
      <c r="W23" s="6">
        <f>countifs('9B'!$Y$2:$Y$664, W$1, '9B'!$B$2:$B$664, "&gt;"&amp;$L$3, '9B'!$B$2:$B$664, "&lt;"&amp;$M$3)</f>
        <v>0</v>
      </c>
      <c r="X23" s="6">
        <f>countifs('9B'!$Y$2:$Y$664, X$1, '9B'!$B$2:$B$664, "&gt;"&amp;$L$3, '9B'!$B$2:$B$664, "&lt;"&amp;$M$3)</f>
        <v>0</v>
      </c>
      <c r="Y23" s="6">
        <f>countifs('9B'!$Y$2:$Y$664, Y$1, '9B'!$B$2:$B$664, "&gt;"&amp;$L$3, '9B'!$B$2:$B$664, "&lt;"&amp;$M$3)</f>
        <v>0</v>
      </c>
      <c r="Z23" s="6">
        <f>countifs('9B'!$Y$2:$Y$664, Z$1, '9B'!$B$2:$B$664, "&gt;"&amp;$L$3, '9B'!$B$2:$B$664, "&lt;"&amp;$M$3)</f>
        <v>0</v>
      </c>
      <c r="AA23" s="6">
        <f>countifs('9B'!$Y$2:$Y$664, AA$1, '9B'!$B$2:$B$664, "&gt;"&amp;$L$3, '9B'!$B$2:$B$664, "&lt;"&amp;$M$3)</f>
        <v>0</v>
      </c>
      <c r="AB23" s="6">
        <f>countifs('9B'!$Y$2:$Y$664, AB$1, '9B'!$B$2:$B$664, "&gt;"&amp;$L$4, '9B'!$B$2:$B$664, "&lt;"&amp;$M$4)</f>
        <v>0</v>
      </c>
      <c r="AC23" s="6">
        <f>countifs('9B'!$Y$2:$Y$664, AC$1, '9B'!$B$2:$B$664, "&gt;"&amp;$L$4, '9B'!$B$2:$B$664, "&lt;"&amp;$M$4)</f>
        <v>0</v>
      </c>
      <c r="AD23" s="6">
        <f>countifs('9B'!$Y$2:$Y$664, AD$1, '9B'!$B$2:$B$664, "&gt;"&amp;$L$4, '9B'!$B$2:$B$664, "&lt;"&amp;$M$4)</f>
        <v>0</v>
      </c>
      <c r="AE23" s="6">
        <f>countifs('9B'!$Y$2:$Y$664, AE$1, '9B'!$B$2:$B$664, "&gt;"&amp;$L$4, '9B'!$B$2:$B$664, "&lt;"&amp;$M$4)</f>
        <v>0</v>
      </c>
      <c r="AF23" s="6">
        <f>countifs('9B'!$Y$2:$Y$664, AF$1, '9B'!$B$2:$B$664, "&gt;"&amp;$L$4, '9B'!$B$2:$B$664, "&lt;"&amp;$M$4)</f>
        <v>0</v>
      </c>
      <c r="AG23" s="6">
        <f>countifs('9B'!$Y$2:$Y$664, AG$1, '9B'!$B$2:$B$664, "&gt;"&amp;$L$4, '9B'!$B$2:$B$664, "&lt;"&amp;$M$4)</f>
        <v>0</v>
      </c>
      <c r="AH23" s="6">
        <f>countifs('9B'!$Y$2:$Y$664, AH$1, '9B'!$B$2:$B$664, "&gt;"&amp;$L$4, '9B'!$B$2:$B$664, "&lt;"&amp;$M$4)</f>
        <v>0</v>
      </c>
      <c r="AI23" s="3">
        <v>3.0</v>
      </c>
      <c r="AJ23" s="3">
        <v>23.0</v>
      </c>
      <c r="AK23" s="3">
        <v>17.0</v>
      </c>
      <c r="AL23" s="7" t="str">
        <f>IFERROR(__xludf.DUMMYFUNCTION("AVERAGE.WEIGHTED($N$1:$T$1, N23:T23)"),"#DIV/0!")</f>
        <v>#DIV/0!</v>
      </c>
      <c r="AM23" s="7" t="str">
        <f>IFERROR(__xludf.DUMMYFUNCTION("AVERAGE.WEIGHTED($U$1:$AA$1, U23:AA23)"),"#DIV/0!")</f>
        <v>#DIV/0!</v>
      </c>
      <c r="AN23" s="13" t="str">
        <f>IFERROR(__xludf.DUMMYFUNCTION("AVERAGE.WEIGHTED($AB$1:$AH$1, AB23:AH23)"),"#DIV/0!")</f>
        <v>#DIV/0!</v>
      </c>
      <c r="AO23" s="7" t="str">
        <f t="shared" ref="AO23:AQ23" si="70">(AL23-1)*100/6</f>
        <v>#DIV/0!</v>
      </c>
      <c r="AP23" s="7" t="str">
        <f t="shared" si="70"/>
        <v>#DIV/0!</v>
      </c>
      <c r="AQ23" s="7" t="str">
        <f t="shared" si="70"/>
        <v>#DIV/0!</v>
      </c>
      <c r="AR23" s="6" t="str">
        <f t="shared" ref="AR23:AT23" si="71">Average($AO23:$AQ23)</f>
        <v>#DIV/0!</v>
      </c>
      <c r="AS23" s="6" t="str">
        <f t="shared" si="71"/>
        <v>#DIV/0!</v>
      </c>
      <c r="AT23" s="6" t="str">
        <f t="shared" si="71"/>
        <v>#DIV/0!</v>
      </c>
      <c r="AU23" s="8" t="str">
        <f t="shared" si="8"/>
        <v>#DIV/0!</v>
      </c>
      <c r="AV23" s="14">
        <f>countifs('9B'!$Y$2:$Y$579, AV$1, '9B'!$C$2:$C$579, "Karl")</f>
        <v>12</v>
      </c>
      <c r="AW23" s="14">
        <f>countifs('9B'!$Y$2:$Y$579, AW$1, '9B'!$C$2:$C$579, "Karl")</f>
        <v>1</v>
      </c>
      <c r="AX23" s="14">
        <f>countifs('9B'!$Y$2:$Y$579, AX$1, '9B'!$C$2:$C$579, "Karl")</f>
        <v>2</v>
      </c>
      <c r="AY23" s="14">
        <f>countifs('9B'!$Y$2:$Y$579, AY$1, '9B'!$C$2:$C$579, "Karl")</f>
        <v>0</v>
      </c>
      <c r="AZ23" s="14">
        <f>countifs('9B'!$Y$2:$Y$579, AZ$1, '9B'!$C$2:$C$579, "Karl")</f>
        <v>1</v>
      </c>
      <c r="BA23" s="14">
        <f>countifs('9B'!$Y$2:$Y$579, BA$1, '9B'!$C$2:$C$579, "Karl")</f>
        <v>1</v>
      </c>
      <c r="BB23" s="14">
        <f>countifs('9B'!$Y$2:$Y$579, BB$1, '9B'!$C$2:$C$579, "Karl")</f>
        <v>5</v>
      </c>
      <c r="BC23" s="14">
        <f>countifs('9B'!$Y$2:$Y$579, BC$1, '9B'!$C$2:$C$579, "Kona")</f>
        <v>25</v>
      </c>
      <c r="BD23" s="14">
        <f>countifs('9B'!$Y$2:$Y$579, BD$1, '9B'!$C$2:$C$579, "Kona")</f>
        <v>5</v>
      </c>
      <c r="BE23" s="14">
        <f>countifs('9B'!$Y$2:$Y$579, BE$1, '9B'!$C$2:$C$579, "Kona")</f>
        <v>5</v>
      </c>
      <c r="BF23" s="14">
        <f>countifs('9B'!$Y$2:$Y$579, BF$1, '9B'!$C$2:$C$579, "Kona")</f>
        <v>2</v>
      </c>
      <c r="BG23" s="14">
        <f>countifs('9B'!$Y$2:$Y$579, BG$1, '9B'!$C$2:$C$579, "Kona")</f>
        <v>3</v>
      </c>
      <c r="BH23" s="14">
        <f>countifs('9B'!$Y$2:$Y$579, BH$1, '9B'!$C$2:$C$579, "Kona")</f>
        <v>11</v>
      </c>
      <c r="BI23" s="14">
        <f>countifs('9B'!$Y$2:$Y$579, BI$1, '9B'!$C$2:$C$579, "Kona")</f>
        <v>28</v>
      </c>
      <c r="BJ23" s="9">
        <v>22.0</v>
      </c>
      <c r="BK23" s="9">
        <v>79.0</v>
      </c>
      <c r="BL23" s="7">
        <f>IFERROR(__xludf.DUMMYFUNCTION("AVERAGE.WEIGHTED($AV$1:$BB$1,AV23:BB23)"),3.0)</f>
        <v>3</v>
      </c>
      <c r="BM23" s="7">
        <f>IFERROR(__xludf.DUMMYFUNCTION("AVERAGE.WEIGHTED($BC$1:$BI$1,BC23:BI23)"),4.2405063291139244)</f>
        <v>4.240506329</v>
      </c>
      <c r="BN23" s="7">
        <f t="shared" ref="BN23:BO23" si="72">(BL23-1)*100/6</f>
        <v>33.33333333</v>
      </c>
      <c r="BO23" s="7">
        <f t="shared" si="72"/>
        <v>54.00843882</v>
      </c>
      <c r="BP23" s="8">
        <f t="shared" si="10"/>
        <v>43.67088608</v>
      </c>
      <c r="BQ23" s="8">
        <f t="shared" si="11"/>
        <v>43.67088608</v>
      </c>
      <c r="BR23" s="8">
        <f t="shared" si="12"/>
        <v>0.02694850564</v>
      </c>
    </row>
    <row r="24">
      <c r="A24" s="3">
        <v>23.0</v>
      </c>
      <c r="B24" s="1" t="s">
        <v>51</v>
      </c>
      <c r="C24" s="6">
        <f>countif('9B'!$Z$2:$Z$664, C$1)</f>
        <v>20</v>
      </c>
      <c r="D24" s="6">
        <f>countif('9B'!$Z$2:$Z$664, D$1)</f>
        <v>7</v>
      </c>
      <c r="E24" s="6">
        <f>countif('9B'!$Z$2:$Z$664, E$1)</f>
        <v>2</v>
      </c>
      <c r="F24" s="6">
        <f>countif('9B'!$Z$2:$Z$664, F$1)</f>
        <v>6</v>
      </c>
      <c r="G24" s="6">
        <f>countif('9B'!$Z$2:$Z$664, G$1)</f>
        <v>7</v>
      </c>
      <c r="H24" s="6">
        <f>countif('9B'!$Z$2:$Z$664, H$1)</f>
        <v>22</v>
      </c>
      <c r="I24" s="6">
        <f>countif('9B'!$Z$2:$Z$664, I$1)</f>
        <v>37</v>
      </c>
      <c r="J24" s="6">
        <f t="shared" si="4"/>
        <v>101</v>
      </c>
      <c r="K24" s="7">
        <f t="shared" si="5"/>
        <v>4.851485149</v>
      </c>
      <c r="N24" s="6">
        <f>countifs('9B'!$Z$2:$Z$664, N$1, '9B'!$B$2:$B$664, "&gt;"&amp;$L$2, '9B'!$B$2:$B$664, "&lt;"&amp;$M$2)</f>
        <v>0</v>
      </c>
      <c r="O24" s="6">
        <f>countifs('9B'!$Z$2:$Z$664, O$1, '9B'!$B$2:$B$664, "&gt;"&amp;$L$2, '9B'!$B$2:$B$664, "&lt;"&amp;$M$2)</f>
        <v>0</v>
      </c>
      <c r="P24" s="6">
        <f>countifs('9B'!$Z$2:$Z$664, P$1, '9B'!$B$2:$B$664, "&gt;"&amp;$L$2, '9B'!$B$2:$B$664, "&lt;"&amp;$M$2)</f>
        <v>0</v>
      </c>
      <c r="Q24" s="6">
        <f>countifs('9B'!$Z$2:$Z$664, Q$1, '9B'!$B$2:$B$664, "&gt;"&amp;$L$2, '9B'!$B$2:$B$664, "&lt;"&amp;$M$2)</f>
        <v>0</v>
      </c>
      <c r="R24" s="6">
        <f>countifs('9B'!$Z$2:$Z$664, R$1, '9B'!$B$2:$B$664, "&gt;"&amp;$L$2, '9B'!$B$2:$B$664, "&lt;"&amp;$M$2)</f>
        <v>0</v>
      </c>
      <c r="S24" s="6">
        <f>countifs('9B'!$Z$2:$Z$664, S$1, '9B'!$B$2:$B$664, "&gt;"&amp;$L$2, '9B'!$B$2:$B$664, "&lt;"&amp;$M$2)</f>
        <v>0</v>
      </c>
      <c r="T24" s="6">
        <f>countifs('9B'!$Z$2:$Z$664, T$1, '9B'!$B$2:$B$664, "&gt;"&amp;$L$2, '9B'!$B$2:$B$664, "&lt;"&amp;$M$2)</f>
        <v>0</v>
      </c>
      <c r="U24" s="6">
        <f>countifs('9B'!$Z$2:$Z$664, U$1, '9B'!$B$2:$B$664, "&gt;"&amp;$L$3, '9B'!$B$2:$B$664, "&lt;"&amp;$M$3)</f>
        <v>0</v>
      </c>
      <c r="V24" s="6">
        <f>countifs('9B'!$Z$2:$Z$664, V$1, '9B'!$B$2:$B$664, "&gt;"&amp;$L$3, '9B'!$B$2:$B$664, "&lt;"&amp;$M$3)</f>
        <v>0</v>
      </c>
      <c r="W24" s="6">
        <f>countifs('9B'!$Z$2:$Z$664, W$1, '9B'!$B$2:$B$664, "&gt;"&amp;$L$3, '9B'!$B$2:$B$664, "&lt;"&amp;$M$3)</f>
        <v>0</v>
      </c>
      <c r="X24" s="6">
        <f>countifs('9B'!$Z$2:$Z$664, X$1, '9B'!$B$2:$B$664, "&gt;"&amp;$L$3, '9B'!$B$2:$B$664, "&lt;"&amp;$M$3)</f>
        <v>0</v>
      </c>
      <c r="Y24" s="6">
        <f>countifs('9B'!$Z$2:$Z$664, Y$1, '9B'!$B$2:$B$664, "&gt;"&amp;$L$3, '9B'!$B$2:$B$664, "&lt;"&amp;$M$3)</f>
        <v>0</v>
      </c>
      <c r="Z24" s="6">
        <f>countifs('9B'!$Z$2:$Z$664, Z$1, '9B'!$B$2:$B$664, "&gt;"&amp;$L$3, '9B'!$B$2:$B$664, "&lt;"&amp;$M$3)</f>
        <v>0</v>
      </c>
      <c r="AA24" s="6">
        <f>countifs('9B'!$Z$2:$Z$664, AA$1, '9B'!$B$2:$B$664, "&gt;"&amp;$L$3, '9B'!$B$2:$B$664, "&lt;"&amp;$M$3)</f>
        <v>0</v>
      </c>
      <c r="AB24" s="6">
        <f>countifs('9B'!$Z$2:$Z$664, AB$1, '9B'!$B$2:$B$664, "&gt;"&amp;$L$4, '9B'!$B$2:$B$664, "&lt;"&amp;$M$4)</f>
        <v>0</v>
      </c>
      <c r="AC24" s="6">
        <f>countifs('9B'!$Z$2:$Z$664, AC$1, '9B'!$B$2:$B$664, "&gt;"&amp;$L$4, '9B'!$B$2:$B$664, "&lt;"&amp;$M$4)</f>
        <v>0</v>
      </c>
      <c r="AD24" s="6">
        <f>countifs('9B'!$Z$2:$Z$664, AD$1, '9B'!$B$2:$B$664, "&gt;"&amp;$L$4, '9B'!$B$2:$B$664, "&lt;"&amp;$M$4)</f>
        <v>0</v>
      </c>
      <c r="AE24" s="6">
        <f>countifs('9B'!$Z$2:$Z$664, AE$1, '9B'!$B$2:$B$664, "&gt;"&amp;$L$4, '9B'!$B$2:$B$664, "&lt;"&amp;$M$4)</f>
        <v>0</v>
      </c>
      <c r="AF24" s="6">
        <f>countifs('9B'!$Z$2:$Z$664, AF$1, '9B'!$B$2:$B$664, "&gt;"&amp;$L$4, '9B'!$B$2:$B$664, "&lt;"&amp;$M$4)</f>
        <v>0</v>
      </c>
      <c r="AG24" s="6">
        <f>countifs('9B'!$Z$2:$Z$664, AG$1, '9B'!$B$2:$B$664, "&gt;"&amp;$L$4, '9B'!$B$2:$B$664, "&lt;"&amp;$M$4)</f>
        <v>0</v>
      </c>
      <c r="AH24" s="6">
        <f>countifs('9B'!$Z$2:$Z$664, AH$1, '9B'!$B$2:$B$664, "&gt;"&amp;$L$4, '9B'!$B$2:$B$664, "&lt;"&amp;$M$4)</f>
        <v>0</v>
      </c>
      <c r="AI24" s="3">
        <v>3.0</v>
      </c>
      <c r="AJ24" s="3">
        <v>23.0</v>
      </c>
      <c r="AK24" s="3">
        <v>17.0</v>
      </c>
      <c r="AL24" s="7" t="str">
        <f>IFERROR(__xludf.DUMMYFUNCTION("AVERAGE.WEIGHTED($N$1:$T$1, N24:T24)"),"#DIV/0!")</f>
        <v>#DIV/0!</v>
      </c>
      <c r="AM24" s="7" t="str">
        <f>IFERROR(__xludf.DUMMYFUNCTION("AVERAGE.WEIGHTED($U$1:$AA$1, U24:AA24)"),"#DIV/0!")</f>
        <v>#DIV/0!</v>
      </c>
      <c r="AN24" s="13" t="str">
        <f>IFERROR(__xludf.DUMMYFUNCTION("AVERAGE.WEIGHTED($AB$1:$AH$1, AB24:AH24)"),"#DIV/0!")</f>
        <v>#DIV/0!</v>
      </c>
      <c r="AO24" s="7" t="str">
        <f t="shared" ref="AO24:AQ24" si="73">(AL24-1)*100/6</f>
        <v>#DIV/0!</v>
      </c>
      <c r="AP24" s="7" t="str">
        <f t="shared" si="73"/>
        <v>#DIV/0!</v>
      </c>
      <c r="AQ24" s="7" t="str">
        <f t="shared" si="73"/>
        <v>#DIV/0!</v>
      </c>
      <c r="AR24" s="6" t="str">
        <f t="shared" ref="AR24:AT24" si="74">Average($AO24:$AQ24)</f>
        <v>#DIV/0!</v>
      </c>
      <c r="AS24" s="6" t="str">
        <f t="shared" si="74"/>
        <v>#DIV/0!</v>
      </c>
      <c r="AT24" s="6" t="str">
        <f t="shared" si="74"/>
        <v>#DIV/0!</v>
      </c>
      <c r="AU24" s="8" t="str">
        <f t="shared" si="8"/>
        <v>#DIV/0!</v>
      </c>
      <c r="AV24" s="14">
        <f>countifs('9B'!$Z$2:$Z$579, AV$1, '9B'!$C$2:$C$579, "Karl")</f>
        <v>4</v>
      </c>
      <c r="AW24" s="14">
        <f>countifs('9B'!$Z$2:$Z$579, AW$1, '9B'!$C$2:$C$579, "Karl")</f>
        <v>1</v>
      </c>
      <c r="AX24" s="14">
        <f>countifs('9B'!$Z$2:$Z$579, AX$1, '9B'!$C$2:$C$579, "Karl")</f>
        <v>1</v>
      </c>
      <c r="AY24" s="14">
        <f>countifs('9B'!$Z$2:$Z$579, AY$1, '9B'!$C$2:$C$579, "Karl")</f>
        <v>1</v>
      </c>
      <c r="AZ24" s="14">
        <f>countifs('9B'!$Z$2:$Z$579, AZ$1, '9B'!$C$2:$C$579, "Karl")</f>
        <v>1</v>
      </c>
      <c r="BA24" s="14">
        <f>countifs('9B'!$Z$2:$Z$579, BA$1, '9B'!$C$2:$C$579, "Karl")</f>
        <v>4</v>
      </c>
      <c r="BB24" s="14">
        <f>countifs('9B'!$Z$2:$Z$579, BB$1, '9B'!$C$2:$C$579, "Karl")</f>
        <v>10</v>
      </c>
      <c r="BC24" s="14">
        <f>countifs('9B'!$Z$2:$Z$579, BC$1, '9B'!$C$2:$C$579, "Kona")</f>
        <v>16</v>
      </c>
      <c r="BD24" s="14">
        <f>countifs('9B'!$Z$2:$Z$579, BD$1, '9B'!$C$2:$C$579, "Kona")</f>
        <v>6</v>
      </c>
      <c r="BE24" s="14">
        <f>countifs('9B'!$Z$2:$Z$579, BE$1, '9B'!$C$2:$C$579, "Kona")</f>
        <v>1</v>
      </c>
      <c r="BF24" s="14">
        <f>countifs('9B'!$Z$2:$Z$579, BF$1, '9B'!$C$2:$C$579, "Kona")</f>
        <v>5</v>
      </c>
      <c r="BG24" s="14">
        <f>countifs('9B'!$Z$2:$Z$579, BG$1, '9B'!$C$2:$C$579, "Kona")</f>
        <v>6</v>
      </c>
      <c r="BH24" s="14">
        <f>countifs('9B'!$Z$2:$Z$579, BH$1, '9B'!$C$2:$C$579, "Kona")</f>
        <v>18</v>
      </c>
      <c r="BI24" s="14">
        <f>countifs('9B'!$Z$2:$Z$579, BI$1, '9B'!$C$2:$C$579, "Kona")</f>
        <v>27</v>
      </c>
      <c r="BJ24" s="9">
        <v>22.0</v>
      </c>
      <c r="BK24" s="9">
        <v>79.0</v>
      </c>
      <c r="BL24" s="7">
        <f>IFERROR(__xludf.DUMMYFUNCTION("AVERAGE.WEIGHTED($AV$1:$BB$1,AV24:BB24)"),5.090909090909091)</f>
        <v>5.090909091</v>
      </c>
      <c r="BM24" s="7">
        <f>IFERROR(__xludf.DUMMYFUNCTION("AVERAGE.WEIGHTED($BC$1:$BI$1,BC24:BI24)"),4.784810126582278)</f>
        <v>4.784810127</v>
      </c>
      <c r="BN24" s="7">
        <f t="shared" ref="BN24:BO24" si="75">(BL24-1)*100/6</f>
        <v>68.18181818</v>
      </c>
      <c r="BO24" s="7">
        <f t="shared" si="75"/>
        <v>63.08016878</v>
      </c>
      <c r="BP24" s="8">
        <f t="shared" si="10"/>
        <v>65.63099348</v>
      </c>
      <c r="BQ24" s="8">
        <f t="shared" si="11"/>
        <v>65.63099348</v>
      </c>
      <c r="BR24" s="8">
        <f t="shared" si="12"/>
        <v>0.6561115415</v>
      </c>
    </row>
    <row r="25">
      <c r="A25" s="3">
        <v>24.0</v>
      </c>
      <c r="B25" s="1" t="s">
        <v>52</v>
      </c>
      <c r="C25" s="6">
        <f>countif('9B'!$AA$2:$AA$664, C$1)</f>
        <v>1</v>
      </c>
      <c r="D25" s="6">
        <f>countif('9B'!$AA$2:$AA$664, D$1)</f>
        <v>1</v>
      </c>
      <c r="E25" s="6">
        <f>countif('9B'!$AA$2:$AA$664, E$1)</f>
        <v>1</v>
      </c>
      <c r="F25" s="6">
        <f>countif('9B'!$AA$2:$AA$664, F$1)</f>
        <v>1</v>
      </c>
      <c r="G25" s="6">
        <f>countif('9B'!$AA$2:$AA$664, G$1)</f>
        <v>11</v>
      </c>
      <c r="H25" s="6">
        <f>countif('9B'!$AA$2:$AA$664, H$1)</f>
        <v>18</v>
      </c>
      <c r="I25" s="6">
        <f>countif('9B'!$AA$2:$AA$664, I$1)</f>
        <v>68</v>
      </c>
      <c r="J25" s="6">
        <f t="shared" si="4"/>
        <v>101</v>
      </c>
      <c r="K25" s="7">
        <f t="shared" si="5"/>
        <v>6.425742574</v>
      </c>
      <c r="N25" s="6">
        <f>countifs('9B'!$AA$2:$AA$664, N$1, '9B'!$B$2:$B$664, "&gt;"&amp;$L$2, '9B'!$B$2:$B$664, "&lt;"&amp;$M$2)</f>
        <v>0</v>
      </c>
      <c r="O25" s="6">
        <f>countifs('9B'!$AA$2:$AA$664, O$1, '9B'!$B$2:$B$664, "&gt;"&amp;$L$2, '9B'!$B$2:$B$664, "&lt;"&amp;$M$2)</f>
        <v>0</v>
      </c>
      <c r="P25" s="6">
        <f>countifs('9B'!$AA$2:$AA$664, P$1, '9B'!$B$2:$B$664, "&gt;"&amp;$L$2, '9B'!$B$2:$B$664, "&lt;"&amp;$M$2)</f>
        <v>0</v>
      </c>
      <c r="Q25" s="6">
        <f>countifs('9B'!$AA$2:$AA$664, Q$1, '9B'!$B$2:$B$664, "&gt;"&amp;$L$2, '9B'!$B$2:$B$664, "&lt;"&amp;$M$2)</f>
        <v>0</v>
      </c>
      <c r="R25" s="6">
        <f>countifs('9B'!$AA$2:$AA$664, R$1, '9B'!$B$2:$B$664, "&gt;"&amp;$L$2, '9B'!$B$2:$B$664, "&lt;"&amp;$M$2)</f>
        <v>0</v>
      </c>
      <c r="S25" s="6">
        <f>countifs('9B'!$AA$2:$AA$664, S$1, '9B'!$B$2:$B$664, "&gt;"&amp;$L$2, '9B'!$B$2:$B$664, "&lt;"&amp;$M$2)</f>
        <v>0</v>
      </c>
      <c r="T25" s="6">
        <f>countifs('9B'!$AA$2:$AA$664, T$1, '9B'!$B$2:$B$664, "&gt;"&amp;$L$2, '9B'!$B$2:$B$664, "&lt;"&amp;$M$2)</f>
        <v>0</v>
      </c>
      <c r="U25" s="6">
        <f>countifs('9B'!$AA$2:$AA$664, U$1, '9B'!$B$2:$B$664, "&gt;"&amp;$L$3, '9B'!$B$2:$B$664, "&lt;"&amp;$M$3)</f>
        <v>0</v>
      </c>
      <c r="V25" s="6">
        <f>countifs('9B'!$AA$2:$AA$664, V$1, '9B'!$B$2:$B$664, "&gt;"&amp;$L$3, '9B'!$B$2:$B$664, "&lt;"&amp;$M$3)</f>
        <v>0</v>
      </c>
      <c r="W25" s="6">
        <f>countifs('9B'!$AA$2:$AA$664, W$1, '9B'!$B$2:$B$664, "&gt;"&amp;$L$3, '9B'!$B$2:$B$664, "&lt;"&amp;$M$3)</f>
        <v>0</v>
      </c>
      <c r="X25" s="6">
        <f>countifs('9B'!$AA$2:$AA$664, X$1, '9B'!$B$2:$B$664, "&gt;"&amp;$L$3, '9B'!$B$2:$B$664, "&lt;"&amp;$M$3)</f>
        <v>0</v>
      </c>
      <c r="Y25" s="6">
        <f>countifs('9B'!$AA$2:$AA$664, Y$1, '9B'!$B$2:$B$664, "&gt;"&amp;$L$3, '9B'!$B$2:$B$664, "&lt;"&amp;$M$3)</f>
        <v>0</v>
      </c>
      <c r="Z25" s="6">
        <f>countifs('9B'!$AA$2:$AA$664, Z$1, '9B'!$B$2:$B$664, "&gt;"&amp;$L$3, '9B'!$B$2:$B$664, "&lt;"&amp;$M$3)</f>
        <v>0</v>
      </c>
      <c r="AA25" s="6">
        <f>countifs('9B'!$AA$2:$AA$664, AA$1, '9B'!$B$2:$B$664, "&gt;"&amp;$L$3, '9B'!$B$2:$B$664, "&lt;"&amp;$M$3)</f>
        <v>0</v>
      </c>
      <c r="AB25" s="6">
        <f>countifs('9B'!$AA$2:$AA$664, AB$1, '9B'!$B$2:$B$664, "&gt;"&amp;$L$4, '9B'!$B$2:$B$664, "&lt;"&amp;$M$4)</f>
        <v>0</v>
      </c>
      <c r="AC25" s="6">
        <f>countifs('9B'!$AA$2:$AA$664, AC$1, '9B'!$B$2:$B$664, "&gt;"&amp;$L$4, '9B'!$B$2:$B$664, "&lt;"&amp;$M$4)</f>
        <v>0</v>
      </c>
      <c r="AD25" s="6">
        <f>countifs('9B'!$AA$2:$AA$664, AD$1, '9B'!$B$2:$B$664, "&gt;"&amp;$L$4, '9B'!$B$2:$B$664, "&lt;"&amp;$M$4)</f>
        <v>0</v>
      </c>
      <c r="AE25" s="6">
        <f>countifs('9B'!$AA$2:$AA$664, AE$1, '9B'!$B$2:$B$664, "&gt;"&amp;$L$4, '9B'!$B$2:$B$664, "&lt;"&amp;$M$4)</f>
        <v>0</v>
      </c>
      <c r="AF25" s="6">
        <f>countifs('9B'!$AA$2:$AA$664, AF$1, '9B'!$B$2:$B$664, "&gt;"&amp;$L$4, '9B'!$B$2:$B$664, "&lt;"&amp;$M$4)</f>
        <v>0</v>
      </c>
      <c r="AG25" s="6">
        <f>countifs('9B'!$AA$2:$AA$664, AG$1, '9B'!$B$2:$B$664, "&gt;"&amp;$L$4, '9B'!$B$2:$B$664, "&lt;"&amp;$M$4)</f>
        <v>0</v>
      </c>
      <c r="AH25" s="6">
        <f>countifs('9B'!$AA$2:$AA$664, AH$1, '9B'!$B$2:$B$664, "&gt;"&amp;$L$4, '9B'!$B$2:$B$664, "&lt;"&amp;$M$4)</f>
        <v>0</v>
      </c>
      <c r="AI25" s="3">
        <v>3.0</v>
      </c>
      <c r="AJ25" s="3">
        <v>23.0</v>
      </c>
      <c r="AK25" s="3">
        <v>17.0</v>
      </c>
      <c r="AL25" s="7" t="str">
        <f>IFERROR(__xludf.DUMMYFUNCTION("AVERAGE.WEIGHTED($N$1:$T$1, N25:T25)"),"#DIV/0!")</f>
        <v>#DIV/0!</v>
      </c>
      <c r="AM25" s="7" t="str">
        <f>IFERROR(__xludf.DUMMYFUNCTION("AVERAGE.WEIGHTED($U$1:$AA$1, U25:AA25)"),"#DIV/0!")</f>
        <v>#DIV/0!</v>
      </c>
      <c r="AN25" s="13" t="str">
        <f>IFERROR(__xludf.DUMMYFUNCTION("AVERAGE.WEIGHTED($AB$1:$AH$1, AB25:AH25)"),"#DIV/0!")</f>
        <v>#DIV/0!</v>
      </c>
      <c r="AO25" s="7" t="str">
        <f t="shared" ref="AO25:AQ25" si="76">(AL25-1)*100/6</f>
        <v>#DIV/0!</v>
      </c>
      <c r="AP25" s="7" t="str">
        <f t="shared" si="76"/>
        <v>#DIV/0!</v>
      </c>
      <c r="AQ25" s="7" t="str">
        <f t="shared" si="76"/>
        <v>#DIV/0!</v>
      </c>
      <c r="AR25" s="6" t="str">
        <f t="shared" ref="AR25:AT25" si="77">Average($AO25:$AQ25)</f>
        <v>#DIV/0!</v>
      </c>
      <c r="AS25" s="6" t="str">
        <f t="shared" si="77"/>
        <v>#DIV/0!</v>
      </c>
      <c r="AT25" s="6" t="str">
        <f t="shared" si="77"/>
        <v>#DIV/0!</v>
      </c>
      <c r="AU25" s="8" t="str">
        <f t="shared" si="8"/>
        <v>#DIV/0!</v>
      </c>
      <c r="AV25" s="14">
        <f>countifs('9B'!$AA$2:$AA$579, AV$1, '9B'!$C$2:$C$579, "Karl")</f>
        <v>1</v>
      </c>
      <c r="AW25" s="14">
        <f>countifs('9B'!$AA$2:$AA$579, AW$1, '9B'!$C$2:$C$579, "Karl")</f>
        <v>0</v>
      </c>
      <c r="AX25" s="14">
        <f>countifs('9B'!$AA$2:$AA$579, AX$1, '9B'!$C$2:$C$579, "Karl")</f>
        <v>0</v>
      </c>
      <c r="AY25" s="14">
        <f>countifs('9B'!$AA$2:$AA$579, AY$1, '9B'!$C$2:$C$579, "Karl")</f>
        <v>0</v>
      </c>
      <c r="AZ25" s="14">
        <f>countifs('9B'!$AA$2:$AA$579, AZ$1, '9B'!$C$2:$C$579, "Karl")</f>
        <v>2</v>
      </c>
      <c r="BA25" s="14">
        <f>countifs('9B'!$AA$2:$AA$579, BA$1, '9B'!$C$2:$C$579, "Karl")</f>
        <v>3</v>
      </c>
      <c r="BB25" s="14">
        <f>countifs('9B'!$AA$2:$AA$579, BB$1, '9B'!$C$2:$C$579, "Karl")</f>
        <v>16</v>
      </c>
      <c r="BC25" s="14">
        <f>countifs('9B'!$AA$2:$AA$579, BC$1, '9B'!$C$2:$C$579, "Kona")</f>
        <v>0</v>
      </c>
      <c r="BD25" s="14">
        <f>countifs('9B'!$AA$2:$AA$579, BD$1, '9B'!$C$2:$C$579, "Kona")</f>
        <v>1</v>
      </c>
      <c r="BE25" s="14">
        <f>countifs('9B'!$AA$2:$AA$579, BE$1, '9B'!$C$2:$C$579, "Kona")</f>
        <v>1</v>
      </c>
      <c r="BF25" s="14">
        <f>countifs('9B'!$AA$2:$AA$579, BF$1, '9B'!$C$2:$C$579, "Kona")</f>
        <v>1</v>
      </c>
      <c r="BG25" s="14">
        <f>countifs('9B'!$AA$2:$AA$579, BG$1, '9B'!$C$2:$C$579, "Kona")</f>
        <v>9</v>
      </c>
      <c r="BH25" s="14">
        <f>countifs('9B'!$AA$2:$AA$579, BH$1, '9B'!$C$2:$C$579, "Kona")</f>
        <v>15</v>
      </c>
      <c r="BI25" s="14">
        <f>countifs('9B'!$AA$2:$AA$579, BI$1, '9B'!$C$2:$C$579, "Kona")</f>
        <v>52</v>
      </c>
      <c r="BJ25" s="9">
        <v>22.0</v>
      </c>
      <c r="BK25" s="9">
        <v>79.0</v>
      </c>
      <c r="BL25" s="7">
        <f>IFERROR(__xludf.DUMMYFUNCTION("AVERAGE.WEIGHTED($AV$1:$BB$1,AV25:BB25)"),6.409090909090909)</f>
        <v>6.409090909</v>
      </c>
      <c r="BM25" s="7">
        <f>IFERROR(__xludf.DUMMYFUNCTION("AVERAGE.WEIGHTED($BC$1:$BI$1,BC25:BI25)"),6.430379746835443)</f>
        <v>6.430379747</v>
      </c>
      <c r="BN25" s="7">
        <f t="shared" ref="BN25:BO25" si="78">(BL25-1)*100/6</f>
        <v>90.15151515</v>
      </c>
      <c r="BO25" s="7">
        <f t="shared" si="78"/>
        <v>90.50632911</v>
      </c>
      <c r="BP25" s="8">
        <f t="shared" si="10"/>
        <v>90.32892213</v>
      </c>
      <c r="BQ25" s="8">
        <f t="shared" si="11"/>
        <v>90.32892213</v>
      </c>
      <c r="BR25" s="8">
        <f t="shared" si="12"/>
        <v>0.978939828</v>
      </c>
    </row>
    <row r="26">
      <c r="A26" s="3">
        <v>25.0</v>
      </c>
      <c r="B26" s="1" t="s">
        <v>53</v>
      </c>
      <c r="C26" s="6">
        <f>countif('9B'!$AB$2:$AB$664, C$1)</f>
        <v>14</v>
      </c>
      <c r="D26" s="6">
        <f>countif('9B'!$AB$2:$AB$664, D$1)</f>
        <v>3</v>
      </c>
      <c r="E26" s="6">
        <f>countif('9B'!$AB$2:$AB$664, E$1)</f>
        <v>6</v>
      </c>
      <c r="F26" s="6">
        <f>countif('9B'!$AB$2:$AB$664, F$1)</f>
        <v>2</v>
      </c>
      <c r="G26" s="6">
        <f>countif('9B'!$AB$2:$AB$664, G$1)</f>
        <v>10</v>
      </c>
      <c r="H26" s="6">
        <f>countif('9B'!$AB$2:$AB$664, H$1)</f>
        <v>21</v>
      </c>
      <c r="I26" s="6">
        <f>countif('9B'!$AB$2:$AB$664, I$1)</f>
        <v>45</v>
      </c>
      <c r="J26" s="6">
        <f t="shared" si="4"/>
        <v>101</v>
      </c>
      <c r="K26" s="7">
        <f t="shared" si="5"/>
        <v>5.316831683</v>
      </c>
      <c r="N26" s="6">
        <f>countifs('9B'!$AB$2:$AB$664, N$1, '9B'!$B$2:$B$664, "&gt;"&amp;$L$2, '9B'!$B$2:$B$664, "&lt;"&amp;$M$2)</f>
        <v>0</v>
      </c>
      <c r="O26" s="6">
        <f>countifs('9B'!$AB$2:$AB$664, O$1, '9B'!$B$2:$B$664, "&gt;"&amp;$L$2, '9B'!$B$2:$B$664, "&lt;"&amp;$M$2)</f>
        <v>0</v>
      </c>
      <c r="P26" s="6">
        <f>countifs('9B'!$AB$2:$AB$664, P$1, '9B'!$B$2:$B$664, "&gt;"&amp;$L$2, '9B'!$B$2:$B$664, "&lt;"&amp;$M$2)</f>
        <v>0</v>
      </c>
      <c r="Q26" s="6">
        <f>countifs('9B'!$AB$2:$AB$664, Q$1, '9B'!$B$2:$B$664, "&gt;"&amp;$L$2, '9B'!$B$2:$B$664, "&lt;"&amp;$M$2)</f>
        <v>0</v>
      </c>
      <c r="R26" s="6">
        <f>countifs('9B'!$AB$2:$AB$664, R$1, '9B'!$B$2:$B$664, "&gt;"&amp;$L$2, '9B'!$B$2:$B$664, "&lt;"&amp;$M$2)</f>
        <v>0</v>
      </c>
      <c r="S26" s="6">
        <f>countifs('9B'!$AB$2:$AB$664, S$1, '9B'!$B$2:$B$664, "&gt;"&amp;$L$2, '9B'!$B$2:$B$664, "&lt;"&amp;$M$2)</f>
        <v>0</v>
      </c>
      <c r="T26" s="6">
        <f>countifs('9B'!$AB$2:$AB$664, T$1, '9B'!$B$2:$B$664, "&gt;"&amp;$L$2, '9B'!$B$2:$B$664, "&lt;"&amp;$M$2)</f>
        <v>0</v>
      </c>
      <c r="U26" s="6">
        <f>countifs('9B'!$AB$2:$AB$664, U$1, '9B'!$B$2:$B$664, "&gt;"&amp;$L$3, '9B'!$B$2:$B$664, "&lt;"&amp;$M$3)</f>
        <v>0</v>
      </c>
      <c r="V26" s="6">
        <f>countifs('9B'!$AB$2:$AB$664, V$1, '9B'!$B$2:$B$664, "&gt;"&amp;$L$3, '9B'!$B$2:$B$664, "&lt;"&amp;$M$3)</f>
        <v>0</v>
      </c>
      <c r="W26" s="6">
        <f>countifs('9B'!$AB$2:$AB$664, W$1, '9B'!$B$2:$B$664, "&gt;"&amp;$L$3, '9B'!$B$2:$B$664, "&lt;"&amp;$M$3)</f>
        <v>0</v>
      </c>
      <c r="X26" s="6">
        <f>countifs('9B'!$AB$2:$AB$664, X$1, '9B'!$B$2:$B$664, "&gt;"&amp;$L$3, '9B'!$B$2:$B$664, "&lt;"&amp;$M$3)</f>
        <v>0</v>
      </c>
      <c r="Y26" s="6">
        <f>countifs('9B'!$AB$2:$AB$664, Y$1, '9B'!$B$2:$B$664, "&gt;"&amp;$L$3, '9B'!$B$2:$B$664, "&lt;"&amp;$M$3)</f>
        <v>0</v>
      </c>
      <c r="Z26" s="6">
        <f>countifs('9B'!$AB$2:$AB$664, Z$1, '9B'!$B$2:$B$664, "&gt;"&amp;$L$3, '9B'!$B$2:$B$664, "&lt;"&amp;$M$3)</f>
        <v>0</v>
      </c>
      <c r="AA26" s="6">
        <f>countifs('9B'!$AB$2:$AB$664, AA$1, '9B'!$B$2:$B$664, "&gt;"&amp;$L$3, '9B'!$B$2:$B$664, "&lt;"&amp;$M$3)</f>
        <v>0</v>
      </c>
      <c r="AB26" s="6">
        <f>countifs('9B'!$AB$2:$AB$664, AB$1, '9B'!$B$2:$B$664, "&gt;"&amp;$L$4, '9B'!$B$2:$B$664, "&lt;"&amp;$M$4)</f>
        <v>0</v>
      </c>
      <c r="AC26" s="6">
        <f>countifs('9B'!$AB$2:$AB$664, AC$1, '9B'!$B$2:$B$664, "&gt;"&amp;$L$4, '9B'!$B$2:$B$664, "&lt;"&amp;$M$4)</f>
        <v>0</v>
      </c>
      <c r="AD26" s="6">
        <f>countifs('9B'!$AB$2:$AB$664, AD$1, '9B'!$B$2:$B$664, "&gt;"&amp;$L$4, '9B'!$B$2:$B$664, "&lt;"&amp;$M$4)</f>
        <v>0</v>
      </c>
      <c r="AE26" s="6">
        <f>countifs('9B'!$AB$2:$AB$664, AE$1, '9B'!$B$2:$B$664, "&gt;"&amp;$L$4, '9B'!$B$2:$B$664, "&lt;"&amp;$M$4)</f>
        <v>0</v>
      </c>
      <c r="AF26" s="6">
        <f>countifs('9B'!$AB$2:$AB$664, AF$1, '9B'!$B$2:$B$664, "&gt;"&amp;$L$4, '9B'!$B$2:$B$664, "&lt;"&amp;$M$4)</f>
        <v>0</v>
      </c>
      <c r="AG26" s="6">
        <f>countifs('9B'!$AB$2:$AB$664, AG$1, '9B'!$B$2:$B$664, "&gt;"&amp;$L$4, '9B'!$B$2:$B$664, "&lt;"&amp;$M$4)</f>
        <v>0</v>
      </c>
      <c r="AH26" s="6">
        <f>countifs('9B'!$AB$2:$AB$664, AH$1, '9B'!$B$2:$B$664, "&gt;"&amp;$L$4, '9B'!$B$2:$B$664, "&lt;"&amp;$M$4)</f>
        <v>0</v>
      </c>
      <c r="AI26" s="3">
        <v>3.0</v>
      </c>
      <c r="AJ26" s="3">
        <v>23.0</v>
      </c>
      <c r="AK26" s="3">
        <v>17.0</v>
      </c>
      <c r="AL26" s="7" t="str">
        <f>IFERROR(__xludf.DUMMYFUNCTION("AVERAGE.WEIGHTED($N$1:$T$1, N26:T26)"),"#DIV/0!")</f>
        <v>#DIV/0!</v>
      </c>
      <c r="AM26" s="7" t="str">
        <f>IFERROR(__xludf.DUMMYFUNCTION("AVERAGE.WEIGHTED($U$1:$AA$1, U26:AA26)"),"#DIV/0!")</f>
        <v>#DIV/0!</v>
      </c>
      <c r="AN26" s="13" t="str">
        <f>IFERROR(__xludf.DUMMYFUNCTION("AVERAGE.WEIGHTED($AB$1:$AH$1, AB26:AH26)"),"#DIV/0!")</f>
        <v>#DIV/0!</v>
      </c>
      <c r="AO26" s="7" t="str">
        <f t="shared" ref="AO26:AQ26" si="79">(AL26-1)*100/6</f>
        <v>#DIV/0!</v>
      </c>
      <c r="AP26" s="7" t="str">
        <f t="shared" si="79"/>
        <v>#DIV/0!</v>
      </c>
      <c r="AQ26" s="7" t="str">
        <f t="shared" si="79"/>
        <v>#DIV/0!</v>
      </c>
      <c r="AR26" s="6" t="str">
        <f t="shared" ref="AR26:AT26" si="80">Average($AO26:$AQ26)</f>
        <v>#DIV/0!</v>
      </c>
      <c r="AS26" s="6" t="str">
        <f t="shared" si="80"/>
        <v>#DIV/0!</v>
      </c>
      <c r="AT26" s="6" t="str">
        <f t="shared" si="80"/>
        <v>#DIV/0!</v>
      </c>
      <c r="AU26" s="8" t="str">
        <f t="shared" si="8"/>
        <v>#DIV/0!</v>
      </c>
      <c r="AV26" s="14">
        <f>countifs('9B'!$AB$2:$AB$579, AV$1, '9B'!$C$2:$C$579, "Karl")</f>
        <v>1</v>
      </c>
      <c r="AW26" s="14">
        <f>countifs('9B'!$AB$2:$AB$579, AW$1, '9B'!$C$2:$C$579, "Karl")</f>
        <v>0</v>
      </c>
      <c r="AX26" s="14">
        <f>countifs('9B'!$AB$2:$AB$579, AX$1, '9B'!$C$2:$C$579, "Karl")</f>
        <v>0</v>
      </c>
      <c r="AY26" s="14">
        <f>countifs('9B'!$AB$2:$AB$579, AY$1, '9B'!$C$2:$C$579, "Karl")</f>
        <v>0</v>
      </c>
      <c r="AZ26" s="14">
        <f>countifs('9B'!$AB$2:$AB$579, AZ$1, '9B'!$C$2:$C$579, "Karl")</f>
        <v>3</v>
      </c>
      <c r="BA26" s="14">
        <f>countifs('9B'!$AB$2:$AB$579, BA$1, '9B'!$C$2:$C$579, "Karl")</f>
        <v>6</v>
      </c>
      <c r="BB26" s="14">
        <f>countifs('9B'!$AB$2:$AB$579, BB$1, '9B'!$C$2:$C$579, "Karl")</f>
        <v>12</v>
      </c>
      <c r="BC26" s="14">
        <f>countifs('9B'!$AB$2:$AB$579, BC$1, '9B'!$C$2:$C$579, "Kona")</f>
        <v>13</v>
      </c>
      <c r="BD26" s="14">
        <f>countifs('9B'!$AB$2:$AB$579, BD$1, '9B'!$C$2:$C$579, "Kona")</f>
        <v>3</v>
      </c>
      <c r="BE26" s="14">
        <f>countifs('9B'!$AB$2:$AB$579, BE$1, '9B'!$C$2:$C$579, "Kona")</f>
        <v>6</v>
      </c>
      <c r="BF26" s="14">
        <f>countifs('9B'!$AB$2:$AB$579, BF$1, '9B'!$C$2:$C$579, "Kona")</f>
        <v>2</v>
      </c>
      <c r="BG26" s="14">
        <f>countifs('9B'!$AB$2:$AB$579, BG$1, '9B'!$C$2:$C$579, "Kona")</f>
        <v>7</v>
      </c>
      <c r="BH26" s="14">
        <f>countifs('9B'!$AB$2:$AB$579, BH$1, '9B'!$C$2:$C$579, "Kona")</f>
        <v>15</v>
      </c>
      <c r="BI26" s="14">
        <f>countifs('9B'!$AB$2:$AB$579, BI$1, '9B'!$C$2:$C$579, "Kona")</f>
        <v>33</v>
      </c>
      <c r="BJ26" s="9">
        <v>22.0</v>
      </c>
      <c r="BK26" s="9">
        <v>79.0</v>
      </c>
      <c r="BL26" s="7">
        <f>IFERROR(__xludf.DUMMYFUNCTION("AVERAGE.WEIGHTED($AV$1:$BB$1,AV26:BB26)"),6.181818181818182)</f>
        <v>6.181818182</v>
      </c>
      <c r="BM26" s="7">
        <f>IFERROR(__xludf.DUMMYFUNCTION("AVERAGE.WEIGHTED($BC$1:$BI$1,BC26:BI26)"),5.075949367088608)</f>
        <v>5.075949367</v>
      </c>
      <c r="BN26" s="7">
        <f t="shared" ref="BN26:BO26" si="81">(BL26-1)*100/6</f>
        <v>86.36363636</v>
      </c>
      <c r="BO26" s="7">
        <f t="shared" si="81"/>
        <v>67.93248945</v>
      </c>
      <c r="BP26" s="8">
        <f t="shared" si="10"/>
        <v>77.14806291</v>
      </c>
      <c r="BQ26" s="8">
        <f t="shared" si="11"/>
        <v>77.14806291</v>
      </c>
      <c r="BR26" s="8">
        <f t="shared" si="12"/>
        <v>0.1378624556</v>
      </c>
    </row>
    <row r="27">
      <c r="A27" s="3"/>
      <c r="K27" s="7"/>
      <c r="AL27" s="7"/>
      <c r="AM27" s="7"/>
      <c r="AN27" s="13"/>
      <c r="AU27" s="8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8"/>
      <c r="BP27" s="8"/>
      <c r="BQ27" s="8"/>
      <c r="BR27" s="8"/>
    </row>
    <row r="28">
      <c r="K28" s="7"/>
      <c r="AL28" s="7"/>
      <c r="AM28" s="7"/>
      <c r="AN28" s="13"/>
      <c r="AU28" s="8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8"/>
      <c r="BP28" s="8"/>
      <c r="BQ28" s="8"/>
      <c r="BR28" s="8"/>
    </row>
    <row r="29">
      <c r="K29" s="7"/>
      <c r="AL29" s="7"/>
      <c r="AM29" s="7"/>
      <c r="AN29" s="13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</row>
    <row r="30">
      <c r="A30" s="3"/>
      <c r="K30" s="7"/>
      <c r="AL30" s="7"/>
      <c r="AM30" s="7"/>
      <c r="AN30" s="13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</row>
    <row r="31">
      <c r="K31" s="7"/>
      <c r="AL31" s="7"/>
      <c r="AM31" s="7"/>
      <c r="AN31" s="13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</row>
    <row r="32">
      <c r="K32" s="7"/>
      <c r="AL32" s="7"/>
      <c r="AM32" s="7"/>
      <c r="AN32" s="13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</row>
    <row r="33">
      <c r="A33" s="3"/>
      <c r="K33" s="7"/>
      <c r="AL33" s="7"/>
      <c r="AM33" s="7"/>
      <c r="AN33" s="13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</row>
    <row r="34">
      <c r="K34" s="7"/>
      <c r="AL34" s="7"/>
      <c r="AM34" s="7"/>
      <c r="AN34" s="13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</row>
    <row r="35">
      <c r="K35" s="7"/>
      <c r="AL35" s="7"/>
      <c r="AM35" s="7"/>
      <c r="AN35" s="13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</row>
    <row r="36">
      <c r="A36" s="3"/>
      <c r="K36" s="7"/>
      <c r="AL36" s="7"/>
      <c r="AM36" s="7"/>
      <c r="AN36" s="13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</row>
    <row r="37">
      <c r="K37" s="7"/>
      <c r="AL37" s="7"/>
      <c r="AM37" s="7"/>
      <c r="AN37" s="13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</row>
    <row r="38">
      <c r="K38" s="7"/>
      <c r="AL38" s="7"/>
      <c r="AM38" s="7"/>
      <c r="AN38" s="13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</row>
    <row r="39">
      <c r="A39" s="3"/>
      <c r="K39" s="7"/>
      <c r="AL39" s="7"/>
      <c r="AM39" s="7"/>
      <c r="AN39" s="13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</row>
    <row r="40">
      <c r="K40" s="7"/>
      <c r="AL40" s="7"/>
      <c r="AM40" s="7"/>
      <c r="AN40" s="13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</row>
    <row r="41">
      <c r="K41" s="7"/>
      <c r="AL41" s="7"/>
      <c r="AM41" s="7"/>
      <c r="AN41" s="13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</row>
    <row r="42">
      <c r="A42" s="3"/>
      <c r="K42" s="7"/>
      <c r="AL42" s="7"/>
      <c r="AM42" s="7"/>
      <c r="AN42" s="13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</row>
    <row r="43">
      <c r="K43" s="7"/>
      <c r="AL43" s="7"/>
      <c r="AM43" s="7"/>
      <c r="AN43" s="13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</row>
    <row r="44">
      <c r="K44" s="7"/>
      <c r="AL44" s="7"/>
      <c r="AM44" s="7"/>
      <c r="AN44" s="13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</row>
    <row r="45">
      <c r="A45" s="3"/>
      <c r="K45" s="7"/>
      <c r="AL45" s="7"/>
      <c r="AM45" s="7"/>
      <c r="AN45" s="13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</row>
    <row r="46">
      <c r="K46" s="7"/>
      <c r="AL46" s="7"/>
      <c r="AM46" s="7"/>
      <c r="AN46" s="13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</row>
    <row r="47">
      <c r="K47" s="7"/>
      <c r="AL47" s="7"/>
      <c r="AM47" s="7"/>
      <c r="AN47" s="13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</row>
    <row r="48">
      <c r="A48" s="3"/>
      <c r="K48" s="7"/>
      <c r="AL48" s="7"/>
      <c r="AM48" s="7"/>
      <c r="AN48" s="13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</row>
    <row r="49">
      <c r="K49" s="7"/>
      <c r="AL49" s="7"/>
      <c r="AM49" s="7"/>
      <c r="AN49" s="13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</row>
    <row r="50">
      <c r="K50" s="7"/>
      <c r="AL50" s="7"/>
      <c r="AM50" s="7"/>
      <c r="AN50" s="13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</row>
    <row r="51">
      <c r="A51" s="3"/>
      <c r="K51" s="7"/>
      <c r="AL51" s="7"/>
      <c r="AM51" s="7"/>
      <c r="AN51" s="13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</row>
    <row r="52"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</row>
    <row r="53"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</row>
    <row r="54"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</row>
    <row r="55"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</row>
    <row r="56"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</row>
    <row r="57"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</row>
    <row r="58"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</row>
    <row r="59"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</row>
    <row r="60"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</row>
    <row r="61"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</row>
    <row r="62"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</row>
    <row r="63"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</row>
    <row r="64"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</row>
    <row r="65"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</row>
    <row r="66"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</row>
    <row r="67"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</row>
    <row r="68"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</row>
    <row r="69"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</row>
    <row r="70"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</row>
    <row r="71"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</row>
    <row r="72"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</row>
    <row r="73"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</row>
    <row r="74"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</row>
    <row r="75"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</row>
    <row r="76"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</row>
    <row r="77"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</row>
    <row r="78"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</row>
    <row r="79"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</row>
    <row r="80"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</row>
    <row r="81"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</row>
    <row r="82"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</row>
    <row r="83"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</row>
    <row r="84"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</row>
    <row r="85"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</row>
    <row r="86"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</row>
    <row r="87"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</row>
    <row r="88"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</row>
    <row r="89"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</row>
    <row r="90"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</row>
    <row r="91"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</row>
    <row r="92"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</row>
    <row r="93"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</row>
    <row r="94"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</row>
    <row r="95"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</row>
    <row r="96"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</row>
    <row r="97"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</row>
    <row r="98"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</row>
    <row r="99"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</row>
    <row r="100"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</row>
    <row r="101"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</row>
    <row r="102"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</row>
    <row r="103"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</row>
    <row r="104"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</row>
    <row r="105"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</row>
    <row r="106"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</row>
    <row r="107"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</row>
    <row r="108"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</row>
    <row r="109"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</row>
    <row r="110"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</row>
    <row r="111"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</row>
    <row r="112"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</row>
    <row r="113"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</row>
    <row r="114"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</row>
    <row r="115"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</row>
    <row r="116"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</row>
    <row r="117"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</row>
    <row r="118"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</row>
    <row r="119"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</row>
    <row r="120"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</row>
    <row r="121"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</row>
    <row r="122"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</row>
    <row r="123"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</row>
    <row r="124"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</row>
    <row r="125"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</row>
    <row r="126"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</row>
    <row r="127"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</row>
    <row r="128"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</row>
    <row r="129"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</row>
    <row r="130"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</row>
    <row r="131"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</row>
    <row r="132"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</row>
    <row r="133"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</row>
    <row r="134"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</row>
    <row r="135"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</row>
    <row r="136"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</row>
    <row r="137"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</row>
    <row r="138"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</row>
    <row r="139"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</row>
    <row r="140"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</row>
    <row r="141"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</row>
    <row r="142"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</row>
    <row r="143"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</row>
    <row r="144"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</row>
    <row r="145"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</row>
    <row r="146"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</row>
    <row r="147"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</row>
    <row r="148"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</row>
    <row r="149"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</row>
    <row r="150"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</row>
    <row r="151"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</row>
    <row r="152"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</row>
    <row r="153"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</row>
    <row r="154"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</row>
    <row r="155"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</row>
    <row r="156"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</row>
    <row r="157"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</row>
    <row r="158"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</row>
    <row r="159"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</row>
    <row r="160"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</row>
    <row r="161"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</row>
    <row r="162"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</row>
    <row r="163"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</row>
    <row r="164"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</row>
    <row r="165"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</row>
    <row r="166"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</row>
    <row r="167"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</row>
    <row r="168"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</row>
    <row r="169"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</row>
    <row r="170"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</row>
    <row r="171"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</row>
    <row r="172"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</row>
    <row r="173"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</row>
    <row r="174"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</row>
    <row r="175"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</row>
    <row r="176"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</row>
    <row r="177"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</row>
    <row r="178"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</row>
    <row r="179"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</row>
    <row r="180"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</row>
    <row r="181"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</row>
    <row r="182"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</row>
    <row r="183"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</row>
    <row r="184"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</row>
    <row r="185"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</row>
    <row r="186"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</row>
    <row r="187"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</row>
    <row r="188"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</row>
    <row r="189"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</row>
    <row r="190"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</row>
    <row r="191"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</row>
    <row r="192"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</row>
    <row r="193"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</row>
    <row r="194"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</row>
    <row r="195"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</row>
    <row r="196"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</row>
    <row r="197"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</row>
    <row r="198"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</row>
    <row r="199"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</row>
    <row r="200"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</row>
    <row r="201"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</row>
    <row r="202"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</row>
    <row r="203"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</row>
    <row r="204"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</row>
    <row r="205"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</row>
    <row r="206"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</row>
    <row r="207"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</row>
    <row r="208"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</row>
    <row r="209"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</row>
    <row r="210"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</row>
    <row r="211"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</row>
    <row r="212"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</row>
    <row r="213"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</row>
    <row r="214"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</row>
    <row r="215"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</row>
    <row r="216"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</row>
    <row r="217"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</row>
    <row r="218"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</row>
    <row r="219"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</row>
    <row r="220"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</row>
    <row r="221"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</row>
    <row r="222"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</row>
    <row r="223"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</row>
    <row r="224"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</row>
    <row r="225"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</row>
    <row r="226"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</row>
    <row r="227"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</row>
    <row r="228"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</row>
    <row r="229"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</row>
    <row r="230"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</row>
    <row r="231"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</row>
    <row r="232"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</row>
    <row r="233"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</row>
    <row r="234"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</row>
    <row r="235"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</row>
    <row r="236"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</row>
    <row r="237"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</row>
    <row r="238"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</row>
    <row r="239"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</row>
    <row r="240"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</row>
    <row r="241"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</row>
    <row r="242"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</row>
    <row r="243"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</row>
    <row r="244"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</row>
    <row r="245"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</row>
    <row r="246"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</row>
    <row r="247"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</row>
    <row r="248"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</row>
    <row r="249"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</row>
    <row r="250"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</row>
    <row r="251"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</row>
    <row r="252"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</row>
    <row r="253"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</row>
    <row r="254"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</row>
    <row r="255"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</row>
    <row r="256"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</row>
    <row r="257"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</row>
    <row r="258"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</row>
    <row r="259"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</row>
    <row r="260"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</row>
    <row r="261"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</row>
    <row r="262"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</row>
    <row r="263"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</row>
    <row r="264"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</row>
    <row r="265"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</row>
    <row r="266"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</row>
    <row r="267"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</row>
    <row r="268"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</row>
    <row r="269"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</row>
    <row r="270"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</row>
    <row r="271"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</row>
    <row r="272"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</row>
    <row r="273"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</row>
    <row r="274"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</row>
    <row r="275"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</row>
    <row r="276"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</row>
    <row r="277"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</row>
    <row r="278"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</row>
    <row r="279"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</row>
    <row r="280"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</row>
    <row r="281"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</row>
    <row r="282"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</row>
    <row r="283"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</row>
    <row r="284"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</row>
    <row r="285"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</row>
    <row r="286"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</row>
    <row r="287"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</row>
    <row r="288"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</row>
    <row r="289"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</row>
    <row r="290"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</row>
    <row r="291"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</row>
    <row r="292"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</row>
    <row r="293"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</row>
    <row r="294"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</row>
    <row r="295"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</row>
    <row r="296"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</row>
    <row r="297"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</row>
    <row r="298"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</row>
    <row r="299"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</row>
    <row r="300"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</row>
    <row r="301"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</row>
    <row r="302"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</row>
    <row r="303"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</row>
    <row r="304"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</row>
    <row r="305"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</row>
    <row r="306"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</row>
    <row r="307"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</row>
    <row r="308"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</row>
    <row r="309"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</row>
    <row r="310"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</row>
    <row r="311"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</row>
    <row r="312"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</row>
    <row r="313"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</row>
    <row r="314"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</row>
    <row r="315"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</row>
    <row r="316"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</row>
    <row r="317"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</row>
    <row r="318"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</row>
    <row r="319"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</row>
    <row r="320"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</row>
    <row r="321"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</row>
    <row r="322"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</row>
    <row r="323"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</row>
    <row r="324"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</row>
    <row r="325"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</row>
    <row r="326"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</row>
    <row r="327"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</row>
    <row r="328"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</row>
    <row r="329"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</row>
    <row r="330"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</row>
    <row r="331"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</row>
    <row r="332"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</row>
    <row r="333"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</row>
    <row r="334"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</row>
    <row r="335"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</row>
    <row r="336"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</row>
    <row r="337"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</row>
    <row r="338"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</row>
    <row r="339"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</row>
    <row r="340"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</row>
    <row r="341"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</row>
    <row r="342"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</row>
    <row r="343"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</row>
    <row r="344"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</row>
    <row r="345"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</row>
    <row r="346"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</row>
    <row r="347"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</row>
    <row r="348"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</row>
    <row r="349"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</row>
    <row r="350"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</row>
    <row r="351"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</row>
    <row r="352"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</row>
    <row r="353"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</row>
    <row r="354"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</row>
    <row r="355"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</row>
    <row r="356"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</row>
    <row r="357"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</row>
    <row r="358"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</row>
    <row r="359"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</row>
    <row r="360"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</row>
    <row r="361"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</row>
    <row r="362"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</row>
    <row r="363"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</row>
    <row r="364"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</row>
    <row r="365"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</row>
    <row r="366"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</row>
    <row r="367"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</row>
    <row r="368"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</row>
    <row r="369"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</row>
    <row r="370"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</row>
    <row r="371"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</row>
    <row r="372"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</row>
    <row r="373"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</row>
    <row r="374"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</row>
    <row r="375"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</row>
    <row r="376"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</row>
    <row r="377"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</row>
    <row r="378"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</row>
    <row r="379"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</row>
    <row r="380"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</row>
    <row r="381"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</row>
    <row r="382"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</row>
    <row r="383"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</row>
    <row r="384"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</row>
    <row r="385"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</row>
    <row r="386"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</row>
    <row r="387"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</row>
    <row r="388"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</row>
    <row r="389"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</row>
    <row r="390"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</row>
    <row r="391"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</row>
    <row r="392"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</row>
    <row r="393"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</row>
    <row r="394"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</row>
    <row r="395"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</row>
    <row r="396"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</row>
    <row r="397"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</row>
    <row r="398"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</row>
    <row r="399"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</row>
    <row r="400"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</row>
    <row r="401"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</row>
    <row r="402"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</row>
    <row r="403"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</row>
    <row r="404"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</row>
    <row r="405"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</row>
    <row r="406"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</row>
    <row r="407"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</row>
    <row r="408"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</row>
    <row r="409"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</row>
    <row r="410"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</row>
    <row r="411"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</row>
    <row r="412"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</row>
    <row r="413"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</row>
    <row r="414"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</row>
    <row r="415"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</row>
    <row r="416"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</row>
    <row r="417"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</row>
    <row r="418"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</row>
    <row r="419"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</row>
    <row r="420"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</row>
    <row r="421"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</row>
    <row r="422"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</row>
    <row r="423"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</row>
    <row r="424"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</row>
    <row r="425"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</row>
    <row r="426"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</row>
    <row r="427"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</row>
    <row r="428"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</row>
    <row r="429"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</row>
    <row r="430"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</row>
    <row r="431"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</row>
    <row r="432"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</row>
    <row r="433"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</row>
    <row r="434"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</row>
    <row r="435"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</row>
    <row r="436"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</row>
    <row r="437"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</row>
    <row r="438"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</row>
    <row r="439"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</row>
    <row r="440"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</row>
    <row r="441"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</row>
    <row r="442"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</row>
    <row r="443"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</row>
    <row r="444"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</row>
    <row r="445"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</row>
    <row r="446"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</row>
    <row r="447"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</row>
    <row r="448"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</row>
    <row r="449"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</row>
    <row r="450"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</row>
    <row r="451"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</row>
    <row r="452"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</row>
    <row r="453"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</row>
    <row r="454"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</row>
    <row r="455"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</row>
    <row r="456"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</row>
    <row r="457"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</row>
    <row r="458"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</row>
    <row r="459"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</row>
    <row r="460"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</row>
    <row r="461"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</row>
    <row r="462"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</row>
    <row r="463"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</row>
    <row r="464"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</row>
    <row r="465"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</row>
    <row r="466"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</row>
    <row r="467"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</row>
    <row r="468"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</row>
    <row r="469"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</row>
    <row r="470"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</row>
    <row r="471"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</row>
    <row r="472"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</row>
    <row r="473"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</row>
    <row r="474"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</row>
    <row r="475"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</row>
    <row r="476"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</row>
    <row r="477"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</row>
    <row r="478"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</row>
    <row r="479"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</row>
    <row r="480"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</row>
    <row r="481"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</row>
    <row r="482"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</row>
    <row r="483"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</row>
    <row r="484"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</row>
    <row r="485"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</row>
    <row r="486"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</row>
    <row r="487"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</row>
    <row r="488"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</row>
    <row r="489"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</row>
    <row r="490"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</row>
    <row r="491"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</row>
    <row r="492"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</row>
    <row r="493"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</row>
    <row r="494"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</row>
    <row r="495"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</row>
    <row r="496"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</row>
    <row r="497"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</row>
    <row r="498"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</row>
    <row r="499"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</row>
    <row r="500"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</row>
    <row r="501"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</row>
    <row r="502"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</row>
    <row r="503"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</row>
    <row r="504"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</row>
    <row r="505"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</row>
    <row r="506"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</row>
    <row r="507"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</row>
    <row r="508"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</row>
    <row r="509"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</row>
    <row r="510"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</row>
    <row r="511"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</row>
    <row r="512"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</row>
    <row r="513"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</row>
    <row r="514"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</row>
    <row r="515"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</row>
    <row r="516"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</row>
    <row r="517"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</row>
    <row r="518"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</row>
    <row r="519"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</row>
    <row r="520"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</row>
    <row r="521"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</row>
    <row r="522"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</row>
    <row r="523"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</row>
    <row r="524"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</row>
    <row r="525"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</row>
    <row r="526"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</row>
    <row r="527"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</row>
    <row r="528"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</row>
    <row r="529"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</row>
    <row r="530"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</row>
    <row r="531"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</row>
    <row r="532"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</row>
    <row r="533"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</row>
    <row r="534"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</row>
    <row r="535"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</row>
    <row r="536"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</row>
    <row r="537"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</row>
    <row r="538"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</row>
    <row r="539"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</row>
    <row r="540"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</row>
    <row r="541"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</row>
    <row r="542"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</row>
    <row r="543"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</row>
    <row r="544"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</row>
    <row r="545"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</row>
    <row r="546"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</row>
    <row r="547"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</row>
    <row r="548"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</row>
    <row r="549"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</row>
    <row r="550"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</row>
    <row r="551"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</row>
    <row r="552"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</row>
    <row r="553"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</row>
    <row r="554"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</row>
    <row r="555"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</row>
    <row r="556"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</row>
    <row r="557"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</row>
    <row r="558"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</row>
    <row r="559"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</row>
    <row r="560"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</row>
    <row r="561"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</row>
    <row r="562"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</row>
    <row r="563"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</row>
    <row r="564"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</row>
    <row r="565"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</row>
    <row r="566"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</row>
    <row r="567"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</row>
    <row r="568"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</row>
    <row r="569"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</row>
    <row r="570"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</row>
    <row r="571"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</row>
    <row r="572"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</row>
    <row r="573"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</row>
    <row r="574"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</row>
    <row r="575"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</row>
    <row r="576"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</row>
    <row r="577"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</row>
    <row r="578"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</row>
    <row r="579"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</row>
    <row r="580"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</row>
    <row r="581"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</row>
    <row r="582"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</row>
    <row r="583"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</row>
    <row r="584"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</row>
    <row r="585"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</row>
    <row r="586"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</row>
    <row r="587"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</row>
    <row r="588"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</row>
    <row r="589"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</row>
    <row r="590"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</row>
    <row r="591"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</row>
    <row r="592"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</row>
    <row r="593"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</row>
    <row r="594"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</row>
    <row r="595"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</row>
    <row r="596"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</row>
    <row r="597"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</row>
    <row r="598"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</row>
    <row r="599"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</row>
    <row r="600"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</row>
    <row r="601"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</row>
    <row r="602"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</row>
    <row r="603"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</row>
    <row r="604"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</row>
    <row r="605"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</row>
    <row r="606"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</row>
    <row r="607"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</row>
    <row r="608"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</row>
    <row r="609"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</row>
    <row r="610"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</row>
    <row r="611"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</row>
    <row r="612"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</row>
    <row r="613"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</row>
    <row r="614"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</row>
    <row r="615"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</row>
    <row r="616"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</row>
    <row r="617"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</row>
    <row r="618"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</row>
    <row r="619"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</row>
    <row r="620"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</row>
    <row r="621"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</row>
    <row r="622"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</row>
    <row r="623"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</row>
    <row r="624"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</row>
    <row r="625"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</row>
    <row r="626"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</row>
    <row r="627"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</row>
    <row r="628"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</row>
    <row r="629"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</row>
    <row r="630"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</row>
    <row r="631"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</row>
    <row r="632"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</row>
    <row r="633"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</row>
    <row r="634"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</row>
    <row r="635"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</row>
    <row r="636"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</row>
    <row r="637"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</row>
    <row r="638"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</row>
    <row r="639"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</row>
    <row r="640"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</row>
    <row r="641"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</row>
    <row r="642"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</row>
    <row r="643"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</row>
    <row r="644"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</row>
    <row r="645"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</row>
    <row r="646"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</row>
    <row r="647"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</row>
    <row r="648"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</row>
    <row r="649"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</row>
    <row r="650"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</row>
    <row r="651"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</row>
    <row r="652"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</row>
    <row r="653"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</row>
    <row r="654"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</row>
    <row r="655"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</row>
    <row r="656"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</row>
    <row r="657"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</row>
    <row r="658"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</row>
    <row r="659"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</row>
    <row r="660"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</row>
    <row r="661"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</row>
    <row r="662"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</row>
    <row r="663"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</row>
    <row r="664"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</row>
    <row r="665"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</row>
    <row r="666"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</row>
    <row r="667"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</row>
    <row r="668"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</row>
    <row r="669"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</row>
    <row r="670"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</row>
    <row r="671"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</row>
    <row r="672"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</row>
    <row r="673"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</row>
    <row r="674"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</row>
    <row r="675"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</row>
    <row r="676"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</row>
    <row r="677"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</row>
    <row r="678"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</row>
    <row r="679"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</row>
    <row r="680"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</row>
    <row r="681"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</row>
    <row r="682"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</row>
    <row r="683"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</row>
    <row r="684"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</row>
    <row r="685"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</row>
    <row r="686"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</row>
    <row r="687"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</row>
    <row r="688"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</row>
    <row r="689"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</row>
    <row r="690"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</row>
    <row r="691"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</row>
    <row r="692"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</row>
    <row r="693"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</row>
    <row r="694"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</row>
    <row r="695"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</row>
    <row r="696"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</row>
    <row r="697"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</row>
    <row r="698"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</row>
    <row r="699"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</row>
    <row r="700"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</row>
    <row r="701"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</row>
    <row r="702"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</row>
    <row r="703"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</row>
    <row r="704"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</row>
    <row r="705"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</row>
    <row r="706"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</row>
    <row r="707"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</row>
    <row r="708"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</row>
    <row r="709"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</row>
    <row r="710"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</row>
    <row r="711"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</row>
    <row r="712"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</row>
    <row r="713"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</row>
    <row r="714"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</row>
    <row r="715"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</row>
    <row r="716"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</row>
    <row r="717"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</row>
    <row r="718"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</row>
    <row r="719"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</row>
    <row r="720"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</row>
    <row r="721"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</row>
    <row r="722"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</row>
    <row r="723"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</row>
    <row r="724"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</row>
    <row r="725"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</row>
    <row r="726"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</row>
    <row r="727"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</row>
    <row r="728"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</row>
    <row r="729"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</row>
    <row r="730"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</row>
    <row r="731"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</row>
    <row r="732"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</row>
    <row r="733"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</row>
    <row r="734"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</row>
    <row r="735"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</row>
    <row r="736"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</row>
    <row r="737"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</row>
    <row r="738"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</row>
    <row r="739"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</row>
    <row r="740"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</row>
    <row r="741"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</row>
    <row r="742"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</row>
    <row r="743"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</row>
    <row r="744"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</row>
    <row r="745"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</row>
    <row r="746"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</row>
    <row r="747"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</row>
    <row r="748"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</row>
    <row r="749"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</row>
    <row r="750"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</row>
    <row r="751"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</row>
    <row r="752"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</row>
    <row r="753"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</row>
    <row r="754"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</row>
    <row r="755"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</row>
    <row r="756"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</row>
    <row r="757"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</row>
    <row r="758"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</row>
    <row r="759"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</row>
    <row r="760"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</row>
    <row r="761"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</row>
    <row r="762"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</row>
    <row r="763"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</row>
    <row r="764"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</row>
    <row r="765"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</row>
    <row r="766"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</row>
    <row r="767"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</row>
    <row r="768"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</row>
    <row r="769"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</row>
    <row r="770"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</row>
    <row r="771"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</row>
    <row r="772"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</row>
    <row r="773"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</row>
    <row r="774"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</row>
    <row r="775"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</row>
    <row r="776"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</row>
    <row r="777"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</row>
    <row r="778"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</row>
    <row r="779"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</row>
    <row r="780"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</row>
    <row r="781"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</row>
    <row r="782"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</row>
    <row r="783"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</row>
    <row r="784"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</row>
    <row r="785"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</row>
    <row r="786"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</row>
    <row r="787"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</row>
    <row r="788"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</row>
    <row r="789"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</row>
    <row r="790"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</row>
    <row r="791"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</row>
    <row r="792"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</row>
    <row r="793"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</row>
    <row r="794"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</row>
    <row r="795"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</row>
    <row r="796"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</row>
    <row r="797"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</row>
    <row r="798"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</row>
    <row r="799"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</row>
    <row r="800"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</row>
    <row r="801"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</row>
    <row r="802"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</row>
    <row r="803"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</row>
    <row r="804"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</row>
    <row r="805"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</row>
    <row r="806"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</row>
    <row r="807"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</row>
    <row r="808"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</row>
    <row r="809"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</row>
    <row r="810"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</row>
    <row r="811"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</row>
    <row r="812"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</row>
    <row r="813"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</row>
    <row r="814"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</row>
    <row r="815"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</row>
    <row r="816"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</row>
    <row r="817"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</row>
    <row r="818"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</row>
    <row r="819"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</row>
    <row r="820"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</row>
    <row r="821"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</row>
    <row r="822"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</row>
    <row r="823"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</row>
    <row r="824"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</row>
    <row r="825"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</row>
    <row r="826"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</row>
    <row r="827"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</row>
    <row r="828"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</row>
    <row r="829"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</row>
    <row r="830"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</row>
    <row r="831"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</row>
    <row r="832"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</row>
    <row r="833"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</row>
    <row r="834"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</row>
    <row r="835"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</row>
    <row r="836"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</row>
    <row r="837"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</row>
    <row r="838"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</row>
    <row r="839"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</row>
    <row r="840"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</row>
    <row r="841"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</row>
    <row r="842"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</row>
    <row r="843"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</row>
    <row r="844"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</row>
    <row r="845"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</row>
    <row r="846"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</row>
    <row r="847"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</row>
    <row r="848"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</row>
    <row r="849"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</row>
    <row r="850"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</row>
    <row r="851"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</row>
    <row r="852"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</row>
    <row r="853"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</row>
    <row r="854"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</row>
    <row r="855"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</row>
    <row r="856"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</row>
    <row r="857"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</row>
    <row r="858"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</row>
    <row r="859"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</row>
    <row r="860"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</row>
    <row r="861"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</row>
    <row r="862"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</row>
    <row r="863"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</row>
    <row r="864"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</row>
    <row r="865"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</row>
    <row r="866"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</row>
    <row r="867"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</row>
    <row r="868"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</row>
    <row r="869"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</row>
    <row r="870"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</row>
    <row r="871"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</row>
    <row r="872"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</row>
    <row r="873"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</row>
    <row r="874"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</row>
    <row r="875"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</row>
    <row r="876"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</row>
    <row r="877"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</row>
    <row r="878"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</row>
    <row r="879"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</row>
    <row r="880"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</row>
    <row r="881"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</row>
    <row r="882"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</row>
    <row r="883"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</row>
    <row r="884"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</row>
    <row r="885"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</row>
    <row r="886"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</row>
    <row r="887"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</row>
    <row r="888"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</row>
    <row r="889"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</row>
    <row r="890"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</row>
    <row r="891"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</row>
    <row r="892"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</row>
    <row r="893"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</row>
    <row r="894"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</row>
    <row r="895"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</row>
    <row r="896"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</row>
    <row r="897"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</row>
    <row r="898"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</row>
    <row r="899"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</row>
    <row r="900"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</row>
    <row r="901"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</row>
    <row r="902"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</row>
    <row r="903"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</row>
    <row r="904"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</row>
    <row r="905"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</row>
    <row r="906"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</row>
    <row r="907"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</row>
    <row r="908"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</row>
    <row r="909"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</row>
    <row r="910"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</row>
    <row r="911"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</row>
    <row r="912"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</row>
    <row r="913"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</row>
    <row r="914"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</row>
    <row r="915"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</row>
    <row r="916"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</row>
    <row r="917"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</row>
    <row r="918"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</row>
    <row r="919"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</row>
    <row r="920"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</row>
    <row r="921"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</row>
    <row r="922"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</row>
    <row r="923"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</row>
    <row r="924"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</row>
    <row r="925"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</row>
    <row r="926"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</row>
    <row r="927"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</row>
    <row r="928"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</row>
    <row r="929"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</row>
    <row r="930"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</row>
    <row r="931"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</row>
    <row r="932"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</row>
    <row r="933"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</row>
    <row r="934"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</row>
    <row r="935"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</row>
    <row r="936"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</row>
    <row r="937"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</row>
    <row r="938"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</row>
    <row r="939"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</row>
    <row r="940"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</row>
    <row r="941"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</row>
    <row r="942"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</row>
    <row r="943"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</row>
    <row r="944"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</row>
    <row r="945"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</row>
    <row r="946"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</row>
    <row r="947"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</row>
    <row r="948"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</row>
    <row r="949"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</row>
    <row r="950"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</row>
    <row r="951"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</row>
    <row r="952"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</row>
    <row r="953"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</row>
    <row r="954"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</row>
    <row r="955"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</row>
    <row r="956"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</row>
    <row r="957"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</row>
    <row r="958"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</row>
    <row r="959"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</row>
    <row r="960"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</row>
    <row r="961"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</row>
    <row r="962"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</row>
    <row r="963"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</row>
    <row r="964"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</row>
    <row r="965"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</row>
    <row r="966"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</row>
    <row r="967"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</row>
    <row r="968"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</row>
    <row r="969"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</row>
    <row r="970"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</row>
    <row r="971"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</row>
    <row r="972"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</row>
    <row r="973"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</row>
    <row r="974"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</row>
    <row r="975"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</row>
    <row r="976"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</row>
    <row r="977"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</row>
    <row r="978"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</row>
    <row r="979"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</row>
    <row r="980"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</row>
    <row r="981"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</row>
    <row r="982"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</row>
    <row r="983"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</row>
    <row r="984"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</row>
    <row r="985"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</row>
    <row r="986"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</row>
    <row r="987"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</row>
    <row r="988"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</row>
    <row r="989"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</row>
    <row r="990"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</row>
    <row r="991"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</row>
    <row r="992"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</row>
    <row r="993"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</row>
    <row r="994"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</row>
    <row r="995"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</row>
    <row r="996"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</row>
    <row r="997"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</row>
    <row r="998"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</row>
    <row r="999"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</row>
    <row r="1000"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</row>
  </sheetData>
  <conditionalFormatting sqref="AU2:AU26">
    <cfRule type="cellIs" dxfId="0" priority="1" operator="lessThan">
      <formula>0.05</formula>
    </cfRule>
  </conditionalFormatting>
  <conditionalFormatting sqref="BR2:BR26">
    <cfRule type="cellIs" dxfId="1" priority="2" operator="lessThan">
      <formula>0.05</formula>
    </cfRule>
  </conditionalFormatting>
  <drawing r:id="rId1"/>
</worksheet>
</file>